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4\Утвержденные тарифы на 2024-2028гг\_01_Тарифы на 2024 год\"/>
    </mc:Choice>
  </mc:AlternateContent>
  <bookViews>
    <workbookView xWindow="0" yWindow="0" windowWidth="12750" windowHeight="10560" tabRatio="870" firstSheet="19"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Т-тех'!$122:$123</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Т-тех'!$124:$125</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тарифов'!$64:$104</definedName>
    <definedName name="BLOCK_PT_HEAT">'Перечень тарифов'!$13:$62</definedName>
    <definedName name="BLOCK_PT_HOTVSNA">'Перечень тарифов'!$106:$120</definedName>
    <definedName name="BLOCK_PT_VOTV">'Перечень тарифов'!$122:$136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REESTR_DS!$B$2:$B$6</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тарифов'!$Z$12:$Z$138</definedName>
    <definedName name="DIFFERENTIATION_TARIFF_VD_ID">'Перечень тарифов'!$AB$12:$AB$138</definedName>
    <definedName name="DIFFERENTIATION_TARIFF_VTAR_ID">'Перечень тарифов'!$AA$12:$AA$138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Предложение!$L$90</definedName>
    <definedName name="OFFER_METHOD">Предложение!$K$24:$K$88</definedName>
    <definedName name="OFFER_METHOD_FLAG">TEHSHEET!$L$6</definedName>
    <definedName name="OFFER_TARIFF_A_1">Предложение!$24:$26</definedName>
    <definedName name="OFFER_TARIFF_A_2">Предложение!$92:$94</definedName>
    <definedName name="OFFER_TARIFF_A_3">Предложение!$158:$160</definedName>
    <definedName name="OFFER_TARIFF_A_4">Предложение!$224:$226</definedName>
    <definedName name="OFFER_TARIFF_A_5">Предложение!$290:$292</definedName>
    <definedName name="OFFER_TARIFF_A_COLDVSNA_1">Предложение!$48:$50</definedName>
    <definedName name="OFFER_TARIFF_A_COLDVSNA_2">Предложение!$116:$118</definedName>
    <definedName name="OFFER_TARIFF_A_COLDVSNA_3">Предложение!$182:$184</definedName>
    <definedName name="OFFER_TARIFF_A_COLDVSNA_4">Предложение!$248:$250</definedName>
    <definedName name="OFFER_TARIFF_A_COLDVSNA_5">Предложение!$314:$316</definedName>
    <definedName name="OFFER_TARIFF_A_HOTVSNA_1">Предложение!$71:$73</definedName>
    <definedName name="OFFER_TARIFF_A_HOTVSNA_2">Предложение!$139:$141</definedName>
    <definedName name="OFFER_TARIFF_A_HOTVSNA_3">Предложение!$205:$207</definedName>
    <definedName name="OFFER_TARIFF_A_HOTVSNA_4">Предложение!$271:$273</definedName>
    <definedName name="OFFER_TARIFF_A_HOTVSNA_5">Предложение!$337:$339</definedName>
    <definedName name="OFFER_TARIFF_A_VOTV_1">Предложение!$80:$82</definedName>
    <definedName name="OFFER_TARIFF_A_VOTV_2">Предложение!$148:$150</definedName>
    <definedName name="OFFER_TARIFF_A_VOTV_3">Предложение!$214:$216</definedName>
    <definedName name="OFFER_TARIFF_A_VOTV_4">Предложение!$280:$282</definedName>
    <definedName name="OFFER_TARIFF_A_VOTV_5">Предложение!$346:$348</definedName>
    <definedName name="OFFER_TARIFF_B_1">Предложение!$27:$29</definedName>
    <definedName name="OFFER_TARIFF_B_2">Предложение!$95:$97</definedName>
    <definedName name="OFFER_TARIFF_B_3">Предложение!$161:$163</definedName>
    <definedName name="OFFER_TARIFF_B_4">Предложение!$227:$229</definedName>
    <definedName name="OFFER_TARIFF_B_5">Предложение!$293:$295</definedName>
    <definedName name="OFFER_TARIFF_B_COLDVSNA_1">Предложение!$51:$61</definedName>
    <definedName name="OFFER_TARIFF_B_COLDVSNA_2">Предложение!$119:$129</definedName>
    <definedName name="OFFER_TARIFF_B_COLDVSNA_3">Предложение!$185:$195</definedName>
    <definedName name="OFFER_TARIFF_B_COLDVSNA_4">Предложение!$251:$261</definedName>
    <definedName name="OFFER_TARIFF_B_COLDVSNA_5">Предложение!$317:$327</definedName>
    <definedName name="OFFER_TARIFF_B_HOTVSNA_1">Предложение!$74:$76</definedName>
    <definedName name="OFFER_TARIFF_B_HOTVSNA_2">Предложение!$142:$144</definedName>
    <definedName name="OFFER_TARIFF_B_HOTVSNA_3">Предложение!$208:$210</definedName>
    <definedName name="OFFER_TARIFF_B_HOTVSNA_4">Предложение!$274:$276</definedName>
    <definedName name="OFFER_TARIFF_B_HOTVSNA_5">Предложение!$340:$342</definedName>
    <definedName name="OFFER_TARIFF_B_VOTV_1">Предложение!$83:$85</definedName>
    <definedName name="OFFER_TARIFF_B_VOTV_2">Предложение!$151:$153</definedName>
    <definedName name="OFFER_TARIFF_B_VOTV_3">Предложение!$217:$219</definedName>
    <definedName name="OFFER_TARIFF_B_VOTV_4">Предложение!$283:$285</definedName>
    <definedName name="OFFER_TARIFF_B_VOTV_5">Предложение!$349:$351</definedName>
    <definedName name="OFFER_TARIFF_C_1">Предложение!$30:$32</definedName>
    <definedName name="OFFER_TARIFF_C_2">Предложение!$98:$100</definedName>
    <definedName name="OFFER_TARIFF_C_3">Предложение!$164:$166</definedName>
    <definedName name="OFFER_TARIFF_C_4">Предложение!$230:$232</definedName>
    <definedName name="OFFER_TARIFF_C_5">Предложение!$296:$298</definedName>
    <definedName name="OFFER_TARIFF_C_COLDVSNA_1">Предложение!$62:$64</definedName>
    <definedName name="OFFER_TARIFF_C_COLDVSNA_2">Предложение!$130:$132</definedName>
    <definedName name="OFFER_TARIFF_C_COLDVSNA_3">Предложение!$196:$198</definedName>
    <definedName name="OFFER_TARIFF_C_COLDVSNA_4">Предложение!$262:$264</definedName>
    <definedName name="OFFER_TARIFF_C_COLDVSNA_5">Предложение!$328:$330</definedName>
    <definedName name="OFFER_TARIFF_C_HOTVSNA_1">Предложение!$77:$79</definedName>
    <definedName name="OFFER_TARIFF_C_HOTVSNA_2">Предложение!$145:$147</definedName>
    <definedName name="OFFER_TARIFF_C_HOTVSNA_3">Предложение!$211:$213</definedName>
    <definedName name="OFFER_TARIFF_C_HOTVSNA_4">Предложение!$277:$279</definedName>
    <definedName name="OFFER_TARIFF_C_HOTVSNA_5">Предложение!$343:$345</definedName>
    <definedName name="OFFER_TARIFF_C_VOTV_1">Предложение!$86:$88</definedName>
    <definedName name="OFFER_TARIFF_C_VOTV_2">Предложение!$154:$156</definedName>
    <definedName name="OFFER_TARIFF_C_VOTV_3">Предложение!$220:$222</definedName>
    <definedName name="OFFER_TARIFF_C_VOTV_4">Предложение!$286:$288</definedName>
    <definedName name="OFFER_TARIFF_C_VOTV_5">Предложение!$352:$354</definedName>
    <definedName name="OFFER_TARIFF_D_1">Предложение!$33:$35</definedName>
    <definedName name="OFFER_TARIFF_D_2">Предложение!$101:$103</definedName>
    <definedName name="OFFER_TARIFF_D_3">Предложение!$167:$169</definedName>
    <definedName name="OFFER_TARIFF_D_4">Предложение!$233:$235</definedName>
    <definedName name="OFFER_TARIFF_D_5">Предложение!$299:$301</definedName>
    <definedName name="OFFER_TARIFF_D_COLDVSNA_1">Предложение!$65:$67</definedName>
    <definedName name="OFFER_TARIFF_D_COLDVSNA_2">Предложение!$133:$135</definedName>
    <definedName name="OFFER_TARIFF_D_COLDVSNA_3">Предложение!$199:$201</definedName>
    <definedName name="OFFER_TARIFF_D_COLDVSNA_4">Предложение!$265:$267</definedName>
    <definedName name="OFFER_TARIFF_D_COLDVSNA_5">Предложение!$331:$333</definedName>
    <definedName name="OFFER_TARIFF_E_COLDVSNA_1">Предложение!$68:$70</definedName>
    <definedName name="OFFER_TARIFF_E_COLDVSNA_2">Предложение!$136:$138</definedName>
    <definedName name="OFFER_TARIFF_E_COLDVSNA_3">Предложение!$202:$204</definedName>
    <definedName name="OFFER_TARIFF_E_COLDVSNA_4">Предложение!$268:$270</definedName>
    <definedName name="OFFER_TARIFF_E_COLDVSNA_5">Предложение!$334:$336</definedName>
    <definedName name="OFFER_TARIFF_E1_1">Предложение!$36:$38</definedName>
    <definedName name="OFFER_TARIFF_E1_2">Предложение!$104:$106</definedName>
    <definedName name="OFFER_TARIFF_E1_3">Предложение!$170:$172</definedName>
    <definedName name="OFFER_TARIFF_E1_4">Предложение!$236:$238</definedName>
    <definedName name="OFFER_TARIFF_E1_5">Предложение!$302:$304</definedName>
    <definedName name="OFFER_TARIFF_E2_1">Предложение!$39:$41</definedName>
    <definedName name="OFFER_TARIFF_E2_2">Предложение!$107:$109</definedName>
    <definedName name="OFFER_TARIFF_E2_3">Предложение!$173:$175</definedName>
    <definedName name="OFFER_TARIFF_E2_4">Предложение!$239:$241</definedName>
    <definedName name="OFFER_TARIFF_E2_5">Предложение!$305:$307</definedName>
    <definedName name="OFFER_TARIFF_F_1">Предложение!$42:$44</definedName>
    <definedName name="OFFER_TARIFF_F_2">Предложение!$110:$112</definedName>
    <definedName name="OFFER_TARIFF_F_3">Предложение!$176:$178</definedName>
    <definedName name="OFFER_TARIFF_F_4">Предложение!$242:$244</definedName>
    <definedName name="OFFER_TARIFF_F_5">Предложение!$308:$310</definedName>
    <definedName name="OFFER_TARIFF_G_1">Предложение!$45:$47</definedName>
    <definedName name="OFFER_TARIFF_G_2">Предложение!$113:$115</definedName>
    <definedName name="OFFER_TARIFF_G_3">Предложение!$179:$181</definedName>
    <definedName name="OFFER_TARIFF_G_4">Предложение!$245:$247</definedName>
    <definedName name="OFFER_TARIFF_G_5">Предложение!$311:$313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ТП'!$C$26:$C$114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ТП'!$A$21:$A$114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ТП'!$E$51</definedName>
    <definedName name="pIns_P_PROCEDURE_TC_3">'Порядок ТП'!$E$81</definedName>
    <definedName name="pIns_P_PROCEDURE_TC_4">'Порядок ТП'!$E$110</definedName>
    <definedName name="pIns_P_PROCEDURE_TC_5">'Порядок ТП'!$E$114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Предложение!$G$118</definedName>
    <definedName name="pIns_PT_VTAR_A_COLDVSNA_OFFER_3">Предложение!$G$184</definedName>
    <definedName name="pIns_PT_VTAR_A_COLDVSNA_OFFER_4">Предложение!$G$250</definedName>
    <definedName name="pIns_PT_VTAR_A_COLDVSNA_OFFER_5">Предложение!$G$316</definedName>
    <definedName name="pIns_PT_VTAR_A_COLDVSNA_OFFER5">Предложение!$G$316</definedName>
    <definedName name="pIns_PT_VTAR_A_HOTVSNA">'ГВС. Т-гор.вода'!$T$53</definedName>
    <definedName name="pIns_PT_VTAR_A_HOTVSNA_OFFER_1">Предложение!$G$73</definedName>
    <definedName name="pIns_PT_VTAR_A_HOTVSNA_OFFER_2">Предложение!$G$141</definedName>
    <definedName name="pIns_PT_VTAR_A_HOTVSNA_OFFER_3">Предложение!$G$207</definedName>
    <definedName name="pIns_PT_VTAR_A_HOTVSNA_OFFER_4">Предложение!$G$273</definedName>
    <definedName name="pIns_PT_VTAR_A_HOTVSNA_OFFER_5">Предложение!$G$339</definedName>
    <definedName name="pIns_PT_VTAR_A_OFFER_1">Предложение!$G$26</definedName>
    <definedName name="pIns_PT_VTAR_A_OFFER_2">Предложение!$G$94</definedName>
    <definedName name="pIns_PT_VTAR_A_OFFER_3">Предложение!$G$160</definedName>
    <definedName name="pIns_PT_VTAR_A_OFFER_4">Предложение!$G$226</definedName>
    <definedName name="pIns_PT_VTAR_A_OFFER_5">Предложение!$G$292</definedName>
    <definedName name="pIns_PT_VTAR_A_VOTV">'ВО. Т-во'!$T$53</definedName>
    <definedName name="pIns_PT_VTAR_A_VOTV_OFFER_1">Предложение!$G$82</definedName>
    <definedName name="pIns_PT_VTAR_A_VOTV_OFFER_2">Предложение!$G$150</definedName>
    <definedName name="pIns_PT_VTAR_A_VOTV_OFFER_3">Предложение!$G$216</definedName>
    <definedName name="pIns_PT_VTAR_A_VOTV_OFFER_4">Предложение!$G$282</definedName>
    <definedName name="pIns_PT_VTAR_A_VOTV_OFFER_5">Предложение!$G$348</definedName>
    <definedName name="pIns_PT_VTAR_B">'ТС. Т-ТЭ | ТСО'!$T$57</definedName>
    <definedName name="pIns_PT_VTAR_B_COLDVSNA">'ХВС. Т-тех'!$T$121</definedName>
    <definedName name="pIns_PT_VTAR_B_COLDVSNA_OFFER_1">Предложение!$G$61</definedName>
    <definedName name="pIns_PT_VTAR_B_COLDVSNA_OFFER_2">Предложение!$G$129</definedName>
    <definedName name="pIns_PT_VTAR_B_COLDVSNA_OFFER_3">Предложение!$G$195</definedName>
    <definedName name="pIns_PT_VTAR_B_COLDVSNA_OFFER_4">Предложение!$G$261</definedName>
    <definedName name="pIns_PT_VTAR_B_COLDVSNA_OFFER_5">Предложение!$G$327</definedName>
    <definedName name="pIns_PT_VTAR_B_HOTVSNA">'ГВС. Т-транс'!$T$53</definedName>
    <definedName name="pIns_PT_VTAR_B_HOTVSNA_OFFER_1">Предложение!$G$76</definedName>
    <definedName name="pIns_PT_VTAR_B_HOTVSNA_OFFER_2">Предложение!$G$144</definedName>
    <definedName name="pIns_PT_VTAR_B_HOTVSNA_OFFER_3">Предложение!$G$210</definedName>
    <definedName name="pIns_PT_VTAR_B_HOTVSNA_OFFER_4">Предложение!$G$276</definedName>
    <definedName name="pIns_PT_VTAR_B_HOTVSNA_OFFER_5">Предложение!$G$342</definedName>
    <definedName name="pIns_PT_VTAR_B_OFFER_1">Предложение!$G$29</definedName>
    <definedName name="pIns_PT_VTAR_B_OFFER_2">Предложение!$G$97</definedName>
    <definedName name="pIns_PT_VTAR_B_OFFER_3">Предложение!$G$163</definedName>
    <definedName name="pIns_PT_VTAR_B_OFFER_4">Предложение!$G$229</definedName>
    <definedName name="pIns_PT_VTAR_B_OFFER_5">Предложение!$G$295</definedName>
    <definedName name="pIns_PT_VTAR_B_VOTV">'ВО. Т-транс'!$T$53</definedName>
    <definedName name="pIns_PT_VTAR_B_VOTV_OFFER_1">Предложение!$G$85</definedName>
    <definedName name="pIns_PT_VTAR_B_VOTV_OFFER_2">Предложение!$G$153</definedName>
    <definedName name="pIns_PT_VTAR_B_VOTV_OFFER_3">Предложение!$G$219</definedName>
    <definedName name="pIns_PT_VTAR_B_VOTV_OFFER_4">Предложение!$G$285</definedName>
    <definedName name="pIns_PT_VTAR_B_VOTV_OFFER_5">Предложение!$G$351</definedName>
    <definedName name="pIns_PT_VTAR_C">'ТС. Т-ТН'!$T$57</definedName>
    <definedName name="pIns_PT_VTAR_C_COLDVSNA">'ХВС. Т-транс'!$T$53</definedName>
    <definedName name="pIns_PT_VTAR_C_COLDVSNA_OFFER_1">Предложение!$G$64</definedName>
    <definedName name="pIns_PT_VTAR_C_COLDVSNA_OFFER_2">Предложение!$G$132</definedName>
    <definedName name="pIns_PT_VTAR_C_COLDVSNA_OFFER_3">Предложение!$G$198</definedName>
    <definedName name="pIns_PT_VTAR_C_COLDVSNA_OFFER_4">Предложение!$G$264</definedName>
    <definedName name="pIns_PT_VTAR_C_COLDVSNA_OFFER_5">Предложение!$G$330</definedName>
    <definedName name="pIns_PT_VTAR_C_HOTVSNA">'ГВС. Т-подкл'!$T$63</definedName>
    <definedName name="pIns_PT_VTAR_C_HOTVSNA_OFFER_1">Предложение!$G$79</definedName>
    <definedName name="pIns_PT_VTAR_C_HOTVSNA_OFFER_2">Предложение!$G$147</definedName>
    <definedName name="pIns_PT_VTAR_C_HOTVSNA_OFFER_3">Предложение!$G$213</definedName>
    <definedName name="pIns_PT_VTAR_C_HOTVSNA_OFFER_4">Предложение!$G$279</definedName>
    <definedName name="pIns_PT_VTAR_C_HOTVSNA_OFFER_5">Предложение!$G$345</definedName>
    <definedName name="pIns_PT_VTAR_C_OFFER_1">Предложение!$G$32</definedName>
    <definedName name="pIns_PT_VTAR_C_OFFER_2">Предложение!$G$100</definedName>
    <definedName name="pIns_PT_VTAR_C_OFFER_3">Предложение!$G$166</definedName>
    <definedName name="pIns_PT_VTAR_C_OFFER_4">Предложение!$G$232</definedName>
    <definedName name="pIns_PT_VTAR_C_OFFER_5">Предложение!$G$298</definedName>
    <definedName name="pIns_PT_VTAR_C_VOTV">'ВО. Т-подкл'!$T$63</definedName>
    <definedName name="pIns_PT_VTAR_C_VOTV_OFFER_1">Предложение!$G$88</definedName>
    <definedName name="pIns_PT_VTAR_C_VOTV_OFFER_2">Предложение!$G$156</definedName>
    <definedName name="pIns_PT_VTAR_C_VOTV_OFFER_3">Предложение!$G$222</definedName>
    <definedName name="pIns_PT_VTAR_C_VOTV_OFFER_4">Предложение!$G$288</definedName>
    <definedName name="pIns_PT_VTAR_C_VOTV_OFFER_5">Предложение!$G$354</definedName>
    <definedName name="pIns_PT_VTAR_D">'ТС. Т-гор.вода'!$V$65</definedName>
    <definedName name="pIns_PT_VTAR_D_COLDVSNA">'ХВС. Т-подвоз'!$T$53</definedName>
    <definedName name="pIns_PT_VTAR_D_COLDVSNA_OFFER_1">Предложение!$G$67</definedName>
    <definedName name="pIns_PT_VTAR_D_COLDVSNA_OFFER_2">Предложение!$G$135</definedName>
    <definedName name="pIns_PT_VTAR_D_COLDVSNA_OFFER_3">Предложение!$G$201</definedName>
    <definedName name="pIns_PT_VTAR_D_COLDVSNA_OFFER_4">Предложение!$G$267</definedName>
    <definedName name="pIns_PT_VTAR_D_COLDVSNA_OFFER_5">Предложение!$G$333</definedName>
    <definedName name="pIns_PT_VTAR_D_OFFER_1">Предложение!$G$35</definedName>
    <definedName name="pIns_PT_VTAR_D_OFFER_2">Предложение!$G$103</definedName>
    <definedName name="pIns_PT_VTAR_D_OFFER_3">Предложение!$G$169</definedName>
    <definedName name="pIns_PT_VTAR_D_OFFER_4">Предложение!$G$235</definedName>
    <definedName name="pIns_PT_VTAR_D_OFFER_5">Предложение!$G$301</definedName>
    <definedName name="pIns_PT_VTAR_E_COLDVSNA">'ХВС. Т-подкл'!$T$63</definedName>
    <definedName name="pIns_PT_VTAR_E_COLDVSNA_OFFER_1">Предложение!$G$70</definedName>
    <definedName name="pIns_PT_VTAR_E_COLDVSNA_OFFER_2">Предложение!$G$138</definedName>
    <definedName name="pIns_PT_VTAR_E_COLDVSNA_OFFER_3">Предложение!$G$204</definedName>
    <definedName name="pIns_PT_VTAR_E_COLDVSNA_OFFER_4">Предложение!$G$270</definedName>
    <definedName name="pIns_PT_VTAR_E_COLDVSNA_OFFER_5">Предложение!$G$336</definedName>
    <definedName name="pIns_PT_VTAR_E1">'ТС. Т-передача ТЭ'!$T$57</definedName>
    <definedName name="pIns_PT_VTAR_E1_OFFER_1">Предложение!$G$38</definedName>
    <definedName name="pIns_PT_VTAR_E1_OFFER_2">Предложение!$G$106</definedName>
    <definedName name="pIns_PT_VTAR_E1_OFFER_3">Предложение!$G$172</definedName>
    <definedName name="pIns_PT_VTAR_E1_OFFER_4">Предложение!$G$238</definedName>
    <definedName name="pIns_PT_VTAR_E1_OFFER_5">Предложение!$G$304</definedName>
    <definedName name="pIns_PT_VTAR_E2">'ТС. Т-передача ТН'!$T$57</definedName>
    <definedName name="pIns_PT_VTAR_E2_OFFER_1">Предложение!$G$41</definedName>
    <definedName name="pIns_PT_VTAR_E2_OFFER_2">Предложение!$G$109</definedName>
    <definedName name="pIns_PT_VTAR_E2_OFFER_3">Предложение!$G$175</definedName>
    <definedName name="pIns_PT_VTAR_E2_OFFER_4">Предложение!$G$241</definedName>
    <definedName name="pIns_PT_VTAR_E2_OFFER_5">Предложение!$G$307</definedName>
    <definedName name="pIns_PT_VTAR_F">'ТС. Резерв мощности'!$T$57</definedName>
    <definedName name="pIns_PT_VTAR_F_OFFER_1">Предложение!$G$44</definedName>
    <definedName name="pIns_PT_VTAR_F_OFFER_2">Предложение!$G$112</definedName>
    <definedName name="pIns_PT_VTAR_F_OFFER_3">Предложение!$G$178</definedName>
    <definedName name="pIns_PT_VTAR_F_OFFER_4">Предложение!$G$244</definedName>
    <definedName name="pIns_PT_VTAR_F_OFFER_5">Предложение!$G$310</definedName>
    <definedName name="pIns_PT_VTAR_G">'ТС. Т-подкл'!$T$62</definedName>
    <definedName name="pIns_PT_VTAR_G_OFFER_1">Предложение!$G$47</definedName>
    <definedName name="pIns_PT_VTAR_G_OFFER_2">Предложение!$G$115</definedName>
    <definedName name="pIns_PT_VTAR_G_OFFER_3">Предложение!$G$181</definedName>
    <definedName name="pIns_PT_VTAR_G_OFFER_4">Предложение!$G$247</definedName>
    <definedName name="pIns_PT_VTAR_G_OFFER_5">Предложение!$G$313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Т-тех'!$59:$70</definedName>
    <definedName name="pt_cs_31">'ХВС. Т-тех'!$75:$86</definedName>
    <definedName name="pt_cs_32">'ХВС. Т-тех'!$91:$102</definedName>
    <definedName name="pt_cs_33">'ХВС. Т-тех'!$107:$118</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тарифов'!$AL$12:$AL$138</definedName>
    <definedName name="PT_DIFFERENTIATION_CS_ID">'Перечень тарифов'!$AF$12:$AF$138</definedName>
    <definedName name="PT_DIFFERENTIATION_IST_TE">'Перечень тарифов'!$AM$12:$AM$138</definedName>
    <definedName name="PT_DIFFERENTIATION_IST_TE_ID">'Перечень тарифов'!$AG$12:$AG$138</definedName>
    <definedName name="PT_DIFFERENTIATION_NTAR">'Перечень тарифов'!$AJ$12:$AJ$138</definedName>
    <definedName name="PT_DIFFERENTIATION_NTAR_ID">'Перечень тарифов'!$AD$12:$AD$138</definedName>
    <definedName name="PT_DIFFERENTIATION_NUM_CS">'Перечень тарифов'!$AP$12:$AP$138</definedName>
    <definedName name="PT_DIFFERENTIATION_NUM_IST_TE">'Перечень тарифов'!$AQ$12:$AQ$138</definedName>
    <definedName name="PT_DIFFERENTIATION_NUM_NTAR">'Перечень тарифов'!$AN$12:$AN$138</definedName>
    <definedName name="PT_DIFFERENTIATION_NUM_TER">'Перечень тарифов'!$AO$12:$AO$138</definedName>
    <definedName name="PT_DIFFERENTIATION_TER">'Перечень тарифов'!$AK$12:$AK$138</definedName>
    <definedName name="PT_DIFFERENTIATION_TER_ID">'Перечень тарифов'!$AE$12:$AE$138</definedName>
    <definedName name="PT_DIFFERENTIATION_VDET">'Перечень тарифов'!$AI$12:$AI$138</definedName>
    <definedName name="PT_DIFFERENTIATION_VTAR">'Перечень тарифов'!$AH$12:$AH$138</definedName>
    <definedName name="PT_DIFFERENTIATION_VTAR_ID">'Перечень тарифов'!$AC$12:$AC$138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Т-тех'!$57:$72</definedName>
    <definedName name="pt_ntar_27">'ХВС. Т-тех'!$73:$88</definedName>
    <definedName name="pt_ntar_28">'ХВС. Т-тех'!$89:$104</definedName>
    <definedName name="pt_ntar_29">'ХВС. Т-тех'!$105:$120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Т-тех'!$58:$71</definedName>
    <definedName name="pt_ter_31">'ХВС. Т-тех'!$74:$87</definedName>
    <definedName name="pt_ter_32">'ХВС. Т-тех'!$90:$103</definedName>
    <definedName name="pt_ter_33">'ХВС. Т-тех'!$106:$119</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S18" i="60"/>
  <c r="T18" i="60" s="1"/>
  <c r="V18" i="60" s="1"/>
  <c r="W18" i="60" s="1"/>
  <c r="X18" i="60" s="1"/>
  <c r="Q18" i="60"/>
  <c r="R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S18" i="59"/>
  <c r="T18" i="59" s="1"/>
  <c r="V18" i="59" s="1"/>
  <c r="W18" i="59" s="1"/>
  <c r="X18" i="59" s="1"/>
  <c r="Q18" i="59"/>
  <c r="R18" i="59" s="1"/>
  <c r="N18" i="59"/>
  <c r="O18" i="59" s="1"/>
  <c r="O11" i="59"/>
  <c r="O10" i="59"/>
  <c r="O9" i="59"/>
  <c r="O8" i="59"/>
  <c r="L6" i="59"/>
  <c r="AA32" i="58"/>
  <c r="AA31" i="58"/>
  <c r="AA30" i="58"/>
  <c r="AA29" i="58"/>
  <c r="AA28" i="58"/>
  <c r="AA27" i="58"/>
  <c r="AA26" i="58"/>
  <c r="R26" i="58"/>
  <c r="AA25" i="58"/>
  <c r="AA24" i="58"/>
  <c r="AA23" i="58"/>
  <c r="AA22" i="58"/>
  <c r="AA21" i="58"/>
  <c r="AA20" i="58"/>
  <c r="AA19" i="58"/>
  <c r="S18" i="58"/>
  <c r="T18" i="58" s="1"/>
  <c r="V18" i="58" s="1"/>
  <c r="W18" i="58" s="1"/>
  <c r="X18" i="58" s="1"/>
  <c r="Q18" i="58"/>
  <c r="R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K50" i="57"/>
  <c r="N50" i="57" s="1"/>
  <c r="J50" i="57"/>
  <c r="M50" i="57" s="1"/>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J47" i="55"/>
  <c r="I47" i="55"/>
  <c r="H47" i="55"/>
  <c r="G47" i="55"/>
  <c r="J46" i="55"/>
  <c r="I46" i="55"/>
  <c r="K45" i="55"/>
  <c r="I45" i="55"/>
  <c r="G36" i="55"/>
  <c r="E31" i="56" s="1"/>
  <c r="C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D6" i="44"/>
  <c r="M290" i="43"/>
  <c r="F289" i="43"/>
  <c r="M224" i="43"/>
  <c r="F223" i="43"/>
  <c r="M158" i="43"/>
  <c r="F157" i="43"/>
  <c r="M92" i="43"/>
  <c r="F89" i="43"/>
  <c r="M24" i="43"/>
  <c r="F23" i="43"/>
  <c r="G17" i="43"/>
  <c r="F17" i="43"/>
  <c r="G16" i="43"/>
  <c r="F16" i="43"/>
  <c r="E14" i="43"/>
  <c r="N7" i="43"/>
  <c r="N4" i="43"/>
  <c r="N1" i="43"/>
  <c r="E116" i="42"/>
  <c r="E111" i="42"/>
  <c r="E82" i="42"/>
  <c r="E53" i="42"/>
  <c r="E52" i="42"/>
  <c r="E36" i="42"/>
  <c r="E25" i="42"/>
  <c r="E24" i="42"/>
  <c r="D15" i="42"/>
  <c r="G17" i="41"/>
  <c r="E16" i="41"/>
  <c r="G14" i="41"/>
  <c r="E13"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J68" i="30"/>
  <c r="L68" i="30" s="1"/>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CY121" i="20"/>
  <c r="CY120" i="20"/>
  <c r="CY119" i="20"/>
  <c r="CY118" i="20"/>
  <c r="CY117" i="20"/>
  <c r="CY116" i="20"/>
  <c r="CY115" i="20"/>
  <c r="CP115" i="20"/>
  <c r="CI115" i="20"/>
  <c r="CB115" i="20"/>
  <c r="BU115" i="20"/>
  <c r="BN115" i="20"/>
  <c r="BG115" i="20"/>
  <c r="AZ115" i="20"/>
  <c r="AS115" i="20"/>
  <c r="AL115" i="20"/>
  <c r="AE115" i="20"/>
  <c r="X115" i="20"/>
  <c r="CY114" i="20"/>
  <c r="CV114" i="20"/>
  <c r="CY113" i="20"/>
  <c r="CY112" i="20"/>
  <c r="CY111" i="20"/>
  <c r="CP111" i="20"/>
  <c r="CI111" i="20"/>
  <c r="CB111" i="20"/>
  <c r="BU111" i="20"/>
  <c r="BN111" i="20"/>
  <c r="BG111" i="20"/>
  <c r="AZ111" i="20"/>
  <c r="AS111" i="20"/>
  <c r="AL111" i="20"/>
  <c r="AE111" i="20"/>
  <c r="X111" i="20"/>
  <c r="CY110" i="20"/>
  <c r="CV110" i="20"/>
  <c r="CY109" i="20"/>
  <c r="CY108" i="20"/>
  <c r="CY107" i="20"/>
  <c r="CY106" i="20"/>
  <c r="CY105" i="20"/>
  <c r="CV105" i="20"/>
  <c r="CY104" i="20"/>
  <c r="CY103" i="20"/>
  <c r="CY102" i="20"/>
  <c r="CY101" i="20"/>
  <c r="CY100" i="20"/>
  <c r="CY99" i="20"/>
  <c r="CP99" i="20"/>
  <c r="CI99" i="20"/>
  <c r="CB99" i="20"/>
  <c r="BU99" i="20"/>
  <c r="BN99" i="20"/>
  <c r="BG99" i="20"/>
  <c r="AZ99" i="20"/>
  <c r="AS99" i="20"/>
  <c r="AL99" i="20"/>
  <c r="AE99" i="20"/>
  <c r="X99" i="20"/>
  <c r="CY98" i="20"/>
  <c r="CV98" i="20"/>
  <c r="CY97" i="20"/>
  <c r="CY96" i="20"/>
  <c r="CY95" i="20"/>
  <c r="CP95" i="20"/>
  <c r="CI95" i="20"/>
  <c r="CB95" i="20"/>
  <c r="BU95" i="20"/>
  <c r="BN95" i="20"/>
  <c r="BG95" i="20"/>
  <c r="AZ95" i="20"/>
  <c r="AS95" i="20"/>
  <c r="AL95" i="20"/>
  <c r="AE95" i="20"/>
  <c r="X95" i="20"/>
  <c r="CY94" i="20"/>
  <c r="CV94" i="20"/>
  <c r="CY93" i="20"/>
  <c r="CY92" i="20"/>
  <c r="CY91" i="20"/>
  <c r="CY90" i="20"/>
  <c r="CY89" i="20"/>
  <c r="CV89" i="20"/>
  <c r="CY88" i="20"/>
  <c r="CY87" i="20"/>
  <c r="CY86" i="20"/>
  <c r="CY85" i="20"/>
  <c r="CY84" i="20"/>
  <c r="CY83" i="20"/>
  <c r="CP83" i="20"/>
  <c r="CI83" i="20"/>
  <c r="CB83" i="20"/>
  <c r="BU83" i="20"/>
  <c r="BN83" i="20"/>
  <c r="BG83" i="20"/>
  <c r="AZ83" i="20"/>
  <c r="AS83" i="20"/>
  <c r="AL83" i="20"/>
  <c r="AE83" i="20"/>
  <c r="X83" i="20"/>
  <c r="CY82" i="20"/>
  <c r="CV82" i="20"/>
  <c r="CY81" i="20"/>
  <c r="CY80" i="20"/>
  <c r="CY79" i="20"/>
  <c r="CP79" i="20"/>
  <c r="CI79" i="20"/>
  <c r="CB79" i="20"/>
  <c r="BU79" i="20"/>
  <c r="BN79" i="20"/>
  <c r="BG79" i="20"/>
  <c r="AZ79" i="20"/>
  <c r="AS79" i="20"/>
  <c r="AL79" i="20"/>
  <c r="AE79" i="20"/>
  <c r="X79" i="20"/>
  <c r="CY78" i="20"/>
  <c r="CV78" i="20"/>
  <c r="CY77" i="20"/>
  <c r="CY76" i="20"/>
  <c r="CY75" i="20"/>
  <c r="CY74" i="20"/>
  <c r="CY73" i="20"/>
  <c r="CV73" i="20"/>
  <c r="CY72" i="20"/>
  <c r="CY71" i="20"/>
  <c r="CY70" i="20"/>
  <c r="CY69" i="20"/>
  <c r="CY68" i="20"/>
  <c r="CY67" i="20"/>
  <c r="CP67" i="20"/>
  <c r="CI67" i="20"/>
  <c r="CB67" i="20"/>
  <c r="BU67" i="20"/>
  <c r="BN67" i="20"/>
  <c r="BG67" i="20"/>
  <c r="AZ67" i="20"/>
  <c r="AS67" i="20"/>
  <c r="AL67" i="20"/>
  <c r="AE67" i="20"/>
  <c r="X67" i="20"/>
  <c r="CY66" i="20"/>
  <c r="CV66" i="20"/>
  <c r="CY65" i="20"/>
  <c r="CY64" i="20"/>
  <c r="CY63" i="20"/>
  <c r="CP63" i="20"/>
  <c r="CI63" i="20"/>
  <c r="CB63" i="20"/>
  <c r="BU63" i="20"/>
  <c r="BN63" i="20"/>
  <c r="BG63" i="20"/>
  <c r="AZ63" i="20"/>
  <c r="AS63" i="20"/>
  <c r="AL63" i="20"/>
  <c r="AE63" i="20"/>
  <c r="X63" i="20"/>
  <c r="CY62" i="20"/>
  <c r="CV62" i="20"/>
  <c r="CY61" i="20"/>
  <c r="CY60" i="20"/>
  <c r="CY59" i="20"/>
  <c r="CY58" i="20"/>
  <c r="CY57" i="20"/>
  <c r="CV57" i="20"/>
  <c r="CY56" i="20"/>
  <c r="CY55" i="20"/>
  <c r="CY54" i="20"/>
  <c r="CY53" i="20"/>
  <c r="CY52" i="20"/>
  <c r="CY51" i="20"/>
  <c r="CP51" i="20"/>
  <c r="CI51" i="20"/>
  <c r="CB51" i="20"/>
  <c r="BU51" i="20"/>
  <c r="BN51" i="20"/>
  <c r="BG51" i="20"/>
  <c r="AZ51" i="20"/>
  <c r="AS51" i="20"/>
  <c r="AL51" i="20"/>
  <c r="AE51" i="20"/>
  <c r="X51" i="20"/>
  <c r="CY50" i="20"/>
  <c r="CV50" i="20"/>
  <c r="CY49" i="20"/>
  <c r="CY48" i="20"/>
  <c r="CY47" i="20"/>
  <c r="CP47" i="20"/>
  <c r="CI47" i="20"/>
  <c r="CB47" i="20"/>
  <c r="BU47" i="20"/>
  <c r="BN47" i="20"/>
  <c r="BG47" i="20"/>
  <c r="AZ47" i="20"/>
  <c r="AS47" i="20"/>
  <c r="AL47" i="20"/>
  <c r="AE47" i="20"/>
  <c r="X47" i="20"/>
  <c r="CY46" i="20"/>
  <c r="CV46" i="20"/>
  <c r="CY45" i="20"/>
  <c r="CY44" i="20"/>
  <c r="CY43" i="20"/>
  <c r="CY42" i="20"/>
  <c r="CY41" i="20"/>
  <c r="CV41" i="20"/>
  <c r="V40" i="20"/>
  <c r="W40" i="20" s="1"/>
  <c r="X40" i="20" s="1"/>
  <c r="Y40" i="20" s="1"/>
  <c r="Z40" i="20" s="1"/>
  <c r="AB40" i="20" s="1"/>
  <c r="AC40" i="20" s="1"/>
  <c r="AD40" i="20" s="1"/>
  <c r="AE40" i="20" s="1"/>
  <c r="AF40" i="20" s="1"/>
  <c r="AG40" i="20" s="1"/>
  <c r="AI40" i="20" s="1"/>
  <c r="AJ40" i="20" s="1"/>
  <c r="AK40" i="20" s="1"/>
  <c r="AL40" i="20" s="1"/>
  <c r="AM40" i="20" s="1"/>
  <c r="AN40" i="20" s="1"/>
  <c r="AP40" i="20" s="1"/>
  <c r="AQ40" i="20" s="1"/>
  <c r="AR40" i="20" s="1"/>
  <c r="AS40" i="20" s="1"/>
  <c r="AT40" i="20" s="1"/>
  <c r="AU40" i="20" s="1"/>
  <c r="AW40" i="20" s="1"/>
  <c r="AX40" i="20" s="1"/>
  <c r="AY40" i="20" s="1"/>
  <c r="AZ40" i="20" s="1"/>
  <c r="BA40" i="20" s="1"/>
  <c r="BB40" i="20" s="1"/>
  <c r="BD40" i="20" s="1"/>
  <c r="BE40" i="20" s="1"/>
  <c r="BF40" i="20" s="1"/>
  <c r="BG40" i="20" s="1"/>
  <c r="BH40" i="20" s="1"/>
  <c r="BI40" i="20" s="1"/>
  <c r="BK40" i="20" s="1"/>
  <c r="BL40" i="20" s="1"/>
  <c r="BM40" i="20" s="1"/>
  <c r="BN40" i="20" s="1"/>
  <c r="BO40" i="20" s="1"/>
  <c r="BP40" i="20" s="1"/>
  <c r="BR40" i="20" s="1"/>
  <c r="BS40" i="20" s="1"/>
  <c r="BT40" i="20" s="1"/>
  <c r="BU40" i="20" s="1"/>
  <c r="BV40" i="20" s="1"/>
  <c r="BW40" i="20" s="1"/>
  <c r="BY40" i="20" s="1"/>
  <c r="BZ40" i="20" s="1"/>
  <c r="CA40" i="20" s="1"/>
  <c r="CB40" i="20" s="1"/>
  <c r="CC40" i="20" s="1"/>
  <c r="CD40" i="20" s="1"/>
  <c r="CF40" i="20" s="1"/>
  <c r="CG40" i="20" s="1"/>
  <c r="CH40" i="20" s="1"/>
  <c r="CI40" i="20" s="1"/>
  <c r="CJ40" i="20" s="1"/>
  <c r="CK40" i="20" s="1"/>
  <c r="CM40" i="20" s="1"/>
  <c r="CN40" i="20" s="1"/>
  <c r="CO40" i="20" s="1"/>
  <c r="CP40" i="20" s="1"/>
  <c r="CQ40" i="20" s="1"/>
  <c r="CR40" i="20" s="1"/>
  <c r="CT40" i="20" s="1"/>
  <c r="CU40" i="20" s="1"/>
  <c r="CV40" i="20" s="1"/>
  <c r="U40" i="20"/>
  <c r="CN33" i="20"/>
  <c r="CG33" i="20"/>
  <c r="BZ33" i="20"/>
  <c r="BS33" i="20"/>
  <c r="BL33" i="20"/>
  <c r="BE33" i="20"/>
  <c r="AX33" i="20"/>
  <c r="AQ33" i="20"/>
  <c r="AJ33" i="20"/>
  <c r="AC33" i="20"/>
  <c r="V33" i="20"/>
  <c r="CN32" i="20"/>
  <c r="CG32" i="20"/>
  <c r="BZ32" i="20"/>
  <c r="BS32" i="20"/>
  <c r="BL32" i="20"/>
  <c r="BE32" i="20"/>
  <c r="AX32" i="20"/>
  <c r="AQ32" i="20"/>
  <c r="AJ32" i="20"/>
  <c r="AC32" i="20"/>
  <c r="V32" i="20"/>
  <c r="CN30" i="20"/>
  <c r="CG30" i="20"/>
  <c r="BZ30" i="20"/>
  <c r="BS30" i="20"/>
  <c r="BL30" i="20"/>
  <c r="BE30" i="20"/>
  <c r="AX30" i="20"/>
  <c r="AQ30" i="20"/>
  <c r="AJ30" i="20"/>
  <c r="AC30" i="20"/>
  <c r="V30" i="20"/>
  <c r="CN29" i="20"/>
  <c r="CG29" i="20"/>
  <c r="BZ29" i="20"/>
  <c r="BS29" i="20"/>
  <c r="BL29" i="20"/>
  <c r="BE29" i="20"/>
  <c r="AX29" i="20"/>
  <c r="AQ29" i="20"/>
  <c r="AJ29" i="20"/>
  <c r="AC29" i="20"/>
  <c r="V29" i="20"/>
  <c r="CN28" i="20"/>
  <c r="CG28" i="20"/>
  <c r="BZ28" i="20"/>
  <c r="BS28" i="20"/>
  <c r="BL28" i="20"/>
  <c r="BE28" i="20"/>
  <c r="AX28" i="20"/>
  <c r="AQ28" i="20"/>
  <c r="AJ28" i="20"/>
  <c r="AC28" i="20"/>
  <c r="V28" i="20"/>
  <c r="CN27" i="20"/>
  <c r="CG27" i="20"/>
  <c r="BZ27" i="20"/>
  <c r="BS27" i="20"/>
  <c r="BL27" i="20"/>
  <c r="BE27" i="20"/>
  <c r="AX27" i="20"/>
  <c r="AQ27" i="20"/>
  <c r="AJ27" i="20"/>
  <c r="AC27" i="20"/>
  <c r="V27" i="20"/>
  <c r="S25" i="20"/>
  <c r="S24" i="20"/>
  <c r="AE16" i="20"/>
  <c r="CY13" i="20"/>
  <c r="CY12" i="20"/>
  <c r="CY11" i="20"/>
  <c r="CY10" i="20"/>
  <c r="CY9" i="20"/>
  <c r="CY8" i="20"/>
  <c r="CP8" i="20"/>
  <c r="CI8" i="20"/>
  <c r="CB8" i="20"/>
  <c r="BU8" i="20"/>
  <c r="BN8" i="20"/>
  <c r="BG8" i="20"/>
  <c r="AZ8" i="20"/>
  <c r="AS8" i="20"/>
  <c r="AL8" i="20"/>
  <c r="AE8" i="20"/>
  <c r="X8" i="20"/>
  <c r="CY7" i="20"/>
  <c r="CV7" i="20"/>
  <c r="CY6" i="20"/>
  <c r="CY5" i="20"/>
  <c r="CY4" i="20"/>
  <c r="AC4" i="20"/>
  <c r="S4" i="20"/>
  <c r="I5" i="20" s="1"/>
  <c r="CY3" i="20"/>
  <c r="AC3" i="20"/>
  <c r="S3" i="20"/>
  <c r="CY2" i="20"/>
  <c r="CV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32" i="5"/>
  <c r="AP132" i="5"/>
  <c r="S48" i="26" s="1"/>
  <c r="K52" i="26" s="1"/>
  <c r="S52" i="26" s="1"/>
  <c r="AO132" i="5"/>
  <c r="S47" i="26" s="1"/>
  <c r="AN132" i="5"/>
  <c r="S46" i="26" s="1"/>
  <c r="AM132" i="5"/>
  <c r="AL132" i="5"/>
  <c r="AD48" i="26" s="1"/>
  <c r="AK132" i="5"/>
  <c r="AD47" i="26" s="1"/>
  <c r="AJ132" i="5"/>
  <c r="AI132" i="5"/>
  <c r="AH132" i="5"/>
  <c r="AQ127" i="5"/>
  <c r="AP127" i="5"/>
  <c r="S43" i="25" s="1"/>
  <c r="I44" i="25" s="1"/>
  <c r="AO127" i="5"/>
  <c r="S42" i="25" s="1"/>
  <c r="AN127" i="5"/>
  <c r="S41" i="25" s="1"/>
  <c r="AM127" i="5"/>
  <c r="AL127" i="5"/>
  <c r="AC43" i="25" s="1"/>
  <c r="AK127" i="5"/>
  <c r="AC42" i="25" s="1"/>
  <c r="AJ127" i="5"/>
  <c r="AI127" i="5"/>
  <c r="AH127" i="5"/>
  <c r="AQ122" i="5"/>
  <c r="AP122" i="5"/>
  <c r="S43" i="24" s="1"/>
  <c r="I44" i="24" s="1"/>
  <c r="AO122" i="5"/>
  <c r="S42" i="24" s="1"/>
  <c r="AN122" i="5"/>
  <c r="S41" i="24" s="1"/>
  <c r="AM122" i="5"/>
  <c r="AL122" i="5"/>
  <c r="AC43" i="24" s="1"/>
  <c r="AK122" i="5"/>
  <c r="AC42" i="24" s="1"/>
  <c r="AJ122" i="5"/>
  <c r="AI122" i="5"/>
  <c r="AH122" i="5"/>
  <c r="AQ116" i="5"/>
  <c r="AP116" i="5"/>
  <c r="S48" i="29" s="1"/>
  <c r="K52" i="29" s="1"/>
  <c r="S52" i="29" s="1"/>
  <c r="AO116" i="5"/>
  <c r="S47" i="29" s="1"/>
  <c r="AN116" i="5"/>
  <c r="S46" i="29" s="1"/>
  <c r="AM116" i="5"/>
  <c r="AL116" i="5"/>
  <c r="AD48" i="29" s="1"/>
  <c r="AK116" i="5"/>
  <c r="AD47" i="29" s="1"/>
  <c r="AJ116" i="5"/>
  <c r="AI116" i="5"/>
  <c r="AH116" i="5"/>
  <c r="AQ111" i="5"/>
  <c r="AP111" i="5"/>
  <c r="AO111" i="5"/>
  <c r="AN111" i="5"/>
  <c r="AM111" i="5"/>
  <c r="AL111" i="5"/>
  <c r="AK111" i="5"/>
  <c r="AJ111" i="5"/>
  <c r="AI111" i="5"/>
  <c r="AH111" i="5"/>
  <c r="AQ106" i="5"/>
  <c r="AP106" i="5"/>
  <c r="AO106" i="5"/>
  <c r="AN106" i="5"/>
  <c r="AM106" i="5"/>
  <c r="AL106" i="5"/>
  <c r="AK106" i="5"/>
  <c r="AJ106" i="5"/>
  <c r="AI106" i="5"/>
  <c r="AH106" i="5"/>
  <c r="AQ100" i="5"/>
  <c r="AP100" i="5"/>
  <c r="S48" i="23" s="1"/>
  <c r="K52" i="23" s="1"/>
  <c r="S52" i="23" s="1"/>
  <c r="AO100" i="5"/>
  <c r="S47" i="23" s="1"/>
  <c r="AN100" i="5"/>
  <c r="S46" i="23" s="1"/>
  <c r="AM100" i="5"/>
  <c r="AL100" i="5"/>
  <c r="AD48" i="23" s="1"/>
  <c r="AK100" i="5"/>
  <c r="AD47" i="23" s="1"/>
  <c r="AJ100" i="5"/>
  <c r="AI100" i="5"/>
  <c r="AH100" i="5"/>
  <c r="AQ95" i="5"/>
  <c r="AP95" i="5"/>
  <c r="S43" i="22" s="1"/>
  <c r="I44" i="22" s="1"/>
  <c r="AO95" i="5"/>
  <c r="S42" i="22" s="1"/>
  <c r="AN95" i="5"/>
  <c r="S41" i="22" s="1"/>
  <c r="AM95" i="5"/>
  <c r="AL95" i="5"/>
  <c r="AC43" i="22" s="1"/>
  <c r="AK95" i="5"/>
  <c r="AC42" i="22" s="1"/>
  <c r="AJ95" i="5"/>
  <c r="AI95" i="5"/>
  <c r="AH95" i="5"/>
  <c r="AQ90" i="5"/>
  <c r="AP90" i="5"/>
  <c r="S43" i="21" s="1"/>
  <c r="I44" i="21" s="1"/>
  <c r="AO90" i="5"/>
  <c r="S42" i="21" s="1"/>
  <c r="AN90" i="5"/>
  <c r="S41" i="21" s="1"/>
  <c r="AM90" i="5"/>
  <c r="AL90" i="5"/>
  <c r="AC43" i="21" s="1"/>
  <c r="AK90" i="5"/>
  <c r="AC42" i="21" s="1"/>
  <c r="AJ90" i="5"/>
  <c r="AI90" i="5"/>
  <c r="AH90" i="5"/>
  <c r="AP85" i="5"/>
  <c r="S107" i="20" s="1"/>
  <c r="I108" i="20" s="1"/>
  <c r="AO85" i="5"/>
  <c r="S106" i="20" s="1"/>
  <c r="AN85" i="5"/>
  <c r="S105" i="20" s="1"/>
  <c r="AL85" i="5"/>
  <c r="AC107" i="20" s="1"/>
  <c r="AJ85" i="5"/>
  <c r="AH85" i="5"/>
  <c r="AP81" i="5"/>
  <c r="S91" i="20" s="1"/>
  <c r="I92" i="20" s="1"/>
  <c r="AO81" i="5"/>
  <c r="S90" i="20" s="1"/>
  <c r="AN81" i="5"/>
  <c r="S89" i="20" s="1"/>
  <c r="AL81" i="5"/>
  <c r="AC91" i="20" s="1"/>
  <c r="AJ81" i="5"/>
  <c r="AH81" i="5"/>
  <c r="AP77" i="5"/>
  <c r="S75" i="20" s="1"/>
  <c r="I76" i="20" s="1"/>
  <c r="AO77" i="5"/>
  <c r="S74" i="20" s="1"/>
  <c r="AN77" i="5"/>
  <c r="S73" i="20" s="1"/>
  <c r="AL77" i="5"/>
  <c r="AC75" i="20" s="1"/>
  <c r="AJ77" i="5"/>
  <c r="AH77" i="5"/>
  <c r="AP73" i="5"/>
  <c r="S59" i="20" s="1"/>
  <c r="I60" i="20" s="1"/>
  <c r="AO73" i="5"/>
  <c r="S58" i="20" s="1"/>
  <c r="AN73" i="5"/>
  <c r="S57" i="20" s="1"/>
  <c r="AL73" i="5"/>
  <c r="AC59" i="20" s="1"/>
  <c r="AJ73" i="5"/>
  <c r="AH73" i="5"/>
  <c r="AQ69" i="5"/>
  <c r="AP69" i="5"/>
  <c r="S43" i="20" s="1"/>
  <c r="I44" i="20" s="1"/>
  <c r="AO69" i="5"/>
  <c r="S42" i="20" s="1"/>
  <c r="AN69" i="5"/>
  <c r="S41" i="20" s="1"/>
  <c r="AM69" i="5"/>
  <c r="AL69" i="5"/>
  <c r="AC43" i="20" s="1"/>
  <c r="AJ69" i="5"/>
  <c r="AH69" i="5"/>
  <c r="G69" i="5"/>
  <c r="AI81" i="5" s="1"/>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25" i="3"/>
  <c r="M25" i="3" a="1"/>
  <c r="M25" i="3"/>
  <c r="E25" i="3"/>
  <c r="G24" i="3"/>
  <c r="N85" i="5" s="1"/>
  <c r="AK85" i="5" s="1"/>
  <c r="AC106" i="20" s="1"/>
  <c r="E24" i="3"/>
  <c r="O22" i="3"/>
  <c r="M22" i="3" a="1"/>
  <c r="M22" i="3"/>
  <c r="E22" i="3"/>
  <c r="G21" i="3"/>
  <c r="N81" i="5" s="1"/>
  <c r="AK81" i="5" s="1"/>
  <c r="AC90" i="20" s="1"/>
  <c r="E21" i="3"/>
  <c r="O19" i="3"/>
  <c r="M19" i="3" a="1"/>
  <c r="M19" i="3"/>
  <c r="E19" i="3"/>
  <c r="G18" i="3"/>
  <c r="N77" i="5" s="1"/>
  <c r="AK77" i="5" s="1"/>
  <c r="AC74" i="20" s="1"/>
  <c r="E18" i="3"/>
  <c r="O16" i="3"/>
  <c r="M16" i="3" a="1"/>
  <c r="M16" i="3"/>
  <c r="E16" i="3"/>
  <c r="G15" i="3"/>
  <c r="N73" i="5" s="1"/>
  <c r="AK73" i="5" s="1"/>
  <c r="AC58" i="20" s="1"/>
  <c r="E15" i="3"/>
  <c r="O13" i="3"/>
  <c r="M13" i="3" a="1"/>
  <c r="M13" i="3"/>
  <c r="E13" i="3"/>
  <c r="E12" i="3"/>
  <c r="G12" i="3" s="1"/>
  <c r="N69" i="5" s="1"/>
  <c r="AK69" i="5" s="1"/>
  <c r="AC42" i="20" s="1"/>
  <c r="E4" i="3"/>
  <c r="E59" i="2"/>
  <c r="E49" i="2"/>
  <c r="E41" i="2"/>
  <c r="E27" i="2"/>
  <c r="E26" i="2"/>
  <c r="F25" i="2"/>
  <c r="E22" i="2"/>
  <c r="E21" i="2"/>
  <c r="F20" i="2"/>
  <c r="E19" i="2"/>
  <c r="E3" i="2"/>
  <c r="E2" i="2"/>
  <c r="L23" i="61"/>
  <c r="L21" i="61"/>
  <c r="L19" i="61"/>
  <c r="Y25" i="60"/>
  <c r="Y25" i="59"/>
  <c r="Y25" i="58"/>
  <c r="L22" i="61"/>
  <c r="P11" i="51"/>
  <c r="M10" i="50"/>
  <c r="K9" i="49"/>
  <c r="Y23" i="61"/>
  <c r="L20" i="61"/>
  <c r="M2" i="50"/>
  <c r="P2" i="51"/>
  <c r="K2" i="49"/>
  <c r="AL46" i="28"/>
  <c r="AL7" i="27"/>
  <c r="AL46" i="25"/>
  <c r="AL7" i="24"/>
  <c r="AL46" i="22"/>
  <c r="AL7" i="28"/>
  <c r="AL46" i="27"/>
  <c r="AL7" i="25"/>
  <c r="AL46" i="24"/>
  <c r="AL7" i="22"/>
  <c r="AL46" i="21"/>
  <c r="CW114" i="20"/>
  <c r="CW110" i="20"/>
  <c r="CW98" i="20"/>
  <c r="CW94" i="20"/>
  <c r="CW82" i="20"/>
  <c r="CW78" i="20"/>
  <c r="CW66" i="20"/>
  <c r="CW62" i="20"/>
  <c r="CW50" i="20"/>
  <c r="CW46" i="20"/>
  <c r="CW7" i="20"/>
  <c r="AL46" i="19"/>
  <c r="AR56" i="17"/>
  <c r="AR55" i="17"/>
  <c r="AN49" i="16"/>
  <c r="AN49" i="15"/>
  <c r="AN49" i="14"/>
  <c r="AN49" i="13"/>
  <c r="AN8" i="13"/>
  <c r="AN49" i="12"/>
  <c r="AN8" i="12"/>
  <c r="AN49" i="11"/>
  <c r="AN8" i="11"/>
  <c r="AL7" i="21"/>
  <c r="AL7" i="19"/>
  <c r="AV51" i="18"/>
  <c r="AV8" i="18"/>
  <c r="AR8" i="17"/>
  <c r="AN8" i="16"/>
  <c r="AN8" i="15"/>
  <c r="AN8" i="14"/>
  <c r="J13" i="3"/>
  <c r="I10" i="45" l="1"/>
  <c r="I27" i="35"/>
  <c r="H10" i="40"/>
  <c r="I11" i="33"/>
  <c r="I11" i="32"/>
  <c r="H15" i="31"/>
  <c r="I8" i="34"/>
  <c r="I26" i="30"/>
  <c r="J48" i="11"/>
  <c r="S47" i="11"/>
  <c r="J45" i="19"/>
  <c r="S44" i="19"/>
  <c r="J67" i="20"/>
  <c r="J66" i="20"/>
  <c r="J61" i="20"/>
  <c r="S60" i="20"/>
  <c r="J68" i="20"/>
  <c r="J65" i="20"/>
  <c r="J83" i="20"/>
  <c r="J82" i="20"/>
  <c r="J77" i="20"/>
  <c r="S76" i="20"/>
  <c r="J84" i="20"/>
  <c r="J81" i="20"/>
  <c r="J99" i="20"/>
  <c r="J98" i="20"/>
  <c r="J93" i="20"/>
  <c r="S92" i="20"/>
  <c r="J100" i="20"/>
  <c r="J97" i="20"/>
  <c r="J115" i="20"/>
  <c r="J114" i="20"/>
  <c r="J109" i="20"/>
  <c r="S108" i="20"/>
  <c r="J116" i="20"/>
  <c r="J113" i="20"/>
  <c r="K8" i="11"/>
  <c r="S8" i="11" s="1"/>
  <c r="S7" i="11"/>
  <c r="K8" i="13"/>
  <c r="S8" i="13" s="1"/>
  <c r="S7" i="13"/>
  <c r="J6" i="19"/>
  <c r="S5" i="19"/>
  <c r="J6" i="20"/>
  <c r="S5" i="20"/>
  <c r="J48" i="12"/>
  <c r="S47" i="12"/>
  <c r="K55" i="17"/>
  <c r="U54" i="17"/>
  <c r="J48" i="15"/>
  <c r="I47" i="15"/>
  <c r="J48" i="16"/>
  <c r="I47" i="16"/>
  <c r="J48" i="13"/>
  <c r="S47" i="13"/>
  <c r="K51" i="18"/>
  <c r="S51" i="18" s="1"/>
  <c r="J50" i="18"/>
  <c r="I49" i="18"/>
  <c r="J51" i="20"/>
  <c r="J50" i="20"/>
  <c r="J45" i="20"/>
  <c r="S44" i="20"/>
  <c r="J52" i="20"/>
  <c r="J49" i="20"/>
  <c r="K8" i="12"/>
  <c r="S8" i="12" s="1"/>
  <c r="S7" i="12"/>
  <c r="K8" i="14"/>
  <c r="S8" i="14" s="1"/>
  <c r="S7" i="14"/>
  <c r="K8" i="15"/>
  <c r="S8" i="15" s="1"/>
  <c r="S7" i="15"/>
  <c r="K8" i="16"/>
  <c r="S8" i="16" s="1"/>
  <c r="S7" i="16"/>
  <c r="K8" i="17"/>
  <c r="U7" i="17"/>
  <c r="K7" i="21"/>
  <c r="S7" i="21" s="1"/>
  <c r="S6" i="21"/>
  <c r="I9" i="45"/>
  <c r="H9" i="40"/>
  <c r="I26" i="35"/>
  <c r="I10" i="33"/>
  <c r="I10" i="32"/>
  <c r="I7" i="34"/>
  <c r="H14" i="31"/>
  <c r="I25" i="30"/>
  <c r="I11" i="45"/>
  <c r="I28" i="35"/>
  <c r="H11" i="40"/>
  <c r="I12" i="33"/>
  <c r="I12" i="32"/>
  <c r="I9" i="34"/>
  <c r="H16" i="31"/>
  <c r="I27" i="30"/>
  <c r="G24" i="58"/>
  <c r="L23" i="58"/>
  <c r="AI69" i="5"/>
  <c r="G319" i="43"/>
  <c r="G253" i="43"/>
  <c r="G187" i="43"/>
  <c r="G121" i="43"/>
  <c r="G53" i="43"/>
  <c r="AI77" i="5"/>
  <c r="G323" i="43"/>
  <c r="G257" i="43"/>
  <c r="G191" i="43"/>
  <c r="G125" i="43"/>
  <c r="G57" i="43"/>
  <c r="AI85" i="5"/>
  <c r="AC42" i="28"/>
  <c r="AC42" i="27"/>
  <c r="S42" i="27"/>
  <c r="S42" i="28"/>
  <c r="D34" i="7"/>
  <c r="D36" i="7"/>
  <c r="D37" i="7" s="1"/>
  <c r="D38" i="7" s="1"/>
  <c r="S6" i="11"/>
  <c r="S6" i="12"/>
  <c r="S6" i="13"/>
  <c r="AD44" i="14"/>
  <c r="S45" i="14"/>
  <c r="AD46" i="14"/>
  <c r="I6" i="18"/>
  <c r="J7" i="18"/>
  <c r="S5" i="21"/>
  <c r="J6" i="22"/>
  <c r="S5" i="22"/>
  <c r="J6" i="24"/>
  <c r="S5" i="24"/>
  <c r="J6" i="25"/>
  <c r="S5" i="25"/>
  <c r="F224" i="43"/>
  <c r="F290" i="43"/>
  <c r="F158" i="43"/>
  <c r="F92" i="43"/>
  <c r="F24" i="43"/>
  <c r="G290" i="43"/>
  <c r="G224" i="43"/>
  <c r="G158" i="43"/>
  <c r="G92" i="43"/>
  <c r="G24" i="43"/>
  <c r="G5" i="43"/>
  <c r="G2" i="43"/>
  <c r="F293" i="43"/>
  <c r="F227" i="43"/>
  <c r="F161" i="43"/>
  <c r="F95" i="43"/>
  <c r="F27" i="43"/>
  <c r="G227" i="43"/>
  <c r="G293" i="43"/>
  <c r="G161" i="43"/>
  <c r="G95" i="43"/>
  <c r="G27" i="43"/>
  <c r="F296" i="43"/>
  <c r="F230" i="43"/>
  <c r="F164" i="43"/>
  <c r="F98" i="43"/>
  <c r="F30" i="43"/>
  <c r="O19" i="58"/>
  <c r="G296" i="43"/>
  <c r="G230" i="43"/>
  <c r="G164" i="43"/>
  <c r="G98" i="43"/>
  <c r="G30" i="43"/>
  <c r="F299" i="43"/>
  <c r="F233" i="43"/>
  <c r="F167" i="43"/>
  <c r="F101" i="43"/>
  <c r="F33" i="43"/>
  <c r="G233" i="43"/>
  <c r="G299" i="43"/>
  <c r="G167" i="43"/>
  <c r="G101" i="43"/>
  <c r="G33" i="43"/>
  <c r="F302" i="43"/>
  <c r="F236" i="43"/>
  <c r="F170" i="43"/>
  <c r="F104" i="43"/>
  <c r="F36" i="43"/>
  <c r="G302" i="43"/>
  <c r="G236" i="43"/>
  <c r="G170" i="43"/>
  <c r="G104" i="43"/>
  <c r="G36" i="43"/>
  <c r="F305" i="43"/>
  <c r="F239" i="43"/>
  <c r="F173" i="43"/>
  <c r="F107" i="43"/>
  <c r="F39" i="43"/>
  <c r="G239" i="43"/>
  <c r="G305" i="43"/>
  <c r="G173" i="43"/>
  <c r="G107" i="43"/>
  <c r="G39" i="43"/>
  <c r="F308" i="43"/>
  <c r="F242" i="43"/>
  <c r="F176" i="43"/>
  <c r="F110" i="43"/>
  <c r="F42" i="43"/>
  <c r="G308" i="43"/>
  <c r="G242" i="43"/>
  <c r="G176" i="43"/>
  <c r="G110" i="43"/>
  <c r="G42" i="43"/>
  <c r="F311" i="43"/>
  <c r="F245" i="43"/>
  <c r="F179" i="43"/>
  <c r="F113" i="43"/>
  <c r="F45" i="43"/>
  <c r="G245" i="43"/>
  <c r="G311" i="43"/>
  <c r="G179" i="43"/>
  <c r="G113" i="43"/>
  <c r="G45" i="43"/>
  <c r="F314" i="43"/>
  <c r="F248" i="43"/>
  <c r="F182" i="43"/>
  <c r="F116" i="43"/>
  <c r="F48" i="43"/>
  <c r="G314" i="43"/>
  <c r="G248" i="43"/>
  <c r="G182" i="43"/>
  <c r="G116" i="43"/>
  <c r="G48" i="43"/>
  <c r="F317" i="43"/>
  <c r="F251" i="43"/>
  <c r="F185" i="43"/>
  <c r="F119" i="43"/>
  <c r="F51" i="43"/>
  <c r="G251" i="43"/>
  <c r="G317" i="43"/>
  <c r="G185" i="43"/>
  <c r="G119" i="43"/>
  <c r="G51" i="43"/>
  <c r="AI73" i="5"/>
  <c r="G321" i="43"/>
  <c r="G189" i="43"/>
  <c r="G255" i="43"/>
  <c r="G123" i="43"/>
  <c r="G55" i="43"/>
  <c r="G259" i="43"/>
  <c r="G325" i="43"/>
  <c r="G193" i="43"/>
  <c r="G127" i="43"/>
  <c r="G59" i="43"/>
  <c r="F328" i="43"/>
  <c r="F262" i="43"/>
  <c r="F196" i="43"/>
  <c r="F130" i="43"/>
  <c r="F62" i="43"/>
  <c r="G328" i="43"/>
  <c r="G196" i="43"/>
  <c r="G262" i="43"/>
  <c r="G130" i="43"/>
  <c r="G62" i="43"/>
  <c r="AC41" i="21"/>
  <c r="J45" i="21"/>
  <c r="S44" i="21"/>
  <c r="F331" i="43"/>
  <c r="F265" i="43"/>
  <c r="F199" i="43"/>
  <c r="F133" i="43"/>
  <c r="F65" i="43"/>
  <c r="G265" i="43"/>
  <c r="G331" i="43"/>
  <c r="G199" i="43"/>
  <c r="G133" i="43"/>
  <c r="G65" i="43"/>
  <c r="AC41" i="22"/>
  <c r="J45" i="22"/>
  <c r="S44" i="22"/>
  <c r="F334" i="43"/>
  <c r="F268" i="43"/>
  <c r="F202" i="43"/>
  <c r="F136" i="43"/>
  <c r="F68" i="43"/>
  <c r="G334" i="43"/>
  <c r="G202" i="43"/>
  <c r="G268" i="43"/>
  <c r="G136" i="43"/>
  <c r="G68" i="43"/>
  <c r="AD46" i="23"/>
  <c r="F337" i="43"/>
  <c r="F271" i="43"/>
  <c r="F205" i="43"/>
  <c r="F139" i="43"/>
  <c r="F71" i="43"/>
  <c r="G271" i="43"/>
  <c r="G337" i="43"/>
  <c r="G205" i="43"/>
  <c r="G139" i="43"/>
  <c r="G71" i="43"/>
  <c r="AC41" i="28"/>
  <c r="AC41" i="27"/>
  <c r="AC43" i="27"/>
  <c r="AC43" i="28"/>
  <c r="S41" i="27"/>
  <c r="S41" i="28"/>
  <c r="S43" i="28"/>
  <c r="I44" i="28" s="1"/>
  <c r="S43" i="27"/>
  <c r="I44" i="27" s="1"/>
  <c r="F340" i="43"/>
  <c r="F274" i="43"/>
  <c r="F208" i="43"/>
  <c r="F142" i="43"/>
  <c r="F74" i="43"/>
  <c r="G340" i="43"/>
  <c r="G208" i="43"/>
  <c r="G274" i="43"/>
  <c r="G142" i="43"/>
  <c r="G74" i="43"/>
  <c r="F343" i="43"/>
  <c r="F277" i="43"/>
  <c r="F211" i="43"/>
  <c r="F145" i="43"/>
  <c r="F77" i="43"/>
  <c r="G277" i="43"/>
  <c r="G343" i="43"/>
  <c r="G211" i="43"/>
  <c r="G145" i="43"/>
  <c r="G77" i="43"/>
  <c r="AD46" i="29"/>
  <c r="F346" i="43"/>
  <c r="F280" i="43"/>
  <c r="F214" i="43"/>
  <c r="F148" i="43"/>
  <c r="F80" i="43"/>
  <c r="G346" i="43"/>
  <c r="G214" i="43"/>
  <c r="G280" i="43"/>
  <c r="G148" i="43"/>
  <c r="G80" i="43"/>
  <c r="AC41" i="24"/>
  <c r="J45" i="24"/>
  <c r="S44" i="24"/>
  <c r="F349" i="43"/>
  <c r="F283" i="43"/>
  <c r="F217" i="43"/>
  <c r="F151" i="43"/>
  <c r="F83" i="43"/>
  <c r="G283" i="43"/>
  <c r="G349" i="43"/>
  <c r="G217" i="43"/>
  <c r="G151" i="43"/>
  <c r="G83" i="43"/>
  <c r="AC41" i="25"/>
  <c r="J45" i="25"/>
  <c r="S44" i="25"/>
  <c r="F352" i="43"/>
  <c r="F286" i="43"/>
  <c r="F220" i="43"/>
  <c r="F154" i="43"/>
  <c r="F86" i="43"/>
  <c r="G352" i="43"/>
  <c r="G220" i="43"/>
  <c r="G286" i="43"/>
  <c r="G154" i="43"/>
  <c r="G86" i="43"/>
  <c r="AD46" i="26"/>
  <c r="D33" i="7"/>
  <c r="AD43" i="11"/>
  <c r="AD43" i="12"/>
  <c r="AD43" i="13"/>
  <c r="S43" i="14"/>
  <c r="S44" i="14"/>
  <c r="AD45" i="14"/>
  <c r="S46" i="14"/>
  <c r="AC41" i="19"/>
  <c r="AC41" i="20"/>
  <c r="AC57" i="20"/>
  <c r="AC73" i="20"/>
  <c r="AC89" i="20"/>
  <c r="AC105" i="20"/>
  <c r="J6" i="27"/>
  <c r="S5" i="27"/>
  <c r="J6" i="28"/>
  <c r="S5" i="28"/>
  <c r="K33" i="30"/>
  <c r="K69" i="30"/>
  <c r="H25" i="59"/>
  <c r="L25" i="59" s="1"/>
  <c r="L24" i="59"/>
  <c r="AA16" i="57"/>
  <c r="N16" i="57" s="1"/>
  <c r="I21" i="40" s="1"/>
  <c r="AA15" i="57"/>
  <c r="N15" i="57" s="1"/>
  <c r="I19" i="40" s="1"/>
  <c r="U14" i="57"/>
  <c r="M14" i="57" s="1"/>
  <c r="E18" i="40" s="1"/>
  <c r="AA12" i="57"/>
  <c r="N12" i="57" s="1"/>
  <c r="I16" i="40" s="1"/>
  <c r="E32" i="56"/>
  <c r="C32" i="56" s="1"/>
  <c r="E30" i="56"/>
  <c r="C30" i="56" s="1"/>
  <c r="D14" i="42" s="1"/>
  <c r="E29" i="56"/>
  <c r="C29" i="56" s="1"/>
  <c r="D5" i="44" s="1"/>
  <c r="E6" i="56"/>
  <c r="C6" i="56" s="1"/>
  <c r="E21" i="30" s="1"/>
  <c r="E5" i="56"/>
  <c r="C5" i="56" s="1"/>
  <c r="D5" i="41" s="1"/>
  <c r="E3" i="56"/>
  <c r="C3" i="56" s="1"/>
  <c r="D5" i="40" s="1"/>
  <c r="J52" i="55"/>
  <c r="J45" i="55" s="1"/>
  <c r="E5" i="2" s="1"/>
  <c r="J51" i="55"/>
  <c r="J50" i="55"/>
  <c r="J49" i="55"/>
  <c r="O9" i="51"/>
  <c r="G8" i="50"/>
  <c r="D5" i="48"/>
  <c r="E10" i="44"/>
  <c r="U148" i="57"/>
  <c r="M148" i="57" s="1"/>
  <c r="E12" i="41" s="1"/>
  <c r="U15" i="57"/>
  <c r="M15" i="57" s="1"/>
  <c r="E19" i="40" s="1"/>
  <c r="AA13" i="57"/>
  <c r="N13" i="57" s="1"/>
  <c r="I17" i="40" s="1"/>
  <c r="AA11" i="57"/>
  <c r="N11" i="57" s="1"/>
  <c r="I15" i="40" s="1"/>
  <c r="H25" i="60"/>
  <c r="L25" i="60" s="1"/>
  <c r="L24" i="60"/>
  <c r="E4" i="56"/>
  <c r="C4" i="56" s="1"/>
  <c r="D4" i="7" s="1"/>
  <c r="L23" i="59"/>
  <c r="L23" i="60"/>
  <c r="J48" i="14" l="1"/>
  <c r="I47" i="14"/>
  <c r="K46" i="25"/>
  <c r="S46" i="25" s="1"/>
  <c r="S45" i="25"/>
  <c r="J45" i="27"/>
  <c r="S44" i="27"/>
  <c r="K46" i="22"/>
  <c r="S46" i="22" s="1"/>
  <c r="S45" i="22"/>
  <c r="K7" i="25"/>
  <c r="S7" i="25" s="1"/>
  <c r="S6" i="25"/>
  <c r="K7" i="24"/>
  <c r="S7" i="24" s="1"/>
  <c r="S6" i="24"/>
  <c r="K7" i="22"/>
  <c r="S7" i="22" s="1"/>
  <c r="S6" i="22"/>
  <c r="D42" i="7"/>
  <c r="D43" i="7" s="1"/>
  <c r="D44" i="7" s="1"/>
  <c r="D39" i="7"/>
  <c r="D40" i="7"/>
  <c r="H25" i="58"/>
  <c r="L25" i="58" s="1"/>
  <c r="L24" i="58"/>
  <c r="U8" i="17"/>
  <c r="L9" i="17"/>
  <c r="U9" i="17" s="1"/>
  <c r="K46" i="20"/>
  <c r="S46" i="20" s="1"/>
  <c r="S45" i="20"/>
  <c r="S113" i="20"/>
  <c r="K114" i="20"/>
  <c r="S114" i="20" s="1"/>
  <c r="S97" i="20"/>
  <c r="K98" i="20"/>
  <c r="S98" i="20" s="1"/>
  <c r="S81" i="20"/>
  <c r="K82" i="20"/>
  <c r="S82" i="20" s="1"/>
  <c r="S65" i="20"/>
  <c r="K66" i="20"/>
  <c r="S66" i="20" s="1"/>
  <c r="D4" i="4"/>
  <c r="B5" i="1"/>
  <c r="F5" i="38"/>
  <c r="F5" i="37"/>
  <c r="F5" i="39"/>
  <c r="F5" i="36"/>
  <c r="I31" i="30"/>
  <c r="I136" i="30" s="1"/>
  <c r="H31" i="30"/>
  <c r="H136" i="30" s="1"/>
  <c r="K7" i="28"/>
  <c r="S7" i="28" s="1"/>
  <c r="S6" i="28"/>
  <c r="K7" i="27"/>
  <c r="S7" i="27" s="1"/>
  <c r="S6" i="27"/>
  <c r="K46" i="24"/>
  <c r="S46" i="24" s="1"/>
  <c r="S45" i="24"/>
  <c r="J45" i="28"/>
  <c r="S44" i="28"/>
  <c r="K46" i="21"/>
  <c r="S46" i="21" s="1"/>
  <c r="S45" i="21"/>
  <c r="S49" i="20"/>
  <c r="K50" i="20"/>
  <c r="S50" i="20" s="1"/>
  <c r="K49" i="13"/>
  <c r="S49" i="13" s="1"/>
  <c r="S48" i="13"/>
  <c r="K49" i="16"/>
  <c r="S49" i="16" s="1"/>
  <c r="S48" i="16"/>
  <c r="K49" i="15"/>
  <c r="S49" i="15" s="1"/>
  <c r="S48" i="15"/>
  <c r="L56" i="17"/>
  <c r="U56" i="17" s="1"/>
  <c r="U55" i="17"/>
  <c r="K49" i="12"/>
  <c r="S49" i="12" s="1"/>
  <c r="S48" i="12"/>
  <c r="K7" i="20"/>
  <c r="S7" i="20" s="1"/>
  <c r="S6" i="20"/>
  <c r="K7" i="19"/>
  <c r="S7" i="19" s="1"/>
  <c r="S6" i="19"/>
  <c r="K110" i="20"/>
  <c r="S110" i="20" s="1"/>
  <c r="S109" i="20"/>
  <c r="K94" i="20"/>
  <c r="S94" i="20" s="1"/>
  <c r="S93" i="20"/>
  <c r="K78" i="20"/>
  <c r="S78" i="20" s="1"/>
  <c r="S77" i="20"/>
  <c r="K62" i="20"/>
  <c r="S62" i="20" s="1"/>
  <c r="S61" i="20"/>
  <c r="K46" i="19"/>
  <c r="S46" i="19" s="1"/>
  <c r="S45" i="19"/>
  <c r="K49" i="11"/>
  <c r="S49" i="11" s="1"/>
  <c r="S48" i="11"/>
  <c r="K46" i="28" l="1"/>
  <c r="S46" i="28" s="1"/>
  <c r="S45" i="28"/>
  <c r="D50" i="7"/>
  <c r="D47" i="7"/>
  <c r="D48" i="7"/>
  <c r="D46" i="7"/>
  <c r="D45" i="7"/>
  <c r="K46" i="27"/>
  <c r="S46" i="27" s="1"/>
  <c r="S45" i="2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<sst xmlns="http://schemas.openxmlformats.org/spreadsheetml/2006/main" count="16540" uniqueCount="4343">
  <si>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</si>
  <si>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</si>
  <si>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</si>
  <si>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</si>
  <si>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</si>
  <si>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</si>
  <si>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</si>
  <si>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</si>
  <si>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</si>
  <si>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</si>
  <si>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</si>
  <si>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</si>
  <si>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</si>
  <si>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</si>
  <si>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</si>
  <si>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</si>
  <si>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</si>
  <si>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</si>
  <si>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</si>
  <si>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</si>
  <si>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</si>
  <si>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</si>
  <si>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</si>
  <si>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</si>
  <si>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</si>
  <si>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</si>
  <si>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</si>
  <si>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</si>
  <si>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</si>
  <si>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</si>
  <si>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</si>
  <si>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</si>
  <si>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</si>
  <si>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</si>
  <si>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</si>
  <si>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</si>
  <si>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</si>
  <si>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</si>
  <si>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</si>
  <si>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</si>
  <si>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</si>
  <si>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</si>
  <si>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</si>
  <si>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</si>
  <si>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</si>
  <si>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</si>
  <si>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</si>
  <si>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</si>
  <si>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</si>
  <si>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</si>
  <si>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</si>
  <si>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</si>
  <si>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</si>
  <si>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</si>
  <si>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</si>
  <si>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</si>
  <si>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</si>
  <si>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</si>
  <si>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</si>
  <si>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</si>
  <si>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</si>
  <si>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</si>
  <si>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</si>
  <si>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</si>
  <si>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</si>
  <si>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</si>
  <si>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</si>
  <si>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</si>
  <si>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</si>
  <si>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</si>
  <si>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</si>
  <si>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</si>
  <si>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</si>
  <si>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</si>
  <si>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</si>
  <si>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</si>
  <si>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</si>
  <si>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</si>
  <si>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</si>
  <si>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</si>
  <si>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</si>
  <si>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</si>
  <si>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</si>
  <si>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</si>
  <si>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</si>
  <si>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</si>
  <si>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</si>
  <si>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</si>
  <si>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</si>
  <si>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</si>
  <si>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</si>
  <si>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</si>
  <si>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</si>
  <si>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</si>
  <si>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</si>
  <si>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</si>
  <si>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</si>
  <si>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67</t>
  </si>
  <si>
    <t>Будённовский муниципальный район</t>
  </si>
  <si>
    <t>Город Буденновск</t>
  </si>
  <si>
    <t>07612101</t>
  </si>
  <si>
    <t>Добавить МО</t>
  </si>
  <si>
    <t>2</t>
  </si>
  <si>
    <t>×</t>
  </si>
  <si>
    <t>ter_55</t>
  </si>
  <si>
    <t>114</t>
  </si>
  <si>
    <t>Изобильненский</t>
  </si>
  <si>
    <t>07713000</t>
  </si>
  <si>
    <t>ter_56</t>
  </si>
  <si>
    <t>194</t>
  </si>
  <si>
    <t>Курский муниципальный округ</t>
  </si>
  <si>
    <t>07533000</t>
  </si>
  <si>
    <t>ter_57</t>
  </si>
  <si>
    <t>216</t>
  </si>
  <si>
    <t>Левокумский муниципальный район</t>
  </si>
  <si>
    <t>Село Левокумское</t>
  </si>
  <si>
    <t>07636410</t>
  </si>
  <si>
    <t>5</t>
  </si>
  <si>
    <t>ter_58</t>
  </si>
  <si>
    <t>241</t>
  </si>
  <si>
    <t>Нефтекумский муниципальный район</t>
  </si>
  <si>
    <t>Город Нефтекумск</t>
  </si>
  <si>
    <t>07641101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</si>
  <si>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</si>
  <si>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</si>
  <si>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</si>
  <si>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</si>
  <si>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</si>
  <si>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</si>
  <si>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</si>
  <si>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</si>
  <si>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</si>
  <si>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</si>
  <si>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</si>
  <si>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</si>
  <si>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</si>
  <si>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</si>
  <si>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</si>
  <si>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</si>
  <si>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</si>
  <si>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</si>
  <si>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</si>
  <si>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</si>
  <si>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</si>
  <si>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</si>
  <si>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</si>
  <si>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</si>
  <si>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</si>
  <si>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</si>
  <si>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</si>
  <si>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</si>
  <si>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</si>
  <si>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</si>
  <si>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</si>
  <si>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</si>
  <si>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</si>
  <si>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</si>
  <si>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</si>
  <si>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</si>
  <si>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</si>
  <si>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</si>
  <si>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</si>
  <si>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</si>
  <si>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</si>
  <si>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</si>
  <si>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</si>
  <si>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</si>
  <si>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</si>
  <si>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</si>
  <si>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</si>
  <si>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</si>
  <si>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</si>
  <si>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</si>
  <si>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</si>
  <si>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</si>
  <si>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</si>
  <si>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</si>
  <si>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</si>
  <si>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</si>
  <si>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</si>
  <si>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</si>
  <si>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</si>
  <si>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</si>
  <si>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</si>
  <si>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</si>
  <si>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</si>
  <si>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</si>
  <si>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</si>
  <si>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</si>
  <si>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</si>
  <si>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</si>
  <si>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</si>
  <si>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</si>
  <si>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</si>
  <si>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</si>
  <si>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</si>
  <si>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</si>
  <si>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</si>
  <si>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</si>
  <si>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</si>
  <si>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</si>
  <si>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</si>
  <si>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</si>
  <si>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</si>
  <si>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</si>
  <si>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</si>
  <si>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</si>
  <si>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</si>
  <si>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</si>
  <si>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</si>
  <si>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</si>
  <si>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</si>
  <si>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</si>
  <si>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</si>
  <si>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</si>
  <si>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</si>
  <si>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</si>
  <si>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</si>
  <si>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</si>
  <si>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</si>
  <si>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</si>
  <si>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</si>
  <si>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</si>
  <si>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</si>
  <si>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</si>
  <si>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</si>
  <si>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</si>
  <si>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</si>
  <si>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</si>
  <si>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</si>
  <si>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</si>
  <si>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</si>
  <si>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</si>
  <si>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</si>
  <si>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 на техническую воду для потребителей, присоединенных к централизованной системе технического водоснабжения города Буденновска Буденновского муниципального округа</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</si>
  <si>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</si>
  <si>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</si>
  <si>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</si>
  <si>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</si>
  <si>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</si>
  <si>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</si>
  <si>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</si>
  <si>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Тариф на техническую воду для потребителей, присоединенных к централизованной системе технического водоснабжения Изобильненского муниципального округа</t>
  </si>
  <si>
    <t>pt_ntar_26</t>
  </si>
  <si>
    <t>pt_ter_30</t>
  </si>
  <si>
    <t>pt_cs_30</t>
  </si>
  <si>
    <t>pt_ist_te_30</t>
  </si>
  <si>
    <t>Тариф на техническую воду для потребителей, присоединенных к централизованной системе технического водоснабжения хутора Привольного Курского муниципального округа</t>
  </si>
  <si>
    <t>pt_ntar_27</t>
  </si>
  <si>
    <t>pt_ter_31</t>
  </si>
  <si>
    <t>pt_cs_31</t>
  </si>
  <si>
    <t>pt_ist_te_31</t>
  </si>
  <si>
    <t>Тариф на техническую воду для потребителей, присоединенных к централизованной системе технического водоснабжения села Левокумского Левокумского муниципального округа</t>
  </si>
  <si>
    <t>pt_ntar_28</t>
  </si>
  <si>
    <t>pt_ter_32</t>
  </si>
  <si>
    <t>pt_cs_32</t>
  </si>
  <si>
    <t>pt_ist_te_32</t>
  </si>
  <si>
    <t>Тариф на техническую воду для потребителей, присоединенных к централизованной системе технического водоснабжения города Нефтекумска Нефтекумского муниципального округа</t>
  </si>
  <si>
    <t>pt_ntar_29</t>
  </si>
  <si>
    <t>pt_ter_33</t>
  </si>
  <si>
    <t>pt_cs_33</t>
  </si>
  <si>
    <t>pt_ist_te_33</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</si>
  <si>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</si>
  <si>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</si>
  <si>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</si>
  <si>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</si>
  <si>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</si>
  <si>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</si>
  <si>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</si>
  <si>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</si>
  <si>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</si>
  <si>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</si>
  <si>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</si>
  <si>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</si>
  <si>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</si>
  <si>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</si>
  <si>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</si>
  <si>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</si>
  <si>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</si>
  <si>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</si>
  <si>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</si>
  <si>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</si>
  <si>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</si>
  <si>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</si>
  <si>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</si>
  <si>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</si>
  <si>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</si>
  <si>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</si>
  <si>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</si>
  <si>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</si>
  <si>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</si>
  <si>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</si>
  <si>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</si>
  <si>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</si>
  <si>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</si>
  <si>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</si>
  <si>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</si>
  <si>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</si>
  <si>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</si>
  <si>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</si>
  <si>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</si>
  <si>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</si>
  <si>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</si>
  <si>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</si>
  <si>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</si>
  <si>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</si>
  <si>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</si>
  <si>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</si>
  <si>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</si>
  <si>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</si>
  <si>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</si>
  <si>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</si>
  <si>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</si>
  <si>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</si>
  <si>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</si>
  <si>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</si>
  <si>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</si>
  <si>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</si>
  <si>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</si>
  <si>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</si>
  <si>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</si>
  <si>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</si>
  <si>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</si>
  <si>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</si>
  <si>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</si>
  <si>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</si>
  <si>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</si>
  <si>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</si>
  <si>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</si>
  <si>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</si>
  <si>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</si>
  <si>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</si>
  <si>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</si>
  <si>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</si>
  <si>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</si>
  <si>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</si>
  <si>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</si>
  <si>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</si>
  <si>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</si>
  <si>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</si>
  <si>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</si>
  <si>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</si>
  <si>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</si>
  <si>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</si>
  <si>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</si>
  <si>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</si>
  <si>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</si>
  <si>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</si>
  <si>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</si>
  <si>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</si>
  <si>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</si>
  <si>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</si>
  <si>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</si>
  <si>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</si>
  <si>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</si>
  <si>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</si>
  <si>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</si>
  <si>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</si>
  <si>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</si>
  <si>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</si>
  <si>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</si>
  <si>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</si>
  <si>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</si>
  <si>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</si>
  <si>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</si>
  <si>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</si>
  <si>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</si>
  <si>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</si>
  <si>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</si>
  <si>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</si>
  <si>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</si>
  <si>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</si>
  <si>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</si>
  <si>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</si>
  <si>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</si>
  <si>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</si>
  <si>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</si>
  <si>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</si>
  <si>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</si>
  <si>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</si>
  <si>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</si>
  <si>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</si>
  <si>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</si>
  <si>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</si>
  <si>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</si>
  <si>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</si>
  <si>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</si>
  <si>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</si>
  <si>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</si>
  <si>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</si>
  <si>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</si>
  <si>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</si>
  <si>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</si>
  <si>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</si>
  <si>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</si>
  <si>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</si>
  <si>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</si>
  <si>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</si>
  <si>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</si>
  <si>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</si>
  <si>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</si>
  <si>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</si>
  <si>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</si>
  <si>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</si>
  <si>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</si>
  <si>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</si>
  <si>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</si>
  <si>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</si>
  <si>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</si>
  <si>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</si>
  <si>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</si>
  <si>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</si>
  <si>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</si>
  <si>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</si>
  <si>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</si>
  <si>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</si>
  <si>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</si>
  <si>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</si>
  <si>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</si>
  <si>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</si>
  <si>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</si>
  <si>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</si>
  <si>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</si>
  <si>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</si>
  <si>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</si>
  <si>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</si>
  <si>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</si>
  <si>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</si>
  <si>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</si>
  <si>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</si>
  <si>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</si>
  <si>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</si>
  <si>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</si>
  <si>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</si>
  <si>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</si>
  <si>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</si>
  <si>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</si>
  <si>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</si>
  <si>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</si>
  <si>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</si>
  <si>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</si>
  <si>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</si>
  <si>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</si>
  <si>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</si>
  <si>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</si>
  <si>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</si>
  <si>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</si>
  <si>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</si>
  <si>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</si>
  <si>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</si>
  <si>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</si>
  <si>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</si>
  <si>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</si>
  <si>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</si>
  <si>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</si>
  <si>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</si>
  <si>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</si>
  <si>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</si>
  <si>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</si>
  <si>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</si>
  <si>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</si>
  <si>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</si>
  <si>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</si>
  <si>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</si>
  <si>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</si>
  <si>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</si>
  <si>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</si>
  <si>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</si>
  <si>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</si>
  <si>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</si>
  <si>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</si>
  <si>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</si>
  <si>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</si>
  <si>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</si>
  <si>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</si>
  <si>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</si>
  <si>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</si>
  <si>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</si>
  <si>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</si>
  <si>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</si>
  <si>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</si>
  <si>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</si>
  <si>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</si>
  <si>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</si>
  <si>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</si>
  <si>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</si>
  <si>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</si>
  <si>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</si>
  <si>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</si>
  <si>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</si>
  <si>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</si>
  <si>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</si>
  <si>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</si>
  <si>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</si>
  <si>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</si>
  <si>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</si>
  <si>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</si>
  <si>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</si>
  <si>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</si>
  <si>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</si>
  <si>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</si>
  <si>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</si>
  <si>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</si>
  <si>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</si>
  <si>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</si>
  <si>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</si>
  <si>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</si>
  <si>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</si>
  <si>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</si>
  <si>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</si>
  <si>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</si>
  <si>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</si>
  <si>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</si>
  <si>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</si>
  <si>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</si>
  <si>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</si>
  <si>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</si>
  <si>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</si>
  <si>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</si>
  <si>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</si>
  <si>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</si>
  <si>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</si>
  <si>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</si>
  <si>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</si>
  <si>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</si>
  <si>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население</t>
  </si>
  <si>
    <t>Тариф для населения, руб. за 1 куб. метр с НДС</t>
  </si>
  <si>
    <t>прочие</t>
  </si>
  <si>
    <t>Тариф, руб. за 1 куб. метр без НДС</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</si>
  <si>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</si>
  <si>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</si>
  <si>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</si>
  <si>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</si>
  <si>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</si>
  <si>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</si>
  <si>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</si>
  <si>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</si>
  <si>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</si>
  <si>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</si>
  <si>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</si>
  <si>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</si>
  <si>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</si>
  <si>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</si>
  <si>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</si>
  <si>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</si>
  <si>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</si>
  <si>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</si>
  <si>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</si>
  <si>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</si>
  <si>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</si>
  <si>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</si>
  <si>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</si>
  <si>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</si>
  <si>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</si>
  <si>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</si>
  <si>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</si>
  <si>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</si>
  <si>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</si>
  <si>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</si>
  <si>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</si>
  <si>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</si>
  <si>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</si>
  <si>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</si>
  <si>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</si>
  <si>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</si>
  <si>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</si>
  <si>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</si>
  <si>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</si>
  <si>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</si>
  <si>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</si>
  <si>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</si>
  <si>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</si>
  <si>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</si>
  <si>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</si>
  <si>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</si>
  <si>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</si>
  <si>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</si>
  <si>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</si>
  <si>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</si>
  <si>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</si>
  <si>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</si>
  <si>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</si>
  <si>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</si>
  <si>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</si>
  <si>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</si>
  <si>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</si>
  <si>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</si>
  <si>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</si>
  <si>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</si>
  <si>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</si>
  <si>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</si>
  <si>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</si>
  <si>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</si>
  <si>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</si>
  <si>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</si>
  <si>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</si>
  <si>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</si>
  <si>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</si>
  <si>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</si>
  <si>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</si>
  <si>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</si>
  <si>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</si>
  <si>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</si>
  <si>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</si>
  <si>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</si>
  <si>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</si>
  <si>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</si>
  <si>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</si>
  <si>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</si>
  <si>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</si>
  <si>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</si>
  <si>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</si>
  <si>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</si>
  <si>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</si>
  <si>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</si>
  <si>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</si>
  <si>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</si>
  <si>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</si>
  <si>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</si>
  <si>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</si>
  <si>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</si>
  <si>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</si>
  <si>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</si>
  <si>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</si>
  <si>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</si>
  <si>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</si>
  <si>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</si>
  <si>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</si>
  <si>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</si>
  <si>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</si>
  <si>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</si>
  <si>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</si>
  <si>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</si>
  <si>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</si>
  <si>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</si>
  <si>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</si>
  <si>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</si>
  <si>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</si>
  <si>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</si>
  <si>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</si>
  <si>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</si>
  <si>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</si>
  <si>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</si>
  <si>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</si>
  <si>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</si>
  <si>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</si>
  <si>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</si>
  <si>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</si>
  <si>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</si>
  <si>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</si>
  <si>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</si>
  <si>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</si>
  <si>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</si>
  <si>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</si>
  <si>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</si>
  <si>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</si>
  <si>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</si>
  <si>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</si>
  <si>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</si>
  <si>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</si>
  <si>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</si>
  <si>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</si>
  <si>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</si>
  <si>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</si>
  <si>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</si>
  <si>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</si>
  <si>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</si>
  <si>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</si>
  <si>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</si>
  <si>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</si>
  <si>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</si>
  <si>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</si>
  <si>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</si>
  <si>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</si>
  <si>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</si>
  <si>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</si>
  <si>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</si>
  <si>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</si>
  <si>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</si>
  <si>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</si>
  <si>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</si>
  <si>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</si>
  <si>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</si>
  <si>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</si>
  <si>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</si>
  <si>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</si>
  <si>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</si>
  <si>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</si>
  <si>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</si>
  <si>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</si>
  <si>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</si>
  <si>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</si>
  <si>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</si>
  <si>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</si>
  <si>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</si>
  <si>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</si>
  <si>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</si>
  <si>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</si>
  <si>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</si>
  <si>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</si>
  <si>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</si>
  <si>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</si>
  <si>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</si>
  <si>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</si>
  <si>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</si>
  <si>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</si>
  <si>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</si>
  <si>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</si>
  <si>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</si>
  <si>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</si>
  <si>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</si>
  <si>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</si>
  <si>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</si>
  <si>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</si>
  <si>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</si>
  <si>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</si>
  <si>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</si>
  <si>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</si>
  <si>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</si>
  <si>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</si>
  <si>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</si>
  <si>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</si>
  <si>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</si>
  <si>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</si>
  <si>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</si>
  <si>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</si>
  <si>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</si>
  <si>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</si>
  <si>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</si>
  <si>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</si>
  <si>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</si>
  <si>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</si>
  <si>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</si>
  <si>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</si>
  <si>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</si>
  <si>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</si>
  <si>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</si>
  <si>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</si>
  <si>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</si>
  <si>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</si>
  <si>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</si>
  <si>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</si>
  <si>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</si>
  <si>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</si>
  <si>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</si>
  <si>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</si>
  <si>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</si>
  <si>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</si>
  <si>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</si>
  <si>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</si>
  <si>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</si>
  <si>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</si>
  <si>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</si>
  <si>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</si>
  <si>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</si>
  <si>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</si>
  <si>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</si>
  <si>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</si>
  <si>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</si>
  <si>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</si>
  <si>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</si>
  <si>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</si>
  <si>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</si>
  <si>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</si>
  <si>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</si>
  <si>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</si>
  <si>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</si>
  <si>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</si>
  <si>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</si>
  <si>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</si>
  <si>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</si>
  <si>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</si>
  <si>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</si>
  <si>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</si>
  <si>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</si>
  <si>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</si>
  <si>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</si>
  <si>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</si>
  <si>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</si>
  <si>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</si>
  <si>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</si>
  <si>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</si>
  <si>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</si>
  <si>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</si>
  <si>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</si>
  <si>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</si>
  <si>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</si>
  <si>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</si>
  <si>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</si>
  <si>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</si>
  <si>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</si>
  <si>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</si>
  <si>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</si>
  <si>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</si>
  <si>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</si>
  <si>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</si>
  <si>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</si>
  <si>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</si>
  <si>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</si>
  <si>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</si>
  <si>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</si>
  <si>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</si>
  <si>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</si>
  <si>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</si>
  <si>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</si>
  <si>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</si>
  <si>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</si>
  <si>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</si>
  <si>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</si>
  <si>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</si>
  <si>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</si>
  <si>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</si>
  <si>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</si>
  <si>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</si>
  <si>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</si>
  <si>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</si>
  <si>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</si>
  <si>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</si>
  <si>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</si>
  <si>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</si>
  <si>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</si>
  <si>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</si>
  <si>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</si>
  <si>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</si>
  <si>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</si>
  <si>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</si>
  <si>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</si>
  <si>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</si>
  <si>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</si>
  <si>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</si>
  <si>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</si>
  <si>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</si>
  <si>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</si>
  <si>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</si>
  <si>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</si>
  <si>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</si>
  <si>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</si>
  <si>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</si>
  <si>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</si>
  <si>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</si>
  <si>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</si>
  <si>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</si>
  <si>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</si>
  <si>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</si>
  <si>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</si>
  <si>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</si>
  <si>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</si>
  <si>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</si>
  <si>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</si>
  <si>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</si>
  <si>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</si>
  <si>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</si>
  <si>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</si>
  <si>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</si>
  <si>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</si>
  <si>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</si>
  <si>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</si>
  <si>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</si>
  <si>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</si>
  <si>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</si>
  <si>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</si>
  <si>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</si>
  <si>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</si>
  <si>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</si>
  <si>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</si>
  <si>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</si>
  <si>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</si>
  <si>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</si>
  <si>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</si>
  <si>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</si>
  <si>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</si>
  <si>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</si>
  <si>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</si>
  <si>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</si>
  <si>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</si>
  <si>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</si>
  <si>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</si>
  <si>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</si>
  <si>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</si>
  <si>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</si>
  <si>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</si>
  <si>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</si>
  <si>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</si>
  <si>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</si>
  <si>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</si>
  <si>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</si>
  <si>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</si>
  <si>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</si>
  <si>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</si>
  <si>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</si>
  <si>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</si>
  <si>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</si>
  <si>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</si>
  <si>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</si>
  <si>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</si>
  <si>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</si>
  <si>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</si>
  <si>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</si>
  <si>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</si>
  <si>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</si>
  <si>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</si>
  <si>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</si>
  <si>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</si>
  <si>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</si>
  <si>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</si>
  <si>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</si>
  <si>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</si>
  <si>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</si>
  <si>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</si>
  <si>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</si>
  <si>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</si>
  <si>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</si>
  <si>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</si>
  <si>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</si>
  <si>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</si>
  <si>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</si>
  <si>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</si>
  <si>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</si>
  <si>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</si>
  <si>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</si>
  <si>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</si>
  <si>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</si>
  <si>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</si>
  <si>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</si>
  <si>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</si>
  <si>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</si>
  <si>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</si>
  <si>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</si>
  <si>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</si>
  <si>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</si>
  <si>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</si>
  <si>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</si>
  <si>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</si>
  <si>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</si>
  <si>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</si>
  <si>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</si>
  <si>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</si>
  <si>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</si>
  <si>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</si>
  <si>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</si>
  <si>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</si>
  <si>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</si>
  <si>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</si>
  <si>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</si>
  <si>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</si>
  <si>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</si>
  <si>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</si>
  <si>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</si>
  <si>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</si>
  <si>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</si>
  <si>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</si>
  <si>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</si>
  <si>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</si>
  <si>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</si>
  <si>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</si>
  <si>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</si>
  <si>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</si>
  <si>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</si>
  <si>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</si>
  <si>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</si>
  <si>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</si>
  <si>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</si>
  <si>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</si>
  <si>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</si>
  <si>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</si>
  <si>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</si>
  <si>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</si>
  <si>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</si>
  <si>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</si>
  <si>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</si>
  <si>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</si>
  <si>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</si>
  <si>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</si>
  <si>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</si>
  <si>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</si>
  <si>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</si>
  <si>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</si>
  <si>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</si>
  <si>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</si>
  <si>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</si>
  <si>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</si>
  <si>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</si>
  <si>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</si>
  <si>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</si>
  <si>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</si>
  <si>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</si>
  <si>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</si>
  <si>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</si>
  <si>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</si>
  <si>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</si>
  <si>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</si>
  <si>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</si>
  <si>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</si>
  <si>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</si>
  <si>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</si>
  <si>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</si>
  <si>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</si>
  <si>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</si>
  <si>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</si>
  <si>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</si>
  <si>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</si>
  <si>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</si>
  <si>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</si>
  <si>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</si>
  <si>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</si>
  <si>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</si>
  <si>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</si>
  <si>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</si>
  <si>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</si>
  <si>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</si>
  <si>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</si>
  <si>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</si>
  <si>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</si>
  <si>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</si>
  <si>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</si>
  <si>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</si>
  <si>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</si>
  <si>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</si>
  <si>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</si>
  <si>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</si>
  <si>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</si>
  <si>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</si>
  <si>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</si>
  <si>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</si>
  <si>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</si>
  <si>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</si>
  <si>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</si>
  <si>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</si>
  <si>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</si>
  <si>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</si>
  <si>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</si>
  <si>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</si>
  <si>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</si>
  <si>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</si>
  <si>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</si>
  <si>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</si>
  <si>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</si>
  <si>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</si>
  <si>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</si>
  <si>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</si>
  <si>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</si>
  <si>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</si>
  <si>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</si>
  <si>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</si>
  <si>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</si>
  <si>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</si>
  <si>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</si>
  <si>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</si>
  <si>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</si>
  <si>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</si>
  <si>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</si>
  <si>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</si>
  <si>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</si>
  <si>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</si>
  <si>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</si>
  <si>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</si>
  <si>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</si>
  <si>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</si>
  <si>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</si>
  <si>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</si>
  <si>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</si>
  <si>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</si>
  <si>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</si>
  <si>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</si>
  <si>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</si>
  <si>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</si>
  <si>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</si>
  <si>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</si>
  <si>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</si>
  <si>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</si>
  <si>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</si>
  <si>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</si>
  <si>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</si>
  <si>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</si>
  <si>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</si>
  <si>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http://skvk.ru/about/official/2024/8496/</t>
  </si>
  <si>
    <t>https://portal.eias.ru/Portal/DownloadPage.aspx?type=12&amp;guid=255b24c5-b8d0-4792-b040-012e3ed5100c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</si>
  <si>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</si>
  <si>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https://portal.eias.ru/Portal/DownloadPage.aspx?type=12&amp;guid=1941a757-16b2-4401-b1da-db20f358324b</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</si>
  <si>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</si>
  <si>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</si>
  <si>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предусмотренных абзацами четвертым - шестым п.26. Правил № 2130</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</si>
  <si>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</si>
  <si>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</si>
  <si>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t>
  </si>
  <si>
    <t>баланс водопотребления и водоотведения подключаемого объекта в период использования максимальной величины мощности (нагрузки) с указанием целей использования холодной воды и распределением объемов подключаемой мощности (нагрузки) по целям использования,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t>
  </si>
  <si>
    <t>градостроительный план земельного участка, а при подключении водопроводных и канализационных сетей -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холодного водоснабжения и (или) водоотведения на земельном участке заявителя (за исключением подключения жилых домов и ранее построенных, но не подключенных подключаемых объектов)</t>
  </si>
  <si>
    <t>3.8</t>
  </si>
  <si>
    <t>При обращении с заявлением о подключении лиц, указанных в подпункте "в" пункта 9 Правил № 2130, к заявлению о подключении должны быть приложены 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t>
  </si>
  <si>
    <t>3.9</t>
  </si>
  <si>
    <t>В случаях, предусмотренных частью 6 статьи 52.1 Градостроительного кодекса Российской Федерации, в целях строительства объектов федерального значения, объектов регионального значения, объектов местного значения при обращении с заявлением о подключении лиц, указанных в подпункте "г" пункта 9 Правил № , к заявлению о подключении должны быть приложены копии решения о предварительном согласовании предоставления таким лицам земельного участка в указанных целях,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</si>
  <si>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</si>
  <si>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</si>
  <si>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</si>
  <si>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29.06.2017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</si>
  <si>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</si>
  <si>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РФ от 13.05.2013 N 406 «Основы ценообразования в сфере водоснабжения и водоотведения»</t>
  </si>
  <si>
    <t>Постановление Правительства РФ от 29.07.2013 № 645 «Об утверждении типовых договоров в области холодного водоснабжения и водоотведения»</t>
  </si>
  <si>
    <t>Постановление Региональной тарифной комиссии Ставропольского края от 14.12.2017 г. № 60/5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2018 год»</t>
  </si>
  <si>
    <t>4.8</t>
  </si>
  <si>
    <t>Постановление региональной тарифной комиссии Ставропольского края от 19 декабря 2018 года № 58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2019 год»</t>
  </si>
  <si>
    <t>4.9</t>
  </si>
  <si>
    <t>Постановление Правительства Ставропольского края от 27 ноября 2018 года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</si>
  <si>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4.10</t>
  </si>
  <si>
    <t>Постановление региональной тарифной комиссии Ставропольского края от 19 декабря 2019 года № 73/3 «Об установлении ставок тарифов за подключение (технологическое присоединение) к централизованным системам водоснабжения и водоотведения организаций водопроводно-канализационного хозяйства на территории Ставропольского края, на 2020 год»</t>
  </si>
  <si>
    <t>4.11</t>
  </si>
  <si>
    <t>Постановление региональной тарифной комиссии Ставропольского края от 15 декабря 2020 года № 77/6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2021 год»</t>
  </si>
  <si>
    <t>4.12</t>
  </si>
  <si>
    <t>Постановление региональной тарифной комиссии Ставропольского края от 08 декабря 2021 года № 70/1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2022 год»</t>
  </si>
  <si>
    <t>4.13</t>
  </si>
  <si>
    <t>Постановление региональной тарифной комиссии Ставропольского края от 20 декабря 2022 года № 90/1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2023 год»</t>
  </si>
  <si>
    <t>4.14</t>
  </si>
  <si>
    <t>Постановление региональной тарифной комиссии Ставропольского края от 20 декабря 2023 года № 81/1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2024 год»</t>
  </si>
  <si>
    <t>5.1.1</t>
  </si>
  <si>
    <t>8 (8652) 99-27-47 (доб. 1125, 1124)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</si>
  <si>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</si>
  <si>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</si>
  <si>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(865-50) 2-00-04</t>
  </si>
  <si>
    <t>5.1.3</t>
  </si>
  <si>
    <t>8 (865-53)6-19-53</t>
  </si>
  <si>
    <t>5.1.4</t>
  </si>
  <si>
    <t>8 (865-44) 6-06-96</t>
  </si>
  <si>
    <t>5.1.5</t>
  </si>
  <si>
    <t>8 (865-45) 2-39-33</t>
  </si>
  <si>
    <t>5.1.6</t>
  </si>
  <si>
    <t>8 (865-41) 4-58-71</t>
  </si>
  <si>
    <t>5.1.7</t>
  </si>
  <si>
    <t>8 (865-46) 3-69-53</t>
  </si>
  <si>
    <t>5.1.8</t>
  </si>
  <si>
    <t>8 (879-61) 5-07-84</t>
  </si>
  <si>
    <t>5.1.9</t>
  </si>
  <si>
    <t>8 (879-32) 3-18-35</t>
  </si>
  <si>
    <t>5.1.10</t>
  </si>
  <si>
    <t>8 (879-35) 3-88-43</t>
  </si>
  <si>
    <t>5.1.11</t>
  </si>
  <si>
    <t>8 (879-37) 2-51-84</t>
  </si>
  <si>
    <t>5.1.12</t>
  </si>
  <si>
    <t>8 (865-60) 3-34-74</t>
  </si>
  <si>
    <t>5.1.13</t>
  </si>
  <si>
    <t>8 (865-59) 7-17-93</t>
  </si>
  <si>
    <t>5.1.14</t>
  </si>
  <si>
    <t>8 (879-64) 6-26-89</t>
  </si>
  <si>
    <t>5.1.15</t>
  </si>
  <si>
    <t>8 (865-43) 3-11-74</t>
  </si>
  <si>
    <t>5.1.16</t>
  </si>
  <si>
    <t>8 (865-58) 4-35-38</t>
  </si>
  <si>
    <t>5.1.17</t>
  </si>
  <si>
    <t>8 (865-56) 6-13-60</t>
  </si>
  <si>
    <t>5.1.18</t>
  </si>
  <si>
    <t>8 (879-51) 2-54-49</t>
  </si>
  <si>
    <t>5.1.19</t>
  </si>
  <si>
    <t>8 (879-22) 5-63-33</t>
  </si>
  <si>
    <t>5.1.20</t>
  </si>
  <si>
    <t>8 (879-38) 2-10-94</t>
  </si>
  <si>
    <t>5.1.21</t>
  </si>
  <si>
    <t>8 (879-3) 97-81-49</t>
  </si>
  <si>
    <t>5.1.22</t>
  </si>
  <si>
    <t>8 (8793) 31-78-63</t>
  </si>
  <si>
    <t>5.1.23</t>
  </si>
  <si>
    <t>8 (8793) 33-27-25 (доб. 5230)</t>
  </si>
  <si>
    <t>5.1.24</t>
  </si>
  <si>
    <t>8 (865-57) 2-63-34</t>
  </si>
  <si>
    <t>5.1.25</t>
  </si>
  <si>
    <t>8 (865-49) 2-10-46</t>
  </si>
  <si>
    <t>5.1.26</t>
  </si>
  <si>
    <t>8 (865-42) 5-74-84</t>
  </si>
  <si>
    <t>5.1.27</t>
  </si>
  <si>
    <t>8 (865-47) 4-65-70 (доб. 6230)</t>
  </si>
  <si>
    <t>5.2.1</t>
  </si>
  <si>
    <t>355037, г. Ставрополь, ул. Доваторцев, 35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</si>
  <si>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</si>
  <si>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</si>
  <si>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357202, Ставропольский край, с.Кочубеевское ул.Вольная 1Е</t>
  </si>
  <si>
    <t>5.2.3</t>
  </si>
  <si>
    <t>356240, Ставропольский край, Шпаковский район, г. Михайловск, ул. Октябрьская, 295</t>
  </si>
  <si>
    <t>5.2.4</t>
  </si>
  <si>
    <t>356000, Ставропольский край, Нововалександровский район, г. Новоалександровск, ул. Железнодорожная 87</t>
  </si>
  <si>
    <t>5.2.5</t>
  </si>
  <si>
    <t>356140, Ставропольский край, г. Изобильный, ул. Промзона, д. 6</t>
  </si>
  <si>
    <t>5.2.6</t>
  </si>
  <si>
    <t>356030.Ставропольский край, Красногвардейский район, с Красногвардейское, ул.Ярмарочная,11</t>
  </si>
  <si>
    <t>5.2.7</t>
  </si>
  <si>
    <t>356170, Ставропольский край, Труновский район, с. Донское, ул. Первомайская, 1</t>
  </si>
  <si>
    <t>5.2.8</t>
  </si>
  <si>
    <t>357202, Ставропольский край, ст. Ессентукская, улица Гагарина, 295</t>
  </si>
  <si>
    <t>5.2.9</t>
  </si>
  <si>
    <t>357405, Ставропольский край, г. Железноводск, ул. Ленина, д.165</t>
  </si>
  <si>
    <t>5.2.10</t>
  </si>
  <si>
    <t>357340, Ставропольский край, г. Лермонтов, ул. Пятигорская, д. 15</t>
  </si>
  <si>
    <t>5.2.11</t>
  </si>
  <si>
    <t>357700, Ставропольский край, г. Кисловодск, ул. Тельмана, д.24</t>
  </si>
  <si>
    <t>5.2.12</t>
  </si>
  <si>
    <t>356570, Ставропольский край, Арзгирский район, с. Арзгир, ул. Есипенко, д.77</t>
  </si>
  <si>
    <t>5.2.13</t>
  </si>
  <si>
    <t>356000, Ставропольский край, г. Буденновск, пр-т Буденного, д. 87</t>
  </si>
  <si>
    <t>5.2.14</t>
  </si>
  <si>
    <t>357850, Ставропольский край, Курский район, ст. Курская, ул. Калинина 10 "А"</t>
  </si>
  <si>
    <t>5.2.15</t>
  </si>
  <si>
    <t>357960,  Ставропольский край,  Левокумский район, село Левокумское, ул. Ленина, д. 82</t>
  </si>
  <si>
    <t>5.2.16</t>
  </si>
  <si>
    <t>356884, Ставропольский край, Нефтекумский район, г.Нефтекумск, ул.Мира,12</t>
  </si>
  <si>
    <t>5.2.17</t>
  </si>
  <si>
    <t>357070, Ставропольский край, Андроповский район, с. Курсавка, ул. Строителей, 28а</t>
  </si>
  <si>
    <t>5.2.18</t>
  </si>
  <si>
    <t>357820, Ставропольский край, г. Георгиевск, ул. Калинина, д.79</t>
  </si>
  <si>
    <t>5.2.19</t>
  </si>
  <si>
    <t>357202, Ставропольский край, г. Минеральные Воды, ул. Ставропольская, д.23</t>
  </si>
  <si>
    <t>5.2.20</t>
  </si>
  <si>
    <t>357302, Ставропольский край, Кировский район, г. Новопавловск, ул. Правды, д.8</t>
  </si>
  <si>
    <t>5.2.21</t>
  </si>
  <si>
    <t>357500, Ставропольский край, Предгорный район, В границах земель муниципального образования Этокский сельсовет, 2-й километр Георгиевского шоссе</t>
  </si>
  <si>
    <t>5.2.22</t>
  </si>
  <si>
    <t>357362, с. Новоблагодарное, Главная насосная станция</t>
  </si>
  <si>
    <t>5.2.23</t>
  </si>
  <si>
    <t>357500, Ставропольский край, г. Пятигорск, ул. Дунаевского, д.9</t>
  </si>
  <si>
    <t>5.2.24</t>
  </si>
  <si>
    <t>356300, Ставропольский край, Александровский район, с. Александровское, ул. Виноградная, 2</t>
  </si>
  <si>
    <t>5.2.25</t>
  </si>
  <si>
    <t>365420, Ставропольский край, г. Благодарный, ул. Бедненко, д.184</t>
  </si>
  <si>
    <t>5.2.26</t>
  </si>
  <si>
    <t>356630, Ставропольский край, г.Ипатово, ул.Чапаева,14</t>
  </si>
  <si>
    <t>5.2.27</t>
  </si>
  <si>
    <t>356530, Ставропольский край, Петровский район, г. Светлоград, ул. Садовая, 28а</t>
  </si>
  <si>
    <t>Понедельник - 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</si>
  <si>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</si>
  <si>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</si>
  <si>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</si>
  <si>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</si>
  <si>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</si>
  <si>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</si>
  <si>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</si>
  <si>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</si>
  <si>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</si>
  <si>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</si>
  <si>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</si>
  <si>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</si>
  <si>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</si>
  <si>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</si>
  <si>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</si>
  <si>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</si>
  <si>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</si>
  <si>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</si>
  <si>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</si>
  <si>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</si>
  <si>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</si>
  <si>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</si>
  <si>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</si>
  <si>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</si>
  <si>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</si>
  <si>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</si>
  <si>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</si>
  <si>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</si>
  <si>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</si>
  <si>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</si>
  <si>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</si>
  <si>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</si>
  <si>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</si>
  <si>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</si>
  <si>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</si>
  <si>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</si>
  <si>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</si>
  <si>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</si>
  <si>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</si>
  <si>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</si>
  <si>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</si>
  <si>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</si>
  <si>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</si>
  <si>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</si>
  <si>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</si>
  <si>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</si>
  <si>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</si>
  <si>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</si>
  <si>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</si>
  <si>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</si>
  <si>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</si>
  <si>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</si>
  <si>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</si>
  <si>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</si>
  <si>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</si>
  <si>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</si>
  <si>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</si>
  <si>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</si>
  <si>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</si>
  <si>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</si>
  <si>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</si>
  <si>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</si>
  <si>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</si>
  <si>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</si>
  <si>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</si>
  <si>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</si>
  <si>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</si>
  <si>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</si>
  <si>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</si>
  <si>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</si>
  <si>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</si>
  <si>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</si>
  <si>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</si>
  <si>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</si>
  <si>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</si>
  <si>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</si>
  <si>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</si>
  <si>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</si>
  <si>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</si>
  <si>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</si>
  <si>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</si>
  <si>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</si>
  <si>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</si>
  <si>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</si>
  <si>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</si>
  <si>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</si>
  <si>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</si>
  <si>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</si>
  <si>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</si>
  <si>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</si>
  <si>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</si>
  <si>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</si>
  <si>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</si>
  <si>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</si>
  <si>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</si>
  <si>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</si>
  <si>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</si>
  <si>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</si>
  <si>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</si>
  <si>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</si>
  <si>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</si>
  <si>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</si>
  <si>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</si>
  <si>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</si>
  <si>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</si>
  <si>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</si>
  <si>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</si>
  <si>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</si>
  <si>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</si>
  <si>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</si>
  <si>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</si>
  <si>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</si>
  <si>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</si>
  <si>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</si>
  <si>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</si>
  <si>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</si>
  <si>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</si>
  <si>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</si>
  <si>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</si>
  <si>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</si>
  <si>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</si>
  <si>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</si>
  <si>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</si>
  <si>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</si>
  <si>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</si>
  <si>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</si>
  <si>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</si>
  <si>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</si>
  <si>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</si>
  <si>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</si>
  <si>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</si>
  <si>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</si>
  <si>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</si>
  <si>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</si>
  <si>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</si>
  <si>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</si>
  <si>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</si>
  <si>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</si>
  <si>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</si>
  <si>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</si>
  <si>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</si>
  <si>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</si>
  <si>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</si>
  <si>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</si>
  <si>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</si>
  <si>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</si>
  <si>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</si>
  <si>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</si>
  <si>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</si>
  <si>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</si>
  <si>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</si>
  <si>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</si>
  <si>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</si>
  <si>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</si>
  <si>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</si>
  <si>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</si>
  <si>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</si>
  <si>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</si>
  <si>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</si>
  <si>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</si>
  <si>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</si>
  <si>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</si>
  <si>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</si>
  <si>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</si>
  <si>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</si>
  <si>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</si>
  <si>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</si>
  <si>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</si>
  <si>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</si>
  <si>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</si>
  <si>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</si>
  <si>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</si>
  <si>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</si>
  <si>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</si>
  <si>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</si>
  <si>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</si>
  <si>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</si>
  <si>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</si>
  <si>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</si>
  <si>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</si>
  <si>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</si>
  <si>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</si>
  <si>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</si>
  <si>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</si>
  <si>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</si>
  <si>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</si>
  <si>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</si>
  <si>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</si>
  <si>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</si>
  <si>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</si>
  <si>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</si>
  <si>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</si>
  <si>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</si>
  <si>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</si>
  <si>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</si>
  <si>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</si>
  <si>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</si>
  <si>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</si>
  <si>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</si>
  <si>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</si>
  <si>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</si>
  <si>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</si>
  <si>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</si>
  <si>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</si>
  <si>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</si>
  <si>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</si>
  <si>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</si>
  <si>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</si>
  <si>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</si>
  <si>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</si>
  <si>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</si>
  <si>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</si>
  <si>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</si>
  <si>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</si>
  <si>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</si>
  <si>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</si>
  <si>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</si>
  <si>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</si>
  <si>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</si>
  <si>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</si>
  <si>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</si>
  <si>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</si>
  <si>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</si>
  <si>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</si>
  <si>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</si>
  <si>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</si>
  <si>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</si>
  <si>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</si>
  <si>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</si>
  <si>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</si>
  <si>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</si>
  <si>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</si>
  <si>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</si>
  <si>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</si>
  <si>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</si>
  <si>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</si>
  <si>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</si>
  <si>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</si>
  <si>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</si>
  <si>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</si>
  <si>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</si>
  <si>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</si>
  <si>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</si>
  <si>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</si>
  <si>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</si>
  <si>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</si>
  <si>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</si>
  <si>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</si>
  <si>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</si>
  <si>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</si>
  <si>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</si>
  <si>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</si>
  <si>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</si>
  <si>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</si>
  <si>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</si>
  <si>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</si>
  <si>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</si>
  <si>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</si>
  <si>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</si>
  <si>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</si>
  <si>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</si>
  <si>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</si>
  <si>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</si>
  <si>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</si>
  <si>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</si>
  <si>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</si>
  <si>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</si>
  <si>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</si>
  <si>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</si>
  <si>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</si>
  <si>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</si>
  <si>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</si>
  <si>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</si>
  <si>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</si>
  <si>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</si>
  <si>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</si>
  <si>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</si>
  <si>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</si>
  <si>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</si>
  <si>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</si>
  <si>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</si>
  <si>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</si>
  <si>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</si>
  <si>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</si>
  <si>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</si>
  <si>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</si>
  <si>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</si>
  <si>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</si>
  <si>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</si>
  <si>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</si>
  <si>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</si>
  <si>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</si>
  <si>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</si>
  <si>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</si>
  <si>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</si>
  <si>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</si>
  <si>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</si>
  <si>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</si>
  <si>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</si>
  <si>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</si>
  <si>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</si>
  <si>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</si>
  <si>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</si>
  <si>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</si>
  <si>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</si>
  <si>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</si>
  <si>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</si>
  <si>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</si>
  <si>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</si>
  <si>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</si>
  <si>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</si>
  <si>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</si>
  <si>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</si>
  <si>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</si>
  <si>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</si>
  <si>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</si>
  <si>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</si>
  <si>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</si>
  <si>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</si>
  <si>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</si>
  <si>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</si>
  <si>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</si>
  <si>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</si>
  <si>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</si>
  <si>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</si>
  <si>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</si>
  <si>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</si>
  <si>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</si>
  <si>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</si>
  <si>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</si>
  <si>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</si>
  <si>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</si>
  <si>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</si>
  <si>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</si>
  <si>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</si>
  <si>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</si>
  <si>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</si>
  <si>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</si>
  <si>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</si>
  <si>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</si>
  <si>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</si>
  <si>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</si>
  <si>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</si>
  <si>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</si>
  <si>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</si>
  <si>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</si>
  <si>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</si>
  <si>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</si>
  <si>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</si>
  <si>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</si>
  <si>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</si>
  <si>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</si>
  <si>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</si>
  <si>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</si>
  <si>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</si>
  <si>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</si>
  <si>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</si>
  <si>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</si>
  <si>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</si>
  <si>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</si>
  <si>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</si>
  <si>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</si>
  <si>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</si>
  <si>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</si>
  <si>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</si>
  <si>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</si>
  <si>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</si>
  <si>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</si>
  <si>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</si>
  <si>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</si>
  <si>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</si>
  <si>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</si>
  <si>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</si>
  <si>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</si>
  <si>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</si>
  <si>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</si>
  <si>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</si>
  <si>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</si>
  <si>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</si>
  <si>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</si>
  <si>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</si>
  <si>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</si>
  <si>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</si>
  <si>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</si>
  <si>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</si>
  <si>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</si>
  <si>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</si>
  <si>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</si>
  <si>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</si>
  <si>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</si>
  <si>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</si>
  <si>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</si>
  <si>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</si>
  <si>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</si>
  <si>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</si>
  <si>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</si>
  <si>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</si>
  <si>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</si>
  <si>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</si>
  <si>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</si>
  <si>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</si>
  <si>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</si>
  <si>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</si>
  <si>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</si>
  <si>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</si>
  <si>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</si>
  <si>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</si>
  <si>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</si>
  <si>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</si>
  <si>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</si>
  <si>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</si>
  <si>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</si>
  <si>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</si>
  <si>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</si>
  <si>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</si>
  <si>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</si>
  <si>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</si>
  <si>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</si>
  <si>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</si>
  <si>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</si>
  <si>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</si>
  <si>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</si>
  <si>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</si>
  <si>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</si>
  <si>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</si>
  <si>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</si>
  <si>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</si>
  <si>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</si>
  <si>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</si>
  <si>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</si>
  <si>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</si>
  <si>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</si>
  <si>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</si>
  <si>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</si>
  <si>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</si>
  <si>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</si>
  <si>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</si>
  <si>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</si>
  <si>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</si>
  <si>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</si>
  <si>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</si>
  <si>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</si>
  <si>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</si>
  <si>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</si>
  <si>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</si>
  <si>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</si>
  <si>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</si>
  <si>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</si>
  <si>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</si>
  <si>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</si>
  <si>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</si>
  <si>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</si>
  <si>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</si>
  <si>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</si>
  <si>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</si>
  <si>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</si>
  <si>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</si>
  <si>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</si>
  <si>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</si>
  <si>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</si>
  <si>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</si>
  <si>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</si>
  <si>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</si>
  <si>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</si>
  <si>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</si>
  <si>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</si>
  <si>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</si>
  <si>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</si>
  <si>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</si>
  <si>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</si>
  <si>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</si>
  <si>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</si>
  <si>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</si>
  <si>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</si>
  <si>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</si>
  <si>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</si>
  <si>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</si>
  <si>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</si>
  <si>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</si>
  <si>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</si>
  <si>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</si>
  <si>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</si>
  <si>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</si>
  <si>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</si>
  <si>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</si>
  <si>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</si>
  <si>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</si>
  <si>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</si>
  <si>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</si>
  <si>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</si>
  <si>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</si>
  <si>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</si>
  <si>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</si>
  <si>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</si>
  <si>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</si>
  <si>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</si>
  <si>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</si>
  <si>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</si>
  <si>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</si>
  <si>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</si>
  <si>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</si>
  <si>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</si>
  <si>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</si>
  <si>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</si>
  <si>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</si>
  <si>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</si>
  <si>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</si>
  <si>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</si>
  <si>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</si>
  <si>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</si>
  <si>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</si>
  <si>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</si>
  <si>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</si>
  <si>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</si>
  <si>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</si>
  <si>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</si>
  <si>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</si>
  <si>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</si>
  <si>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</si>
  <si>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</si>
  <si>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</si>
  <si>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</si>
  <si>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</si>
  <si>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</si>
  <si>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</si>
  <si>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</si>
  <si>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</si>
  <si>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</si>
  <si>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</si>
  <si>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</si>
  <si>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</si>
  <si>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</si>
  <si>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</si>
  <si>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</si>
  <si>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</si>
  <si>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</si>
  <si>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</si>
  <si>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</si>
  <si>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</si>
  <si>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</si>
  <si>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</si>
  <si>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</si>
  <si>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</si>
  <si>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</si>
  <si>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</si>
  <si>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</si>
  <si>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</si>
  <si>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</si>
  <si>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</si>
  <si>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</si>
  <si>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</si>
  <si>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</si>
  <si>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</si>
  <si>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</si>
  <si>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</si>
  <si>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</si>
  <si>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</si>
  <si>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</si>
  <si>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</si>
  <si>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</si>
  <si>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</si>
  <si>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</si>
  <si>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</si>
  <si>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</si>
  <si>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</si>
  <si>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</si>
  <si>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</si>
  <si>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</si>
  <si>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</si>
  <si>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</si>
  <si>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</si>
  <si>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</si>
  <si>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</si>
  <si>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</si>
  <si>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</si>
  <si>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</si>
  <si>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</si>
  <si>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</si>
  <si>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</si>
  <si>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</si>
  <si>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</si>
  <si>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</si>
  <si>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</si>
  <si>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</si>
  <si>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</si>
  <si>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</si>
  <si>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</si>
  <si>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</si>
  <si>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</si>
  <si>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</si>
  <si>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</si>
  <si>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</si>
  <si>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</si>
  <si>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</si>
  <si>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</si>
  <si>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</si>
  <si>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</si>
  <si>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</si>
  <si>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</si>
  <si>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</si>
  <si>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</si>
  <si>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</si>
  <si>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</si>
  <si>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</si>
  <si>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</si>
  <si>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</si>
  <si>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</si>
  <si>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</si>
  <si>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</si>
  <si>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</si>
  <si>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</si>
  <si>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</si>
  <si>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</si>
  <si>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</si>
  <si>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</si>
  <si>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</si>
  <si>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</si>
  <si>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</si>
  <si>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</si>
  <si>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</si>
  <si>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</si>
  <si>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</si>
  <si>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</si>
  <si>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</si>
  <si>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</si>
  <si>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</si>
  <si>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</si>
  <si>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</si>
  <si>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</si>
  <si>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</si>
  <si>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</si>
  <si>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</si>
  <si>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</si>
  <si>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</si>
  <si>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</si>
  <si>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</si>
  <si>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</si>
  <si>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</si>
  <si>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</si>
  <si>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</si>
  <si>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</si>
  <si>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</si>
  <si>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</si>
  <si>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</si>
  <si>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</si>
  <si>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</si>
  <si>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</si>
  <si>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</si>
  <si>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</si>
  <si>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</si>
  <si>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</si>
  <si>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</si>
  <si>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</si>
  <si>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</si>
  <si>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</si>
  <si>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</si>
  <si>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</si>
  <si>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</si>
  <si>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</si>
  <si>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</si>
  <si>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</si>
  <si>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</si>
  <si>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</si>
  <si>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</si>
  <si>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</si>
  <si>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</si>
  <si>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</si>
  <si>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</si>
  <si>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</si>
  <si>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</si>
  <si>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</si>
  <si>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</si>
  <si>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</si>
  <si>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</si>
  <si>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</si>
  <si>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</si>
  <si>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</si>
  <si>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</si>
  <si>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</si>
  <si>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</si>
  <si>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</si>
  <si>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</si>
  <si>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</si>
  <si>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</si>
  <si>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</si>
  <si>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</si>
  <si>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</si>
  <si>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</si>
  <si>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</si>
  <si>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</si>
  <si>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</si>
  <si>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</si>
  <si>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</si>
  <si>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</si>
  <si>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</si>
  <si>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</si>
  <si>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</si>
  <si>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</si>
  <si>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</si>
  <si>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</si>
  <si>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</si>
  <si>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</si>
  <si>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</si>
  <si>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</si>
  <si>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</si>
  <si>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</si>
  <si>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</si>
  <si>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</si>
  <si>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</si>
  <si>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</si>
  <si>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</si>
  <si>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</si>
  <si>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</si>
  <si>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</si>
  <si>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</si>
  <si>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</si>
  <si>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</si>
  <si>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</si>
  <si>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</si>
  <si>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</si>
  <si>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</si>
  <si>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</si>
  <si>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</si>
  <si>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</si>
  <si>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</si>
  <si>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</si>
  <si>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</si>
  <si>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</si>
  <si>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</si>
  <si>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</si>
  <si>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</si>
  <si>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</si>
  <si>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</si>
  <si>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</si>
  <si>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</si>
  <si>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</si>
  <si>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</si>
  <si>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</si>
  <si>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</si>
  <si>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</si>
  <si>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</si>
  <si>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</si>
  <si>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</si>
  <si>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</si>
  <si>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</si>
  <si>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</si>
  <si>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</si>
  <si>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</si>
  <si>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</si>
  <si>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</si>
  <si>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</si>
  <si>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</si>
  <si>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</si>
  <si>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</si>
  <si>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</si>
  <si>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</si>
  <si>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</si>
  <si>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</si>
  <si>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</si>
  <si>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</si>
  <si>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</si>
  <si>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</si>
  <si>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</si>
  <si>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</si>
  <si>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</si>
  <si>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</si>
  <si>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</si>
  <si>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</si>
  <si>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</si>
  <si>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</si>
  <si>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</si>
  <si>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</si>
  <si>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</si>
  <si>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</si>
  <si>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</si>
  <si>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</si>
  <si>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</si>
  <si>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</si>
  <si>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</si>
  <si>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</si>
  <si>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</si>
  <si>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</si>
  <si>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</si>
  <si>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</si>
  <si>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</si>
  <si>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</si>
  <si>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</si>
  <si>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</si>
  <si>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</si>
  <si>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</si>
  <si>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</si>
  <si>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</si>
  <si>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</si>
  <si>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</si>
  <si>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</si>
  <si>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</si>
  <si>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</si>
  <si>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</si>
  <si>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</si>
  <si>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</si>
  <si>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</si>
  <si>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</si>
  <si>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</si>
  <si>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</si>
  <si>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</si>
  <si>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</si>
  <si>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</si>
  <si>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</si>
  <si>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</si>
  <si>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</si>
  <si>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</si>
  <si>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</si>
  <si>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</si>
  <si>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</si>
  <si>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</si>
  <si>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</si>
  <si>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</si>
  <si>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</si>
  <si>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</si>
  <si>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</si>
  <si>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</si>
  <si>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</si>
  <si>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</si>
  <si>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</si>
  <si>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</si>
  <si>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</si>
  <si>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</si>
  <si>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</si>
  <si>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</si>
  <si>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</si>
  <si>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</si>
  <si>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</si>
  <si>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</si>
  <si>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</si>
  <si>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</si>
  <si>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</si>
  <si>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</si>
  <si>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</si>
  <si>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</si>
  <si>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</si>
  <si>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</si>
  <si>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</si>
  <si>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</si>
  <si>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</si>
  <si>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</si>
  <si>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</si>
  <si>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</si>
  <si>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</si>
  <si>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</si>
  <si>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</si>
  <si>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</si>
  <si>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</si>
  <si>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</si>
  <si>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</si>
  <si>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</si>
  <si>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</si>
  <si>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</si>
  <si>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</si>
  <si>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</si>
  <si>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</si>
  <si>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</si>
  <si>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</si>
  <si>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</si>
  <si>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</si>
  <si>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</si>
  <si>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</si>
  <si>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</si>
  <si>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</si>
  <si>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</si>
  <si>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</si>
  <si>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</si>
  <si>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</si>
  <si>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</si>
  <si>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</si>
  <si>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</si>
  <si>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</si>
  <si>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</si>
  <si>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</si>
  <si>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</si>
  <si>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</si>
  <si>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</si>
  <si>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</si>
  <si>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</si>
  <si>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</si>
  <si>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</si>
  <si>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</si>
  <si>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</si>
  <si>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</si>
  <si>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</si>
  <si>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</si>
  <si>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</si>
  <si>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</si>
  <si>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</si>
  <si>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</si>
  <si>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</si>
  <si>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</si>
  <si>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</si>
  <si>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</si>
  <si>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</si>
  <si>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</si>
  <si>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</si>
  <si>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</si>
  <si>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</si>
  <si>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</si>
  <si>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</si>
  <si>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</si>
  <si>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</si>
  <si>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</si>
  <si>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</si>
  <si>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</si>
  <si>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</si>
  <si>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</si>
  <si>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</si>
  <si>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</si>
  <si>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</si>
  <si>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</si>
  <si>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</si>
  <si>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</si>
  <si>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</si>
  <si>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</si>
  <si>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</si>
  <si>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</si>
  <si>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</si>
  <si>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</si>
  <si>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</si>
  <si>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</si>
  <si>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</si>
  <si>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</si>
  <si>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</si>
  <si>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</si>
  <si>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</si>
  <si>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</si>
  <si>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</si>
  <si>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</si>
  <si>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</si>
  <si>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</si>
  <si>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</si>
  <si>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</si>
  <si>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</si>
  <si>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</si>
  <si>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</si>
  <si>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</si>
  <si>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</si>
  <si>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</si>
  <si>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</si>
  <si>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</si>
  <si>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</si>
  <si>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</si>
  <si>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</si>
  <si>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</si>
  <si>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</si>
  <si>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</si>
  <si>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</si>
  <si>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</si>
  <si>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</si>
  <si>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</si>
  <si>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</si>
  <si>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</si>
  <si>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</si>
  <si>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</si>
  <si>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</si>
  <si>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</si>
  <si>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</si>
  <si>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</si>
  <si>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</si>
  <si>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</si>
  <si>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</si>
  <si>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</si>
  <si>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</si>
  <si>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</si>
  <si>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</si>
  <si>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</si>
  <si>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</si>
  <si>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</si>
  <si>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</si>
  <si>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</si>
  <si>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</si>
  <si>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</si>
  <si>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</si>
  <si>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</si>
  <si>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</si>
  <si>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</si>
  <si>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</si>
  <si>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</si>
  <si>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</si>
  <si>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</si>
  <si>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</si>
  <si>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</si>
  <si>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</si>
  <si>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</si>
  <si>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</si>
  <si>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</si>
  <si>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</si>
  <si>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</si>
  <si>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</si>
  <si>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</si>
  <si>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</si>
  <si>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</si>
  <si>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</si>
  <si>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</si>
  <si>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</si>
  <si>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</si>
  <si>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</si>
  <si>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</si>
  <si>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</si>
  <si>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</si>
  <si>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</si>
  <si>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</si>
  <si>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</si>
  <si>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</si>
  <si>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</si>
  <si>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</si>
  <si>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</si>
  <si>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</si>
  <si>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</si>
  <si>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</si>
  <si>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</si>
  <si>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</si>
  <si>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</si>
  <si>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</si>
  <si>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</si>
  <si>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</si>
  <si>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</si>
  <si>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</si>
  <si>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</si>
  <si>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</si>
  <si>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</si>
  <si>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</si>
  <si>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</si>
  <si>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</si>
  <si>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</si>
  <si>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</si>
  <si>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</si>
  <si>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</si>
  <si>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</si>
  <si>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</si>
  <si>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</si>
  <si>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</si>
  <si>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</si>
  <si>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</si>
  <si>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</si>
  <si>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</si>
  <si>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</si>
  <si>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</si>
  <si>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</si>
  <si>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</si>
  <si>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</si>
  <si>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</si>
  <si>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</si>
  <si>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</si>
  <si>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</si>
  <si>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</si>
  <si>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</si>
  <si>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</si>
  <si>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</si>
  <si>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</si>
  <si>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</si>
  <si>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</si>
  <si>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</si>
  <si>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</si>
  <si>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</si>
  <si>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</si>
  <si>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</si>
  <si>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</si>
  <si>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</si>
  <si>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</si>
  <si>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</si>
  <si>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</si>
  <si>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</si>
  <si>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</si>
  <si>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</si>
  <si>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</si>
  <si>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</si>
  <si>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</si>
  <si>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</si>
  <si>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</si>
  <si>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</si>
  <si>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</si>
  <si>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</si>
  <si>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</si>
  <si>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</si>
  <si>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</si>
  <si>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</si>
  <si>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</si>
  <si>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</si>
  <si>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</si>
  <si>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</si>
  <si>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</si>
  <si>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</si>
  <si>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</si>
  <si>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</si>
  <si>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</si>
  <si>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</si>
  <si>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</si>
  <si>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</si>
  <si>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</si>
  <si>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</si>
  <si>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</si>
  <si>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</si>
  <si>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</si>
  <si>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</si>
  <si>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</si>
  <si>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</si>
  <si>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</si>
  <si>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</si>
  <si>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</si>
  <si>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</si>
  <si>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</si>
  <si>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</si>
  <si>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</si>
  <si>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</si>
  <si>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</si>
  <si>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</si>
  <si>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</si>
  <si>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</si>
  <si>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</si>
  <si>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</si>
  <si>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</si>
  <si>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</si>
  <si>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</si>
  <si>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</si>
  <si>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</si>
  <si>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</si>
  <si>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</si>
  <si>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</si>
  <si>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</si>
  <si>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</si>
  <si>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</si>
  <si>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</si>
  <si>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</si>
  <si>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</si>
  <si>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</si>
  <si>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</si>
  <si>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</si>
  <si>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</si>
  <si>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</si>
  <si>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</si>
  <si>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</si>
  <si>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</si>
  <si>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</si>
  <si>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</si>
  <si>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</si>
  <si>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</si>
  <si>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</si>
  <si>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</si>
  <si>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</si>
  <si>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</si>
  <si>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</si>
  <si>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</si>
  <si>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</si>
  <si>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</si>
  <si>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</si>
  <si>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</si>
  <si>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</si>
  <si>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</si>
  <si>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</si>
  <si>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</si>
  <si>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</si>
  <si>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</si>
  <si>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</si>
  <si>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</si>
  <si>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</si>
  <si>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</si>
  <si>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</si>
  <si>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</si>
  <si>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</si>
  <si>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</si>
  <si>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</si>
  <si>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</si>
  <si>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</si>
  <si>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</si>
  <si>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</si>
  <si>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</si>
  <si>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</si>
  <si>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</si>
  <si>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</si>
  <si>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</si>
  <si>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</si>
  <si>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</si>
  <si>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</si>
  <si>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</si>
  <si>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</si>
  <si>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</si>
  <si>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</si>
  <si>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</si>
  <si>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</si>
  <si>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</si>
  <si>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</si>
  <si>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</si>
  <si>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</si>
  <si>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</si>
  <si>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</si>
  <si>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</si>
  <si>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</si>
  <si>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</si>
  <si>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</si>
  <si>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</si>
  <si>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</si>
  <si>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</si>
  <si>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</si>
  <si>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</si>
  <si>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</si>
  <si>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</si>
  <si>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</si>
  <si>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</si>
  <si>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</si>
  <si>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</si>
  <si>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</si>
  <si>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</si>
  <si>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</si>
  <si>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</si>
  <si>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</si>
  <si>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</si>
  <si>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</si>
  <si>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</si>
  <si>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</si>
  <si>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</si>
  <si>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</si>
  <si>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</si>
  <si>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</si>
  <si>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</si>
  <si>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</si>
  <si>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</si>
  <si>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</si>
  <si>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</si>
  <si>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</si>
  <si>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</si>
  <si>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</si>
  <si>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</si>
  <si>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</si>
  <si>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</si>
  <si>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</si>
  <si>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</si>
  <si>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</si>
  <si>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</si>
  <si>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</si>
  <si>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</si>
  <si>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</si>
  <si>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</si>
  <si>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</si>
  <si>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</si>
  <si>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</si>
  <si>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</si>
  <si>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</si>
  <si>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</si>
  <si>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</si>
  <si>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</si>
  <si>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</si>
  <si>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</si>
  <si>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</si>
  <si>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</si>
  <si>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</si>
  <si>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</si>
  <si>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</si>
  <si>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</si>
  <si>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</si>
  <si>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</si>
  <si>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</si>
  <si>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</si>
  <si>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</si>
  <si>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</si>
  <si>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</si>
  <si>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</si>
  <si>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</si>
  <si>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</si>
  <si>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</si>
  <si>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</si>
  <si>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</si>
  <si>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</si>
  <si>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</si>
  <si>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</si>
  <si>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</si>
  <si>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</si>
  <si>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</si>
  <si>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</si>
  <si>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</si>
  <si>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</si>
  <si>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</si>
  <si>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</si>
  <si>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</si>
  <si>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</si>
  <si>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</si>
  <si>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</si>
  <si>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</si>
  <si>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</si>
  <si>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</si>
  <si>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</si>
  <si>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</si>
  <si>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</si>
  <si>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</si>
  <si>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</si>
  <si>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</si>
  <si>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</si>
  <si>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</si>
  <si>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</si>
  <si>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</si>
  <si>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</si>
  <si>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</si>
  <si>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</si>
  <si>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</si>
  <si>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</si>
  <si>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</si>
  <si>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</si>
  <si>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</si>
  <si>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</si>
  <si>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</si>
  <si>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</si>
  <si>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</si>
  <si>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</si>
  <si>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</si>
  <si>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</si>
  <si>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</si>
  <si>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</si>
  <si>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</si>
  <si>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</si>
  <si>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</si>
  <si>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</si>
  <si>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</si>
  <si>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</si>
  <si>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</si>
  <si>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</si>
  <si>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</si>
  <si>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</si>
  <si>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</si>
  <si>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</si>
  <si>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</si>
  <si>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</si>
  <si>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</si>
  <si>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</si>
  <si>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</si>
  <si>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</si>
  <si>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</si>
  <si>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</si>
  <si>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</si>
  <si>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</si>
  <si>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</si>
  <si>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</si>
  <si>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</si>
  <si>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</si>
  <si>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</si>
  <si>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</si>
  <si>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</si>
  <si>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</si>
  <si>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</si>
  <si>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</si>
  <si>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</si>
  <si>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</si>
  <si>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</si>
  <si>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</si>
  <si>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</si>
  <si>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</si>
  <si>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</si>
  <si>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</si>
  <si>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</si>
  <si>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</si>
  <si>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</si>
  <si>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</si>
  <si>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</si>
  <si>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</si>
  <si>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</si>
  <si>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</si>
  <si>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</si>
  <si>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</si>
  <si>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</si>
  <si>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</si>
  <si>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</si>
  <si>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</si>
  <si>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</si>
  <si>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</si>
  <si>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</si>
  <si>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</si>
  <si>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</si>
  <si>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</si>
  <si>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</si>
  <si>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</si>
  <si>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</si>
  <si>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</si>
  <si>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</si>
  <si>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</si>
  <si>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</si>
  <si>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</si>
  <si>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</si>
  <si>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</si>
  <si>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</si>
  <si>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</si>
  <si>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</si>
  <si>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</si>
  <si>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</si>
  <si>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</si>
  <si>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</si>
  <si>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</si>
  <si>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</si>
  <si>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</si>
  <si>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</si>
  <si>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</si>
  <si>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</si>
  <si>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</si>
  <si>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</si>
  <si>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</si>
  <si>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</si>
  <si>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</si>
  <si>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</si>
  <si>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</si>
  <si>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</si>
  <si>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</si>
  <si>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</si>
  <si>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</si>
  <si>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</si>
  <si>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</si>
  <si>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</si>
  <si>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</si>
  <si>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</si>
  <si>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</si>
  <si>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</si>
  <si>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</si>
  <si>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</si>
  <si>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</si>
  <si>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</si>
  <si>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</si>
  <si>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</si>
  <si>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</si>
  <si>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</si>
  <si>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</si>
  <si>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</si>
  <si>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</si>
  <si>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</si>
  <si>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</si>
  <si>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</si>
  <si>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</si>
  <si>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</si>
  <si>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</si>
  <si>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</si>
  <si>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</si>
  <si>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</si>
  <si>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</si>
  <si>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</si>
  <si>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</si>
  <si>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</si>
  <si>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</si>
  <si>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</si>
  <si>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</si>
  <si>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</si>
  <si>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</si>
  <si>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</si>
  <si>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</si>
  <si>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</si>
  <si>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</si>
  <si>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</si>
  <si>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</si>
  <si>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</si>
  <si>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</si>
  <si>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</si>
  <si>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</si>
  <si>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</si>
  <si>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</si>
  <si>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</si>
  <si>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</si>
  <si>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</si>
  <si>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</si>
  <si>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</si>
  <si>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</si>
  <si>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</si>
  <si>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</si>
  <si>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</si>
  <si>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</si>
  <si>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</si>
  <si>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</si>
  <si>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</si>
  <si>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</si>
  <si>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</si>
  <si>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</si>
  <si>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</si>
  <si>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</si>
  <si>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</si>
  <si>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</si>
  <si>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</si>
  <si>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</si>
  <si>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</si>
  <si>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</si>
  <si>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</si>
  <si>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</si>
  <si>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</si>
  <si>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</si>
  <si>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</si>
  <si>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</si>
  <si>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</si>
  <si>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</si>
  <si>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</si>
  <si>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</si>
  <si>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</si>
  <si>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</si>
  <si>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</si>
  <si>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</si>
  <si>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</si>
  <si>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</si>
  <si>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</si>
  <si>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</si>
  <si>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</si>
  <si>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</si>
  <si>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</si>
  <si>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</si>
  <si>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</si>
  <si>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</si>
  <si>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</si>
  <si>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</si>
  <si>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</si>
  <si>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</si>
  <si>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</si>
  <si>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</si>
  <si>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</si>
  <si>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</si>
  <si>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</si>
  <si>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</si>
  <si>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</si>
  <si>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</si>
  <si>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</si>
  <si>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</si>
  <si>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</si>
  <si>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</si>
  <si>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</si>
  <si>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</si>
  <si>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</si>
  <si>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</si>
  <si>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</si>
  <si>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</si>
  <si>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</si>
  <si>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</si>
  <si>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</si>
  <si>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</si>
  <si>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</si>
  <si>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</si>
  <si>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</si>
  <si>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</si>
  <si>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</si>
  <si>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</si>
  <si>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</si>
  <si>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</si>
  <si>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</si>
  <si>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</si>
  <si>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</si>
  <si>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</si>
  <si>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</si>
  <si>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</si>
  <si>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</si>
  <si>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</si>
  <si>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</si>
  <si>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</si>
  <si>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</si>
  <si>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</si>
  <si>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</si>
  <si>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</si>
  <si>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</si>
  <si>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</si>
  <si>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</si>
  <si>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</si>
  <si>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</si>
  <si>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</si>
  <si>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</si>
  <si>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</si>
  <si>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</si>
  <si>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</si>
  <si>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</si>
  <si>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</si>
  <si>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</si>
  <si>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</si>
  <si>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</si>
  <si>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</si>
  <si>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</si>
  <si>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</si>
  <si>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</si>
  <si>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</si>
  <si>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</si>
  <si>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</si>
  <si>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</si>
  <si>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</si>
  <si>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</si>
  <si>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</si>
  <si>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</si>
  <si>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</si>
  <si>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</si>
  <si>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</si>
  <si>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</si>
  <si>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</si>
  <si>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</si>
  <si>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</si>
  <si>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</si>
  <si>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</si>
  <si>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</si>
  <si>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</si>
  <si>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</si>
  <si>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</si>
  <si>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</si>
  <si>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</si>
  <si>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</si>
  <si>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</si>
  <si>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</si>
  <si>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</si>
  <si>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</si>
  <si>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</si>
  <si>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</si>
  <si>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</si>
  <si>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</si>
  <si>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</si>
  <si>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</si>
  <si>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</si>
  <si>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</si>
  <si>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</si>
  <si>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</si>
  <si>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</si>
  <si>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</si>
  <si>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</si>
  <si>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</si>
  <si>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</si>
  <si>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</si>
  <si>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</si>
  <si>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</si>
  <si>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</si>
  <si>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</si>
  <si>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</si>
  <si>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</si>
  <si>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</si>
  <si>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</si>
  <si>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</si>
  <si>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</si>
  <si>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</si>
  <si>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</si>
  <si>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</si>
  <si>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</si>
  <si>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</si>
  <si>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</si>
  <si>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</si>
  <si>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</si>
  <si>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</si>
  <si>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</si>
  <si>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</si>
  <si>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</si>
  <si>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</si>
  <si>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</si>
  <si>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</si>
  <si>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</si>
  <si>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</si>
  <si>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</si>
  <si>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</si>
  <si>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</si>
  <si>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</si>
  <si>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</si>
  <si>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</si>
  <si>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</si>
  <si>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</si>
  <si>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</si>
  <si>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</si>
  <si>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</si>
  <si>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</si>
  <si>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</si>
  <si>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</si>
  <si>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</si>
  <si>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</si>
  <si>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</si>
  <si>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</si>
  <si>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</si>
  <si>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</si>
  <si>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</si>
  <si>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</si>
  <si>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</si>
  <si>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</si>
  <si>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</si>
  <si>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</si>
  <si>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</si>
  <si>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</si>
  <si>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</si>
  <si>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</si>
  <si>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</si>
  <si>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</si>
  <si>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</si>
  <si>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</si>
  <si>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</si>
  <si>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</si>
  <si>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</si>
  <si>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</si>
  <si>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</si>
  <si>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</si>
  <si>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</si>
  <si>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</si>
  <si>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</si>
  <si>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</si>
  <si>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</si>
  <si>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</si>
  <si>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</si>
  <si>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</si>
  <si>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</si>
  <si>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</si>
  <si>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</si>
  <si>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</si>
  <si>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</si>
  <si>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</si>
  <si>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</si>
  <si>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</si>
  <si>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</si>
  <si>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</si>
  <si>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</si>
  <si>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</si>
  <si>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</si>
  <si>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</si>
  <si>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</si>
  <si>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</si>
  <si>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</si>
  <si>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</si>
  <si>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</si>
  <si>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</si>
  <si>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</si>
  <si>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</si>
  <si>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</si>
  <si>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</si>
  <si>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</si>
  <si>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</si>
  <si>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</si>
  <si>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</si>
  <si>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</si>
  <si>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</si>
  <si>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</si>
  <si>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</si>
  <si>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</si>
  <si>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</si>
  <si>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</si>
  <si>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</si>
  <si>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</si>
  <si>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</si>
  <si>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</si>
  <si>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</si>
  <si>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</si>
  <si>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</si>
  <si>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</si>
  <si>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</si>
  <si>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</si>
  <si>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</si>
  <si>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</si>
  <si>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</si>
  <si>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</si>
  <si>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</si>
  <si>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</si>
  <si>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</si>
  <si>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</si>
  <si>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</si>
  <si>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</si>
  <si>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</si>
  <si>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</si>
  <si>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</si>
  <si>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</si>
  <si>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</si>
  <si>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</si>
  <si>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</si>
  <si>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</si>
  <si>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</si>
  <si>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</si>
  <si>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</si>
  <si>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</si>
  <si>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</si>
  <si>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</si>
  <si>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</si>
  <si>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</si>
  <si>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</si>
  <si>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</si>
  <si>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</si>
  <si>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</si>
  <si>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</si>
  <si>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</si>
  <si>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</si>
  <si>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</si>
  <si>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</si>
  <si>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</si>
  <si>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</si>
  <si>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</si>
  <si>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</si>
  <si>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</si>
  <si>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</si>
  <si>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</si>
  <si>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</si>
  <si>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</si>
  <si>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</si>
  <si>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</si>
  <si>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</si>
  <si>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</si>
  <si>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</si>
  <si>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</si>
  <si>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</si>
  <si>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</si>
  <si>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</si>
  <si>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</si>
  <si>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</si>
  <si>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</si>
  <si>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</si>
  <si>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</si>
  <si>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</si>
  <si>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</si>
  <si>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</si>
  <si>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</si>
  <si>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</si>
  <si>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</si>
  <si>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</si>
  <si>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</si>
  <si>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</si>
  <si>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</si>
  <si>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</si>
  <si>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</si>
  <si>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</si>
  <si>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</si>
  <si>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</si>
  <si>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</si>
  <si>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</si>
  <si>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</si>
  <si>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</si>
  <si>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</si>
  <si>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</si>
  <si>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</si>
  <si>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</si>
  <si>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</si>
  <si>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</si>
  <si>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</si>
  <si>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</si>
  <si>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</si>
  <si>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</si>
  <si>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</si>
  <si>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</si>
  <si>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</si>
  <si>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</si>
  <si>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</si>
  <si>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</si>
  <si>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</si>
  <si>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</si>
  <si>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</si>
  <si>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</si>
  <si>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</si>
  <si>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</si>
  <si>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</si>
  <si>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</si>
  <si>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</si>
  <si>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</si>
  <si>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</si>
  <si>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</si>
  <si>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</si>
  <si>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</si>
  <si>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</si>
  <si>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</si>
  <si>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</si>
  <si>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</si>
  <si>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</si>
  <si>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</si>
  <si>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</si>
  <si>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</si>
  <si>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</si>
  <si>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</si>
  <si>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</si>
  <si>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</si>
  <si>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</si>
  <si>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</si>
  <si>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</si>
  <si>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</si>
  <si>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</si>
  <si>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</si>
  <si>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</si>
  <si>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</si>
  <si>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</si>
  <si>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</si>
  <si>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</si>
  <si>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</si>
  <si>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</si>
  <si>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</si>
  <si>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</si>
  <si>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</si>
  <si>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</si>
  <si>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</si>
  <si>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</si>
  <si>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</si>
  <si>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</si>
  <si>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</si>
  <si>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</si>
  <si>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</si>
  <si>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</si>
  <si>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</si>
  <si>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</si>
  <si>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</si>
  <si>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</si>
  <si>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</si>
  <si>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</si>
  <si>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</si>
  <si>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</si>
  <si>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</si>
  <si>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</si>
  <si>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</si>
  <si>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</si>
  <si>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</si>
  <si>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</si>
  <si>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</si>
  <si>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</si>
  <si>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</si>
  <si>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</si>
  <si>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</si>
  <si>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</si>
  <si>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</si>
  <si>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</si>
  <si>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</si>
  <si>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</si>
  <si>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</si>
  <si>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</si>
  <si>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</si>
  <si>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</si>
  <si>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</si>
  <si>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</si>
  <si>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</si>
  <si>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</si>
  <si>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</si>
  <si>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</si>
  <si>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</si>
  <si>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</si>
  <si>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</si>
  <si>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</si>
  <si>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</si>
  <si>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</si>
  <si>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</si>
  <si>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</si>
  <si>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</si>
  <si>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</si>
  <si>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</si>
  <si>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</si>
  <si>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</si>
  <si>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</si>
  <si>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</si>
  <si>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</si>
  <si>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</si>
  <si>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</si>
  <si>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</si>
  <si>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</si>
  <si>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</si>
  <si>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</si>
  <si>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</si>
  <si>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</si>
  <si>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</si>
  <si>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</si>
  <si>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</si>
  <si>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</si>
  <si>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</si>
  <si>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</si>
  <si>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</si>
  <si>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</si>
  <si>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</si>
  <si>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</si>
  <si>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</si>
  <si>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</si>
  <si>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</si>
  <si>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</si>
  <si>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</si>
  <si>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</si>
  <si>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</si>
  <si>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</si>
  <si>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</si>
  <si>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</si>
  <si>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</si>
  <si>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</si>
  <si>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</si>
  <si>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</si>
  <si>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</si>
  <si>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</si>
  <si>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</si>
  <si>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</si>
  <si>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</si>
  <si>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</si>
  <si>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</si>
  <si>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</si>
  <si>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</si>
  <si>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</si>
  <si>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</si>
  <si>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</si>
  <si>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</si>
  <si>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</si>
  <si>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</si>
  <si>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</si>
  <si>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</si>
  <si>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</si>
  <si>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</si>
  <si>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</si>
  <si>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</si>
  <si>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</si>
  <si>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</si>
  <si>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</si>
  <si>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</si>
  <si>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</si>
  <si>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</si>
  <si>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</si>
  <si>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</si>
  <si>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</si>
  <si>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</si>
  <si>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</si>
  <si>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</si>
  <si>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</si>
  <si>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</si>
  <si>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</si>
  <si>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</si>
  <si>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</si>
  <si>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</si>
  <si>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</si>
  <si>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</si>
  <si>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</si>
  <si>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</si>
  <si>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</si>
  <si>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</si>
  <si>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</si>
  <si>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</si>
  <si>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</si>
  <si>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</si>
  <si>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</si>
  <si>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</si>
  <si>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</si>
  <si>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</si>
  <si>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07612000</t>
  </si>
  <si>
    <t>Архиповский сельсовет</t>
  </si>
  <si>
    <t>07612404</t>
  </si>
  <si>
    <t>65</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</si>
  <si>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</si>
  <si>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</si>
  <si>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</si>
  <si>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</si>
  <si>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</si>
  <si>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</si>
  <si>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</si>
  <si>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</si>
  <si>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</si>
  <si>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</si>
  <si>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</si>
  <si>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</si>
  <si>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</si>
  <si>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</si>
  <si>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</si>
  <si>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</si>
  <si>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</si>
  <si>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</si>
  <si>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</si>
  <si>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</si>
  <si>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</si>
  <si>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</si>
  <si>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</si>
  <si>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</si>
  <si>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</si>
  <si>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</si>
  <si>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</si>
  <si>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</si>
  <si>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</si>
  <si>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</si>
  <si>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</si>
  <si>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</si>
  <si>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</si>
  <si>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</si>
  <si>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</si>
  <si>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</si>
  <si>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</si>
  <si>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</si>
  <si>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</si>
  <si>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</si>
  <si>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</si>
  <si>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</si>
  <si>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</si>
  <si>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</si>
  <si>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</si>
  <si>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</si>
  <si>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</si>
  <si>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</si>
  <si>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</si>
  <si>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</si>
  <si>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</si>
  <si>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</si>
  <si>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</si>
  <si>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</si>
  <si>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</si>
  <si>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</si>
  <si>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</si>
  <si>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</si>
  <si>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</si>
  <si>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</si>
  <si>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</si>
  <si>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</si>
  <si>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</si>
  <si>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</si>
  <si>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</si>
  <si>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</si>
  <si>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</si>
  <si>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</si>
  <si>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</si>
  <si>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</si>
  <si>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</si>
  <si>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</si>
  <si>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</si>
  <si>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</si>
  <si>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</si>
  <si>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</si>
  <si>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</si>
  <si>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</si>
  <si>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</si>
  <si>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</si>
  <si>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</si>
  <si>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</si>
  <si>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</si>
  <si>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</si>
  <si>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</si>
  <si>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</si>
  <si>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</si>
  <si>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</si>
  <si>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</si>
  <si>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</si>
  <si>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</si>
  <si>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</si>
  <si>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</si>
  <si>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</si>
  <si>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</si>
  <si>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</si>
  <si>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</si>
  <si>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</si>
  <si>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</si>
  <si>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</si>
  <si>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</si>
  <si>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</si>
  <si>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</si>
  <si>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</si>
  <si>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</si>
  <si>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</si>
  <si>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</si>
  <si>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</si>
  <si>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</si>
  <si>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</si>
  <si>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</si>
  <si>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</si>
  <si>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</si>
  <si>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</si>
  <si>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</si>
  <si>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</si>
  <si>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</si>
  <si>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</si>
  <si>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</si>
  <si>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</si>
  <si>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</si>
  <si>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</si>
  <si>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</si>
  <si>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</si>
  <si>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</si>
  <si>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</si>
  <si>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</si>
  <si>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</si>
  <si>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</si>
  <si>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</si>
  <si>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</si>
  <si>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</si>
  <si>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</si>
  <si>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</si>
  <si>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</si>
  <si>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</si>
  <si>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</si>
  <si>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</si>
  <si>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</si>
  <si>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</si>
  <si>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</si>
  <si>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</si>
  <si>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</si>
  <si>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</si>
  <si>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</si>
  <si>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</si>
  <si>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</si>
  <si>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</si>
  <si>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</si>
  <si>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</si>
  <si>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</si>
  <si>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</si>
  <si>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</si>
  <si>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</si>
  <si>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</si>
  <si>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</si>
  <si>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</si>
  <si>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</si>
  <si>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</si>
  <si>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</si>
  <si>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</si>
  <si>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</si>
  <si>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</si>
  <si>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</si>
  <si>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</si>
  <si>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</si>
  <si>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</si>
  <si>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</si>
  <si>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</si>
  <si>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</si>
  <si>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</si>
  <si>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</si>
  <si>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</si>
  <si>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</si>
  <si>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</si>
  <si>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</si>
  <si>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</si>
  <si>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</si>
  <si>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</si>
  <si>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</si>
  <si>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</si>
  <si>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</si>
  <si>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</si>
  <si>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</si>
  <si>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</si>
  <si>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</si>
  <si>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</si>
  <si>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</si>
  <si>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</si>
  <si>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</si>
  <si>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</si>
  <si>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</si>
  <si>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</si>
  <si>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</si>
  <si>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</si>
  <si>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</si>
  <si>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</si>
  <si>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</si>
  <si>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</si>
  <si>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</si>
  <si>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</si>
  <si>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</si>
  <si>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</si>
  <si>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</si>
  <si>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</si>
  <si>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</si>
  <si>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</si>
  <si>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</si>
  <si>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</si>
  <si>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</si>
  <si>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</si>
  <si>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</si>
  <si>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</si>
  <si>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</si>
  <si>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</si>
  <si>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</si>
  <si>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</si>
  <si>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</si>
  <si>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</si>
  <si>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</si>
  <si>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</si>
  <si>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</si>
  <si>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</si>
  <si>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</si>
  <si>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</si>
  <si>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</si>
  <si>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</si>
  <si>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</si>
  <si>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</si>
  <si>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</si>
  <si>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</si>
  <si>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</si>
  <si>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</si>
  <si>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</si>
  <si>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</si>
  <si>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</si>
  <si>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</si>
  <si>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</si>
  <si>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</si>
  <si>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</si>
  <si>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</si>
  <si>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</si>
  <si>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</si>
  <si>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</si>
  <si>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</si>
  <si>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</si>
  <si>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</si>
  <si>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</si>
  <si>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</si>
  <si>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</si>
  <si>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</si>
  <si>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</si>
  <si>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</si>
  <si>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</si>
  <si>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</si>
  <si>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</si>
  <si>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</si>
  <si>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</si>
  <si>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</si>
  <si>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</si>
  <si>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</si>
  <si>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</si>
  <si>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</si>
  <si>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</si>
  <si>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</si>
  <si>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</si>
  <si>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</si>
  <si>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</si>
  <si>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</si>
  <si>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</si>
  <si>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</si>
  <si>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</si>
  <si>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</si>
  <si>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</si>
  <si>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</si>
  <si>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</si>
  <si>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</si>
  <si>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</si>
  <si>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</si>
  <si>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</si>
  <si>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</si>
  <si>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</si>
  <si>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</si>
  <si>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</si>
  <si>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</si>
  <si>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</si>
  <si>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</si>
  <si>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</si>
  <si>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</si>
  <si>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</si>
  <si>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</si>
  <si>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</si>
  <si>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</si>
  <si>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</si>
  <si>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</si>
  <si>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</si>
  <si>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</si>
  <si>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</si>
  <si>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</si>
  <si>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</si>
  <si>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</si>
  <si>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</si>
  <si>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</si>
  <si>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</si>
  <si>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</si>
  <si>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</si>
  <si>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</si>
  <si>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</si>
  <si>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</si>
  <si>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</si>
  <si>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</si>
  <si>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</si>
  <si>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</si>
  <si>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</si>
  <si>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</si>
  <si>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</si>
  <si>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</si>
  <si>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</si>
  <si>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</si>
  <si>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</si>
  <si>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</si>
  <si>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</si>
  <si>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</si>
  <si>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</si>
  <si>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</si>
  <si>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</si>
  <si>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</si>
  <si>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</si>
  <si>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</si>
  <si>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</si>
  <si>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</si>
  <si>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</si>
  <si>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</si>
  <si>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</si>
  <si>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</si>
  <si>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</si>
  <si>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</si>
  <si>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</si>
  <si>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</si>
  <si>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</si>
  <si>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</si>
  <si>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</si>
  <si>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</si>
  <si>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</si>
  <si>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</si>
  <si>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</si>
  <si>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</si>
  <si>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</si>
  <si>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</si>
  <si>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</si>
  <si>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</si>
  <si>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</si>
  <si>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</si>
  <si>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</si>
  <si>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</si>
  <si>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</si>
  <si>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</si>
  <si>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</si>
  <si>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</si>
  <si>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</si>
  <si>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</si>
  <si>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</si>
  <si>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</si>
  <si>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</si>
  <si>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</si>
  <si>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</si>
  <si>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</si>
  <si>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</si>
  <si>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</si>
  <si>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</si>
  <si>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</si>
  <si>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</si>
  <si>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</si>
  <si>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</si>
  <si>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</si>
  <si>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</si>
  <si>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</si>
  <si>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</si>
  <si>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</si>
  <si>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</si>
  <si>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</si>
  <si>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</si>
  <si>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</si>
  <si>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</si>
  <si>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</si>
  <si>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</si>
  <si>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</si>
  <si>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</si>
  <si>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</si>
  <si>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</si>
  <si>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</si>
  <si>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</si>
  <si>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</si>
  <si>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</si>
  <si>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</si>
  <si>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</si>
  <si>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</si>
  <si>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</si>
  <si>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</si>
  <si>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</si>
  <si>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</si>
  <si>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</si>
  <si>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</si>
  <si>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</si>
  <si>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</si>
  <si>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</si>
  <si>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</si>
  <si>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</si>
  <si>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</si>
  <si>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</si>
  <si>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</si>
  <si>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</si>
  <si>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</si>
  <si>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</si>
  <si>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</si>
  <si>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</si>
  <si>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</si>
  <si>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</si>
  <si>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</si>
  <si>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</si>
  <si>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</si>
  <si>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</si>
  <si>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</si>
  <si>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</si>
  <si>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</si>
  <si>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</si>
  <si>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</si>
  <si>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</si>
  <si>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</si>
  <si>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</si>
  <si>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</si>
  <si>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</si>
  <si>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</si>
  <si>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</si>
  <si>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</si>
  <si>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</si>
  <si>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</si>
  <si>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</si>
  <si>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</si>
  <si>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</si>
  <si>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</si>
  <si>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</si>
  <si>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</si>
  <si>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</si>
  <si>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</si>
  <si>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</si>
  <si>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</si>
  <si>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</si>
  <si>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</si>
  <si>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</si>
  <si>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</si>
  <si>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</si>
  <si>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</si>
  <si>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</si>
  <si>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</si>
  <si>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</si>
  <si>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</si>
  <si>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</si>
  <si>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</si>
  <si>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</si>
  <si>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</si>
  <si>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</si>
  <si>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</si>
  <si>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</si>
  <si>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</si>
  <si>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</si>
  <si>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</si>
  <si>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</si>
  <si>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</si>
  <si>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</si>
  <si>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</si>
  <si>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</si>
  <si>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</si>
  <si>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</si>
  <si>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</si>
  <si>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</si>
  <si>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</si>
  <si>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</si>
  <si>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</si>
  <si>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</si>
  <si>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</si>
  <si>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</si>
  <si>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</si>
  <si>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</si>
  <si>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</si>
  <si>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</si>
  <si>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</si>
  <si>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</si>
  <si>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</si>
  <si>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</si>
  <si>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</si>
  <si>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</si>
  <si>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</si>
  <si>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</si>
  <si>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</si>
  <si>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</si>
  <si>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</si>
  <si>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</si>
  <si>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</si>
  <si>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</si>
  <si>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</si>
  <si>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</si>
  <si>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</si>
  <si>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</si>
  <si>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</si>
  <si>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07641000</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</si>
  <si>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</si>
  <si>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</si>
  <si>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</si>
  <si>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</si>
  <si>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</si>
  <si>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</si>
  <si>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</si>
  <si>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</si>
  <si>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</si>
  <si>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</si>
  <si>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</si>
  <si>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</si>
  <si>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</si>
  <si>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</si>
  <si>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</si>
  <si>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</si>
  <si>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</si>
  <si>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</si>
  <si>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</si>
  <si>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</si>
  <si>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</si>
  <si>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</si>
  <si>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</si>
  <si>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</si>
  <si>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</si>
  <si>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</si>
  <si>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</si>
  <si>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</si>
  <si>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</si>
  <si>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</si>
  <si>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</si>
  <si>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</si>
  <si>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</si>
  <si>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</si>
  <si>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</si>
  <si>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</si>
  <si>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</si>
  <si>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</si>
  <si>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</si>
  <si>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</si>
  <si>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</si>
  <si>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</si>
  <si>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</si>
  <si>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</si>
  <si>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</si>
  <si>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</si>
  <si>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</si>
  <si>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</si>
  <si>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</si>
  <si>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</si>
  <si>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</si>
  <si>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</si>
  <si>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</si>
  <si>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</si>
  <si>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</si>
  <si>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</si>
  <si>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</si>
  <si>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</si>
  <si>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</si>
  <si>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</si>
  <si>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</si>
  <si>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</si>
  <si>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</si>
  <si>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</si>
  <si>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</si>
  <si>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</si>
  <si>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</si>
  <si>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</si>
  <si>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</si>
  <si>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</si>
  <si>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</si>
  <si>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</si>
  <si>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</si>
  <si>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</si>
  <si>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</si>
  <si>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</si>
  <si>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</si>
  <si>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</si>
  <si>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</si>
  <si>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</si>
  <si>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</si>
  <si>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</si>
  <si>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</si>
  <si>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</si>
  <si>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</si>
  <si>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</si>
  <si>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</si>
  <si>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</si>
  <si>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</si>
  <si>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</si>
  <si>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</si>
  <si>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</si>
  <si>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</si>
  <si>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</si>
  <si>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</si>
  <si>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</si>
  <si>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</si>
  <si>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</si>
  <si>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</si>
  <si>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</si>
  <si>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</si>
  <si>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</si>
  <si>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</si>
  <si>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</si>
  <si>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</si>
  <si>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</si>
  <si>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</si>
  <si>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</si>
  <si>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</si>
  <si>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</si>
  <si>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</si>
  <si>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</si>
  <si>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</si>
  <si>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</si>
  <si>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</si>
  <si>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</si>
  <si>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</si>
  <si>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</si>
  <si>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</si>
  <si>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</si>
  <si>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</si>
  <si>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</si>
  <si>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</si>
  <si>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</si>
  <si>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</si>
  <si>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</si>
  <si>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</si>
  <si>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</si>
  <si>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</si>
  <si>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</si>
  <si>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</si>
  <si>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</si>
  <si>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</si>
  <si>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</si>
  <si>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</si>
  <si>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</si>
  <si>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</si>
  <si>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</si>
  <si>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</si>
  <si>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</si>
  <si>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</si>
  <si>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</si>
  <si>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</si>
  <si>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</si>
  <si>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</si>
  <si>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</si>
  <si>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</si>
  <si>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</si>
  <si>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</si>
  <si>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</si>
  <si>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</si>
  <si>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</si>
  <si>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</si>
  <si>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</si>
  <si>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</si>
  <si>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</si>
  <si>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</si>
  <si>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</si>
  <si>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</si>
  <si>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</si>
  <si>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</si>
  <si>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</si>
  <si>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</si>
  <si>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</si>
  <si>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</si>
  <si>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</si>
  <si>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</si>
  <si>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</si>
  <si>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</si>
  <si>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</si>
  <si>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</si>
  <si>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</si>
  <si>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</si>
  <si>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</si>
  <si>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</si>
  <si>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</si>
  <si>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</si>
  <si>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</si>
  <si>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</si>
  <si>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</si>
  <si>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</si>
  <si>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</si>
  <si>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</si>
  <si>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</si>
  <si>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</si>
  <si>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</si>
  <si>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</si>
  <si>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</si>
  <si>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</si>
  <si>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</si>
  <si>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</si>
  <si>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</si>
  <si>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</si>
  <si>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</si>
  <si>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</si>
  <si>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</si>
  <si>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</si>
  <si>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</si>
  <si>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</si>
  <si>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</si>
  <si>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</si>
  <si>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</si>
  <si>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</si>
  <si>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</si>
  <si>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</si>
  <si>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</si>
  <si>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</si>
  <si>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</si>
  <si>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</si>
  <si>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</si>
  <si>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</si>
  <si>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</si>
  <si>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</si>
  <si>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</si>
  <si>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</si>
  <si>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</si>
  <si>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</si>
  <si>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</si>
  <si>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</si>
  <si>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</si>
  <si>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</si>
  <si>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</si>
  <si>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</si>
  <si>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</si>
  <si>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</si>
  <si>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</si>
  <si>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</si>
  <si>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</si>
  <si>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</si>
  <si>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</si>
  <si>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</si>
  <si>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</si>
  <si>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</si>
  <si>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</si>
  <si>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</si>
  <si>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</si>
  <si>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</si>
  <si>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</si>
  <si>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</si>
  <si>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</si>
  <si>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</si>
  <si>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</si>
  <si>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</si>
  <si>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</si>
  <si>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</si>
  <si>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</si>
  <si>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</si>
  <si>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</si>
  <si>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</si>
  <si>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</si>
  <si>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</si>
  <si>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</si>
  <si>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</si>
  <si>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</si>
  <si>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</si>
  <si>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</si>
  <si>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</si>
  <si>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</si>
  <si>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</si>
  <si>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</si>
  <si>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</si>
  <si>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</si>
  <si>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</si>
  <si>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</si>
  <si>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</si>
  <si>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</si>
  <si>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</si>
  <si>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</si>
  <si>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</si>
  <si>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</si>
  <si>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</si>
  <si>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</si>
  <si>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</si>
  <si>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</si>
  <si>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</si>
  <si>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</si>
  <si>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</si>
  <si>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</si>
  <si>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</si>
  <si>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</si>
  <si>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</si>
  <si>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</si>
  <si>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</si>
  <si>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</si>
  <si>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</si>
  <si>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</si>
  <si>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</si>
  <si>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</si>
  <si>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</si>
  <si>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</si>
  <si>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</si>
  <si>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</si>
  <si>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</si>
  <si>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</si>
  <si>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</si>
  <si>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</si>
  <si>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</si>
  <si>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</si>
  <si>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</si>
  <si>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</si>
  <si>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</si>
  <si>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</si>
  <si>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</si>
  <si>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</si>
  <si>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</si>
  <si>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</si>
  <si>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</si>
  <si>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</si>
  <si>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</si>
  <si>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</si>
  <si>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</si>
  <si>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</si>
  <si>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</si>
  <si>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</si>
  <si>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</si>
  <si>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</si>
  <si>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</si>
  <si>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</si>
  <si>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</si>
  <si>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</si>
  <si>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</si>
  <si>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</si>
  <si>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</si>
  <si>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</si>
  <si>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</si>
  <si>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</si>
  <si>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</si>
  <si>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</si>
  <si>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</si>
  <si>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</si>
  <si>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</si>
  <si>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</si>
  <si>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</si>
  <si>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</si>
  <si>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</si>
  <si>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</si>
  <si>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</si>
  <si>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</si>
  <si>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</si>
  <si>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</si>
  <si>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</si>
  <si>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</si>
  <si>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</si>
  <si>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</si>
  <si>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</si>
  <si>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</si>
  <si>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</si>
  <si>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</si>
  <si>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</si>
  <si>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</si>
  <si>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</si>
  <si>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</si>
  <si>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</si>
  <si>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</si>
  <si>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</si>
  <si>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</si>
  <si>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</si>
  <si>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</si>
  <si>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</si>
  <si>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</si>
  <si>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</si>
  <si>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</si>
  <si>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</si>
  <si>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</si>
  <si>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</si>
  <si>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</si>
  <si>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</si>
  <si>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</si>
  <si>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</si>
  <si>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</si>
  <si>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</si>
  <si>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</si>
  <si>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</si>
  <si>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</si>
  <si>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</si>
  <si>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</si>
  <si>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</si>
  <si>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</si>
  <si>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</si>
  <si>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</si>
  <si>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</si>
  <si>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</si>
  <si>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</si>
  <si>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</si>
  <si>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</si>
  <si>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</si>
  <si>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</si>
  <si>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</si>
  <si>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</si>
  <si>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</si>
  <si>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</si>
  <si>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</si>
  <si>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</si>
  <si>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</si>
  <si>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</si>
  <si>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</si>
  <si>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</si>
  <si>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</si>
  <si>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</si>
  <si>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Территория 2</t>
  </si>
  <si>
    <t>Территория 3</t>
  </si>
  <si>
    <t>Территория 4</t>
  </si>
  <si>
    <t>Территория 5</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</si>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</sst>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4177">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99" fillId="10" borderId="3" xfId="0" applyNumberFormat="1" applyFont="1" applyFill="1" applyBorder="1" applyAlignment="1" applyProtection="1">
      <alignment horizontal="lef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o.kirsanova@skvk.ru" TargetMode="External"/><Relationship Id="rId1" Type="http://schemas.openxmlformats.org/officeDocument/2006/relationships/hyperlink" Target="http://pravo.stav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portal.eias.ru/Portal/DownloadPage.aspx?type=12&amp;guid=1941a757-16b2-4401-b1da-db20f358324b" TargetMode="External"/><Relationship Id="rId1" Type="http://schemas.openxmlformats.org/officeDocument/2006/relationships/hyperlink" Target="http://skvk.ru/about/official/2024/8496/"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3730" t="s">
        <v>1</v>
      </c>
      <c r="C2" s="3730"/>
      <c r="D2" s="3730"/>
      <c r="E2" s="3730"/>
      <c r="F2" s="3730"/>
      <c r="G2" s="3730"/>
      <c r="H2" s="3730"/>
      <c r="I2" s="3730"/>
      <c r="J2" s="3730"/>
      <c r="K2" s="3730"/>
      <c r="L2" s="3730"/>
      <c r="M2" s="3730"/>
      <c r="N2" s="3730"/>
      <c r="O2" s="3730"/>
      <c r="P2" s="3730"/>
      <c r="Q2" s="1624"/>
      <c r="R2" s="1624"/>
      <c r="S2" s="1624"/>
      <c r="T2" s="1624"/>
      <c r="U2" s="1624"/>
      <c r="V2" s="1625"/>
      <c r="W2" s="1624"/>
      <c r="X2" s="1624"/>
      <c r="Y2" s="1621"/>
      <c r="Z2" s="1620"/>
      <c r="AA2" s="1622"/>
      <c r="AB2" s="1620"/>
    </row>
    <row r="3" spans="1:28" ht="15.75" customHeight="1">
      <c r="A3" s="1620"/>
      <c r="B3" s="3731" t="s">
        <v>2</v>
      </c>
      <c r="C3" s="3731"/>
      <c r="D3" s="3731"/>
      <c r="E3" s="3731"/>
      <c r="F3" s="3731"/>
      <c r="G3" s="3731"/>
      <c r="H3" s="3731"/>
      <c r="I3" s="3731"/>
      <c r="J3" s="3731"/>
      <c r="K3" s="3731"/>
      <c r="L3" s="3731"/>
      <c r="M3" s="3731"/>
      <c r="N3" s="3731"/>
      <c r="O3" s="3731"/>
      <c r="P3" s="3731"/>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3732"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3733"/>
      <c r="D5" s="3733"/>
      <c r="E5" s="3733"/>
      <c r="F5" s="3733"/>
      <c r="G5" s="3733"/>
      <c r="H5" s="3733"/>
      <c r="I5" s="3733"/>
      <c r="J5" s="3733"/>
      <c r="K5" s="3733"/>
      <c r="L5" s="3733"/>
      <c r="M5" s="3733"/>
      <c r="N5" s="3733"/>
      <c r="O5" s="3733"/>
      <c r="P5" s="3733"/>
      <c r="Q5" s="3733"/>
      <c r="R5" s="3733"/>
      <c r="S5" s="3733"/>
      <c r="T5" s="3733"/>
      <c r="U5" s="3733"/>
      <c r="V5" s="3733"/>
      <c r="W5" s="3733"/>
      <c r="X5" s="3733"/>
      <c r="Y5" s="3734"/>
      <c r="Z5" s="1627"/>
      <c r="AA5" s="1622"/>
      <c r="AB5" s="1627"/>
    </row>
    <row r="6" spans="1:28" ht="15" customHeight="1">
      <c r="A6" s="1628"/>
      <c r="B6" s="3735" t="s">
        <v>3</v>
      </c>
      <c r="C6" s="3736"/>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3735"/>
      <c r="C7" s="3736"/>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3735"/>
      <c r="C8" s="3736"/>
      <c r="D8" s="1634"/>
      <c r="E8" s="1635" t="s">
        <v>4</v>
      </c>
      <c r="F8" s="3738" t="s">
        <v>5</v>
      </c>
      <c r="G8" s="3739"/>
      <c r="H8" s="3739"/>
      <c r="I8" s="3739"/>
      <c r="J8" s="3739"/>
      <c r="K8" s="3739"/>
      <c r="L8" s="3739"/>
      <c r="M8" s="3739"/>
      <c r="N8" s="1634"/>
      <c r="O8" s="1636" t="s">
        <v>4</v>
      </c>
      <c r="P8" s="3740" t="s">
        <v>6</v>
      </c>
      <c r="Q8" s="3741"/>
      <c r="R8" s="3741"/>
      <c r="S8" s="3741"/>
      <c r="T8" s="3741"/>
      <c r="U8" s="3741"/>
      <c r="V8" s="3741"/>
      <c r="W8" s="3741"/>
      <c r="X8" s="3741"/>
      <c r="Y8" s="1630"/>
      <c r="Z8" s="1631"/>
      <c r="AA8" s="1632"/>
      <c r="AB8" s="1632"/>
    </row>
    <row r="9" spans="1:28" ht="15" customHeight="1">
      <c r="A9" s="1628"/>
      <c r="B9" s="3735"/>
      <c r="C9" s="3736"/>
      <c r="D9" s="1634"/>
      <c r="E9" s="1637" t="s">
        <v>4</v>
      </c>
      <c r="F9" s="3738" t="s">
        <v>7</v>
      </c>
      <c r="G9" s="3739"/>
      <c r="H9" s="3739"/>
      <c r="I9" s="3739"/>
      <c r="J9" s="3739"/>
      <c r="K9" s="3739"/>
      <c r="L9" s="3739"/>
      <c r="M9" s="3739"/>
      <c r="N9" s="1634"/>
      <c r="O9" s="1638" t="s">
        <v>4</v>
      </c>
      <c r="P9" s="3740" t="s">
        <v>8</v>
      </c>
      <c r="Q9" s="3741"/>
      <c r="R9" s="3741"/>
      <c r="S9" s="3741"/>
      <c r="T9" s="3741"/>
      <c r="U9" s="3741"/>
      <c r="V9" s="3741"/>
      <c r="W9" s="3741"/>
      <c r="X9" s="3741"/>
      <c r="Y9" s="1630"/>
      <c r="Z9" s="1631"/>
      <c r="AA9" s="1632"/>
      <c r="AB9" s="1632"/>
    </row>
    <row r="10" spans="1:28" ht="30" customHeight="1">
      <c r="A10" s="1628"/>
      <c r="B10" s="3735"/>
      <c r="C10" s="3737"/>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3742" t="s">
        <v>9</v>
      </c>
      <c r="C11" s="3743"/>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3735"/>
      <c r="C12" s="3737"/>
      <c r="D12" s="1642"/>
      <c r="E12" s="3739" t="s">
        <v>10</v>
      </c>
      <c r="F12" s="3739"/>
      <c r="G12" s="3739"/>
      <c r="H12" s="3739"/>
      <c r="I12" s="3739"/>
      <c r="J12" s="3739"/>
      <c r="K12" s="3739"/>
      <c r="L12" s="3739"/>
      <c r="M12" s="3739"/>
      <c r="N12" s="3739"/>
      <c r="O12" s="3739"/>
      <c r="P12" s="3739"/>
      <c r="Q12" s="3739"/>
      <c r="R12" s="3739"/>
      <c r="S12" s="3739"/>
      <c r="T12" s="3739"/>
      <c r="U12" s="3739"/>
      <c r="V12" s="3739"/>
      <c r="W12" s="3739"/>
      <c r="X12" s="3739"/>
      <c r="Y12" s="1630"/>
      <c r="Z12" s="1631"/>
      <c r="AA12" s="1632"/>
      <c r="AB12" s="1632"/>
    </row>
    <row r="13" spans="1:28" ht="15" customHeight="1">
      <c r="A13" s="1628"/>
      <c r="B13" s="3742" t="s">
        <v>11</v>
      </c>
      <c r="C13" s="3743"/>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3735"/>
      <c r="C14" s="3736"/>
      <c r="D14" s="1634"/>
      <c r="E14" s="3746" t="s">
        <v>12</v>
      </c>
      <c r="F14" s="3746"/>
      <c r="G14" s="3746"/>
      <c r="H14" s="3746"/>
      <c r="I14" s="3746"/>
      <c r="J14" s="3746"/>
      <c r="K14" s="3746"/>
      <c r="L14" s="3746"/>
      <c r="M14" s="3746"/>
      <c r="N14" s="3746"/>
      <c r="O14" s="3746"/>
      <c r="P14" s="3746"/>
      <c r="Q14" s="3746"/>
      <c r="R14" s="3746"/>
      <c r="S14" s="3746"/>
      <c r="T14" s="3746"/>
      <c r="U14" s="3746"/>
      <c r="V14" s="3746"/>
      <c r="W14" s="3746"/>
      <c r="X14" s="3746"/>
      <c r="Y14" s="1630"/>
      <c r="Z14" s="1631"/>
      <c r="AA14" s="1632"/>
      <c r="AB14" s="1632"/>
    </row>
    <row r="15" spans="1:28" ht="16.5" customHeight="1">
      <c r="A15" s="1628"/>
      <c r="B15" s="3744"/>
      <c r="C15" s="3745"/>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3746"/>
      <c r="C16" s="3747"/>
      <c r="D16" s="3747"/>
      <c r="E16" s="3747"/>
      <c r="F16" s="3747"/>
      <c r="G16" s="3747"/>
      <c r="H16" s="3747"/>
      <c r="I16" s="3747"/>
      <c r="J16" s="3747"/>
      <c r="K16" s="3747"/>
      <c r="L16" s="3747"/>
      <c r="M16" s="3747"/>
      <c r="N16" s="3747"/>
      <c r="O16" s="3747"/>
      <c r="P16" s="3747"/>
      <c r="Q16" s="3747"/>
      <c r="R16" s="3747"/>
      <c r="S16" s="3747"/>
      <c r="T16" s="3747"/>
      <c r="U16" s="3747"/>
      <c r="V16" s="3747"/>
      <c r="W16" s="3747"/>
      <c r="X16" s="3747"/>
      <c r="Y16" s="374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5" sqref="F65"/>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27"/>
      <c r="H3"/>
      <c r="I3"/>
      <c r="J3" s="787"/>
      <c r="K3"/>
    </row>
    <row r="4" spans="1:11" s="1533" customFormat="1" ht="6" customHeight="1">
      <c r="A4" s="698"/>
      <c r="B4" s="148"/>
      <c r="C4" s="149"/>
      <c r="D4" s="150"/>
      <c r="E4" s="158"/>
      <c r="F4" s="159"/>
      <c r="G4" s="685"/>
      <c r="H4" s="338"/>
      <c r="I4" s="340"/>
      <c r="J4" s="788"/>
    </row>
    <row r="5" spans="1:11" ht="37.5" customHeight="1">
      <c r="D5" s="6"/>
      <c r="E5" s="3748" t="str">
        <f>NameTemplatesInTitle</f>
        <v>Показатели, подлежащие раскрытию в сфере холодного водоснабжения (цены и тарифы)</v>
      </c>
      <c r="F5" s="3749"/>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3751" t="s">
        <v>16</v>
      </c>
      <c r="D11" s="6"/>
      <c r="E11" s="1070" t="s">
        <v>17</v>
      </c>
      <c r="F11" s="1651">
        <v>45292.410879629628</v>
      </c>
      <c r="G11" s="8"/>
      <c r="H11" s="687" t="s">
        <v>18</v>
      </c>
      <c r="J11" s="790" t="s">
        <v>19</v>
      </c>
    </row>
    <row r="12" spans="1:11" ht="22.5" customHeight="1">
      <c r="A12" s="3751"/>
      <c r="D12" s="6"/>
      <c r="E12" s="1070" t="s">
        <v>20</v>
      </c>
      <c r="F12" s="1651">
        <v>47118.410937499997</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3750"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3750"/>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45278</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828"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6"/>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25.9" customHeight="1">
      <c r="B64" s="28"/>
      <c r="D64" s="13"/>
      <c r="E64" s="320" t="s">
        <v>68</v>
      </c>
      <c r="F64" s="133" t="s">
        <v>69</v>
      </c>
      <c r="G64" s="8"/>
    </row>
    <row r="65" spans="2:9" ht="20.8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25.9"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28"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40"/>
  <sheetViews>
    <sheetView showGridLines="0" topLeftCell="C2" zoomScale="90" workbookViewId="0">
      <selection activeCell="H35" sqref="H35"/>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3753" t="str">
        <f>NameTemplatesInListMO</f>
        <v>Перечень муниципальных районов и муниципальных образований (территорий действия тарифа)</v>
      </c>
      <c r="F4" s="3753"/>
      <c r="G4" s="3753"/>
      <c r="H4" s="3753"/>
      <c r="I4" s="3753"/>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3749" t="s">
        <v>84</v>
      </c>
      <c r="F8" s="3754"/>
      <c r="G8" s="3748"/>
      <c r="H8" s="3755" t="s">
        <v>85</v>
      </c>
      <c r="I8" s="3755"/>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3752">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7" customFormat="1" ht="15" customHeight="1">
      <c r="A13" s="3752"/>
      <c r="B13" s="346">
        <v>1</v>
      </c>
      <c r="C13" s="346"/>
      <c r="D13" s="714"/>
      <c r="E13" s="694" t="str">
        <f>A12&amp;"."&amp;B13</f>
        <v>1.1</v>
      </c>
      <c r="F13" s="709" t="s">
        <v>97</v>
      </c>
      <c r="G13" s="707" t="s">
        <v>98</v>
      </c>
      <c r="H13" s="707" t="s">
        <v>99</v>
      </c>
      <c r="I13" s="705" t="s">
        <v>100</v>
      </c>
      <c r="J13" s="424" t="e">
        <f ca="1">MERGEVALUE(G13)</f>
        <v>#NAME?</v>
      </c>
      <c r="K13" s="435"/>
      <c r="L13" s="435"/>
      <c r="M13" s="424" t="str">
        <f t="array" ref="M13">IF(ISERROR(MATCH(MID(N13,1,250),MID(note_ter,1,250),0)),"n","y")</f>
        <v>n</v>
      </c>
      <c r="N13" s="435"/>
      <c r="O13" s="424" t="str">
        <f>H13&amp;"("&amp;I13&amp;")"</f>
        <v>Город Буденновск(07612101)</v>
      </c>
      <c r="P13" s="346"/>
      <c r="Q13" s="346"/>
      <c r="R13" s="348"/>
      <c r="S13" s="346"/>
      <c r="T13" s="346"/>
      <c r="U13" s="346"/>
      <c r="V13" s="350"/>
      <c r="W13" s="350"/>
      <c r="X13" s="347"/>
      <c r="Y13" s="347"/>
      <c r="Z13" s="347"/>
      <c r="AA13" s="347"/>
      <c r="AB13" s="347"/>
    </row>
    <row r="14" spans="1:28" s="1827" customFormat="1" ht="15" customHeight="1">
      <c r="A14" s="3752"/>
      <c r="B14" s="346"/>
      <c r="C14" s="341"/>
      <c r="D14" s="715"/>
      <c r="E14" s="349"/>
      <c r="F14" s="95"/>
      <c r="G14" s="344" t="s">
        <v>101</v>
      </c>
      <c r="H14" s="105"/>
      <c r="I14" s="351"/>
      <c r="J14" s="435"/>
      <c r="K14" s="435"/>
      <c r="L14" s="435"/>
      <c r="M14" s="435"/>
      <c r="N14" s="424"/>
      <c r="O14" s="435"/>
      <c r="P14" s="346"/>
      <c r="Q14" s="346"/>
      <c r="R14" s="348"/>
      <c r="S14" s="346"/>
      <c r="T14" s="346"/>
      <c r="U14" s="346"/>
      <c r="V14" s="350"/>
      <c r="W14" s="350"/>
      <c r="X14" s="347"/>
      <c r="Y14" s="347"/>
      <c r="Z14" s="347"/>
      <c r="AA14" s="347"/>
      <c r="AB14" s="347"/>
    </row>
    <row r="15" spans="1:28" ht="15" customHeight="1">
      <c r="A15" s="3756" t="s">
        <v>102</v>
      </c>
      <c r="B15" s="1065"/>
      <c r="C15" s="715" t="s">
        <v>103</v>
      </c>
      <c r="D15" s="1738"/>
      <c r="E15" s="1725" t="str">
        <f>A15</f>
        <v>2</v>
      </c>
      <c r="F15" s="718" t="s">
        <v>104</v>
      </c>
      <c r="G15" s="463" t="str">
        <f>"Территория "&amp;E15</f>
        <v>Территория 2</v>
      </c>
      <c r="H15" s="706"/>
      <c r="I15" s="706"/>
      <c r="J15" s="703"/>
      <c r="N15" s="143"/>
      <c r="T15" s="1739"/>
      <c r="U15" s="1739"/>
      <c r="V15" s="1739"/>
      <c r="W15" s="1739"/>
      <c r="X15" s="1739"/>
      <c r="Y15" s="1739"/>
      <c r="Z15" s="1739"/>
      <c r="AA15" s="1739"/>
      <c r="AB15" s="1739"/>
    </row>
    <row r="16" spans="1:28" ht="15" customHeight="1">
      <c r="A16" s="3756"/>
      <c r="B16" s="1065">
        <v>1</v>
      </c>
      <c r="C16" s="1065"/>
      <c r="D16" s="714"/>
      <c r="E16" s="1733" t="str">
        <f>A15&amp;"."&amp;B16</f>
        <v>2.1</v>
      </c>
      <c r="F16" s="717" t="s">
        <v>105</v>
      </c>
      <c r="G16" s="707" t="s">
        <v>106</v>
      </c>
      <c r="H16" s="707" t="s">
        <v>106</v>
      </c>
      <c r="I16" s="705" t="s">
        <v>107</v>
      </c>
      <c r="K16" s="1556"/>
      <c r="L16" s="1556"/>
      <c r="M16" s="1544" t="str">
        <f t="array" ref="M16">IF(ISERROR(MATCH(MID(N16,1,250),MID(note_ter,1,250),0)),"n","y")</f>
        <v>n</v>
      </c>
      <c r="N16" s="1556"/>
      <c r="O16" s="1544" t="str">
        <f>H16&amp;"("&amp;I16&amp;")"</f>
        <v>Изобильненский(07713000)</v>
      </c>
      <c r="P16" s="1065"/>
      <c r="Q16" s="1065"/>
      <c r="R16" s="348"/>
      <c r="S16" s="1065"/>
      <c r="T16" s="1065"/>
      <c r="U16" s="1065"/>
      <c r="V16" s="350"/>
      <c r="W16" s="350"/>
      <c r="X16" s="347"/>
      <c r="Y16" s="347"/>
      <c r="Z16" s="347"/>
      <c r="AA16" s="347"/>
      <c r="AB16" s="347"/>
    </row>
    <row r="17" spans="1:28" ht="15" customHeight="1">
      <c r="A17" s="3756"/>
      <c r="B17" s="1065"/>
      <c r="C17" s="341"/>
      <c r="D17" s="715"/>
      <c r="E17" s="349"/>
      <c r="F17" s="95"/>
      <c r="G17" s="344" t="s">
        <v>101</v>
      </c>
      <c r="H17" s="105"/>
      <c r="I17" s="351"/>
      <c r="J17" s="1556"/>
      <c r="K17" s="1556"/>
      <c r="L17" s="1556"/>
      <c r="M17" s="1556"/>
      <c r="O17" s="1556"/>
      <c r="P17" s="1065"/>
      <c r="Q17" s="1065"/>
      <c r="R17" s="348"/>
      <c r="S17" s="1065"/>
      <c r="T17" s="1065"/>
      <c r="U17" s="1065"/>
      <c r="V17" s="350"/>
      <c r="W17" s="350"/>
      <c r="X17" s="347"/>
      <c r="Y17" s="347"/>
      <c r="Z17" s="347"/>
      <c r="AA17" s="347"/>
      <c r="AB17" s="347"/>
    </row>
    <row r="18" spans="1:28" ht="15" customHeight="1">
      <c r="A18" s="3756" t="s">
        <v>88</v>
      </c>
      <c r="B18" s="1065"/>
      <c r="C18" s="715" t="s">
        <v>103</v>
      </c>
      <c r="D18" s="1738"/>
      <c r="E18" s="1725" t="str">
        <f>A18</f>
        <v>3</v>
      </c>
      <c r="F18" s="718" t="s">
        <v>108</v>
      </c>
      <c r="G18" s="463" t="str">
        <f>"Территория "&amp;E18</f>
        <v>Территория 3</v>
      </c>
      <c r="H18" s="706"/>
      <c r="I18" s="706"/>
      <c r="J18" s="703"/>
      <c r="N18" s="143"/>
      <c r="T18" s="1739"/>
      <c r="U18" s="1739"/>
      <c r="V18" s="1739"/>
      <c r="W18" s="1739"/>
      <c r="X18" s="1739"/>
      <c r="Y18" s="1739"/>
      <c r="Z18" s="1739"/>
      <c r="AA18" s="1739"/>
      <c r="AB18" s="1739"/>
    </row>
    <row r="19" spans="1:28" ht="15" customHeight="1">
      <c r="A19" s="3756"/>
      <c r="B19" s="1065">
        <v>1</v>
      </c>
      <c r="C19" s="1065"/>
      <c r="D19" s="714"/>
      <c r="E19" s="1733" t="str">
        <f>A18&amp;"."&amp;B19</f>
        <v>3.1</v>
      </c>
      <c r="F19" s="717" t="s">
        <v>109</v>
      </c>
      <c r="G19" s="707" t="s">
        <v>110</v>
      </c>
      <c r="H19" s="707" t="s">
        <v>110</v>
      </c>
      <c r="I19" s="705" t="s">
        <v>111</v>
      </c>
      <c r="K19" s="1556"/>
      <c r="L19" s="1556"/>
      <c r="M19" s="1544" t="str">
        <f t="array" ref="M19">IF(ISERROR(MATCH(MID(N19,1,250),MID(note_ter,1,250),0)),"n","y")</f>
        <v>n</v>
      </c>
      <c r="N19" s="1556"/>
      <c r="O19" s="1544" t="str">
        <f>H19&amp;"("&amp;I19&amp;")"</f>
        <v>Курский муниципальный округ(07533000)</v>
      </c>
      <c r="P19" s="1065"/>
      <c r="Q19" s="1065"/>
      <c r="R19" s="348"/>
      <c r="S19" s="1065"/>
      <c r="T19" s="1065"/>
      <c r="U19" s="1065"/>
      <c r="V19" s="350"/>
      <c r="W19" s="350"/>
      <c r="X19" s="347"/>
      <c r="Y19" s="347"/>
      <c r="Z19" s="347"/>
      <c r="AA19" s="347"/>
      <c r="AB19" s="347"/>
    </row>
    <row r="20" spans="1:28" ht="15" customHeight="1">
      <c r="A20" s="3756"/>
      <c r="B20" s="1065"/>
      <c r="C20" s="341"/>
      <c r="D20" s="715"/>
      <c r="E20" s="349"/>
      <c r="F20" s="95"/>
      <c r="G20" s="344" t="s">
        <v>101</v>
      </c>
      <c r="H20" s="105"/>
      <c r="I20" s="351"/>
      <c r="J20" s="1556"/>
      <c r="K20" s="1556"/>
      <c r="L20" s="1556"/>
      <c r="M20" s="1556"/>
      <c r="O20" s="1556"/>
      <c r="P20" s="1065"/>
      <c r="Q20" s="1065"/>
      <c r="R20" s="348"/>
      <c r="S20" s="1065"/>
      <c r="T20" s="1065"/>
      <c r="U20" s="1065"/>
      <c r="V20" s="350"/>
      <c r="W20" s="350"/>
      <c r="X20" s="347"/>
      <c r="Y20" s="347"/>
      <c r="Z20" s="347"/>
      <c r="AA20" s="347"/>
      <c r="AB20" s="347"/>
    </row>
    <row r="21" spans="1:28" ht="15" customHeight="1">
      <c r="A21" s="3756" t="s">
        <v>89</v>
      </c>
      <c r="B21" s="1065"/>
      <c r="C21" s="715" t="s">
        <v>103</v>
      </c>
      <c r="D21" s="1738"/>
      <c r="E21" s="1725" t="str">
        <f>A21</f>
        <v>4</v>
      </c>
      <c r="F21" s="718" t="s">
        <v>112</v>
      </c>
      <c r="G21" s="463" t="str">
        <f>"Территория "&amp;E21</f>
        <v>Территория 4</v>
      </c>
      <c r="H21" s="706"/>
      <c r="I21" s="706"/>
      <c r="J21" s="703"/>
      <c r="N21" s="143"/>
      <c r="T21" s="1739"/>
      <c r="U21" s="1739"/>
      <c r="V21" s="1739"/>
      <c r="W21" s="1739"/>
      <c r="X21" s="1739"/>
      <c r="Y21" s="1739"/>
      <c r="Z21" s="1739"/>
      <c r="AA21" s="1739"/>
      <c r="AB21" s="1739"/>
    </row>
    <row r="22" spans="1:28" ht="15" customHeight="1">
      <c r="A22" s="3756"/>
      <c r="B22" s="1065">
        <v>1</v>
      </c>
      <c r="C22" s="1065"/>
      <c r="D22" s="714"/>
      <c r="E22" s="1733" t="str">
        <f>A21&amp;"."&amp;B22</f>
        <v>4.1</v>
      </c>
      <c r="F22" s="717" t="s">
        <v>113</v>
      </c>
      <c r="G22" s="707" t="s">
        <v>114</v>
      </c>
      <c r="H22" s="707" t="s">
        <v>115</v>
      </c>
      <c r="I22" s="705" t="s">
        <v>116</v>
      </c>
      <c r="K22" s="1556"/>
      <c r="L22" s="1556"/>
      <c r="M22" s="1544" t="str">
        <f t="array" ref="M22">IF(ISERROR(MATCH(MID(N22,1,250),MID(note_ter,1,250),0)),"n","y")</f>
        <v>n</v>
      </c>
      <c r="N22" s="1556"/>
      <c r="O22" s="1544" t="str">
        <f>H22&amp;"("&amp;I22&amp;")"</f>
        <v>Село Левокумское(07636410)</v>
      </c>
      <c r="P22" s="1065"/>
      <c r="Q22" s="1065"/>
      <c r="R22" s="348"/>
      <c r="S22" s="1065"/>
      <c r="T22" s="1065"/>
      <c r="U22" s="1065"/>
      <c r="V22" s="350"/>
      <c r="W22" s="350"/>
      <c r="X22" s="347"/>
      <c r="Y22" s="347"/>
      <c r="Z22" s="347"/>
      <c r="AA22" s="347"/>
      <c r="AB22" s="347"/>
    </row>
    <row r="23" spans="1:28" ht="15" customHeight="1">
      <c r="A23" s="3756"/>
      <c r="B23" s="1065"/>
      <c r="C23" s="341"/>
      <c r="D23" s="715"/>
      <c r="E23" s="349"/>
      <c r="F23" s="95"/>
      <c r="G23" s="344" t="s">
        <v>101</v>
      </c>
      <c r="H23" s="105"/>
      <c r="I23" s="351"/>
      <c r="J23" s="1556"/>
      <c r="K23" s="1556"/>
      <c r="L23" s="1556"/>
      <c r="M23" s="1556"/>
      <c r="O23" s="1556"/>
      <c r="P23" s="1065"/>
      <c r="Q23" s="1065"/>
      <c r="R23" s="348"/>
      <c r="S23" s="1065"/>
      <c r="T23" s="1065"/>
      <c r="U23" s="1065"/>
      <c r="V23" s="350"/>
      <c r="W23" s="350"/>
      <c r="X23" s="347"/>
      <c r="Y23" s="347"/>
      <c r="Z23" s="347"/>
      <c r="AA23" s="347"/>
      <c r="AB23" s="347"/>
    </row>
    <row r="24" spans="1:28" ht="15" customHeight="1">
      <c r="A24" s="3756" t="s">
        <v>117</v>
      </c>
      <c r="B24" s="1065"/>
      <c r="C24" s="715" t="s">
        <v>103</v>
      </c>
      <c r="D24" s="1738"/>
      <c r="E24" s="1725" t="str">
        <f>A24</f>
        <v>5</v>
      </c>
      <c r="F24" s="718" t="s">
        <v>118</v>
      </c>
      <c r="G24" s="463" t="str">
        <f>"Территория "&amp;E24</f>
        <v>Территория 5</v>
      </c>
      <c r="H24" s="706"/>
      <c r="I24" s="706"/>
      <c r="J24" s="703"/>
      <c r="N24" s="143"/>
      <c r="T24" s="1739"/>
      <c r="U24" s="1739"/>
      <c r="V24" s="1739"/>
      <c r="W24" s="1739"/>
      <c r="X24" s="1739"/>
      <c r="Y24" s="1739"/>
      <c r="Z24" s="1739"/>
      <c r="AA24" s="1739"/>
      <c r="AB24" s="1739"/>
    </row>
    <row r="25" spans="1:28" ht="15" customHeight="1">
      <c r="A25" s="3756"/>
      <c r="B25" s="1065">
        <v>1</v>
      </c>
      <c r="C25" s="1065"/>
      <c r="D25" s="714"/>
      <c r="E25" s="1733" t="str">
        <f>A24&amp;"."&amp;B25</f>
        <v>5.1</v>
      </c>
      <c r="F25" s="717" t="s">
        <v>119</v>
      </c>
      <c r="G25" s="707" t="s">
        <v>120</v>
      </c>
      <c r="H25" s="707" t="s">
        <v>121</v>
      </c>
      <c r="I25" s="705" t="s">
        <v>122</v>
      </c>
      <c r="K25" s="1556"/>
      <c r="L25" s="1556"/>
      <c r="M25" s="1544" t="str">
        <f t="array" ref="M25">IF(ISERROR(MATCH(MID(N25,1,250),MID(note_ter,1,250),0)),"n","y")</f>
        <v>n</v>
      </c>
      <c r="N25" s="1556"/>
      <c r="O25" s="1544" t="str">
        <f>H25&amp;"("&amp;I25&amp;")"</f>
        <v>Город Нефтекумск(07641101)</v>
      </c>
      <c r="P25" s="1065"/>
      <c r="Q25" s="1065"/>
      <c r="R25" s="348"/>
      <c r="S25" s="1065"/>
      <c r="T25" s="1065"/>
      <c r="U25" s="1065"/>
      <c r="V25" s="350"/>
      <c r="W25" s="350"/>
      <c r="X25" s="347"/>
      <c r="Y25" s="347"/>
      <c r="Z25" s="347"/>
      <c r="AA25" s="347"/>
      <c r="AB25" s="347"/>
    </row>
    <row r="26" spans="1:28" ht="15" customHeight="1">
      <c r="A26" s="3756"/>
      <c r="B26" s="1065"/>
      <c r="C26" s="341"/>
      <c r="D26" s="715"/>
      <c r="E26" s="349"/>
      <c r="F26" s="95"/>
      <c r="G26" s="344" t="s">
        <v>101</v>
      </c>
      <c r="H26" s="105"/>
      <c r="I26" s="351"/>
      <c r="J26" s="1556"/>
      <c r="K26" s="1556"/>
      <c r="L26" s="1556"/>
      <c r="M26" s="1556"/>
      <c r="O26" s="1556"/>
      <c r="P26" s="1065"/>
      <c r="Q26" s="1065"/>
      <c r="R26" s="348"/>
      <c r="S26" s="1065"/>
      <c r="T26" s="1065"/>
      <c r="U26" s="1065"/>
      <c r="V26" s="350"/>
      <c r="W26" s="350"/>
      <c r="X26" s="347"/>
      <c r="Y26" s="347"/>
      <c r="Z26" s="347"/>
      <c r="AA26" s="347"/>
      <c r="AB26" s="347"/>
    </row>
    <row r="27" spans="1:28" s="1739" customFormat="1" ht="14.25" customHeight="1">
      <c r="A27" s="673"/>
      <c r="B27" s="346"/>
      <c r="C27" s="673"/>
      <c r="D27" s="696"/>
      <c r="E27" s="708"/>
      <c r="F27" s="96"/>
      <c r="G27" s="345" t="s">
        <v>123</v>
      </c>
      <c r="H27" s="96"/>
      <c r="I27" s="97"/>
      <c r="J27" s="164"/>
      <c r="K27" s="73"/>
      <c r="L27" s="73"/>
      <c r="M27" s="73"/>
      <c r="N27" s="143" t="s">
        <v>124</v>
      </c>
      <c r="O27" s="73"/>
      <c r="P27" s="142"/>
      <c r="Q27" s="142"/>
      <c r="R27" s="142"/>
      <c r="S27" s="142"/>
    </row>
    <row r="28" spans="1:28" s="1739" customFormat="1" ht="21" customHeight="1">
      <c r="A28" s="673"/>
      <c r="B28" s="346"/>
      <c r="C28" s="673"/>
      <c r="D28" s="83"/>
      <c r="E28" s="98"/>
      <c r="F28" s="98"/>
      <c r="G28" s="98"/>
      <c r="H28" s="98"/>
      <c r="I28" s="98"/>
      <c r="J28" s="73"/>
      <c r="K28" s="73"/>
      <c r="L28" s="73"/>
      <c r="M28" s="73"/>
      <c r="N28" s="143"/>
      <c r="O28" s="73"/>
      <c r="P28" s="142"/>
      <c r="Q28" s="142"/>
      <c r="R28" s="142"/>
      <c r="S28" s="142"/>
    </row>
    <row r="29" spans="1:28" s="1739" customFormat="1" ht="14.25" customHeight="1">
      <c r="A29" s="673"/>
      <c r="B29" s="346"/>
      <c r="C29" s="673"/>
      <c r="D29" s="83"/>
      <c r="E29" s="14"/>
      <c r="F29" s="673"/>
      <c r="G29" s="14"/>
      <c r="H29" s="14"/>
      <c r="I29" s="14"/>
      <c r="J29" s="73"/>
      <c r="K29" s="73"/>
      <c r="L29" s="73"/>
      <c r="M29" s="73"/>
      <c r="N29" s="143"/>
      <c r="O29" s="73"/>
      <c r="P29" s="142"/>
      <c r="Q29" s="142"/>
      <c r="R29" s="142"/>
      <c r="S29" s="142"/>
    </row>
    <row r="30" spans="1:28" s="1739" customFormat="1" ht="0.75" customHeight="1">
      <c r="A30" s="673"/>
      <c r="B30" s="346"/>
      <c r="C30" s="673"/>
      <c r="D30" s="83"/>
      <c r="E30" s="14"/>
      <c r="F30" s="673"/>
      <c r="G30" s="14"/>
      <c r="H30" s="14"/>
      <c r="I30" s="14"/>
      <c r="J30" s="73"/>
      <c r="K30" s="73"/>
      <c r="L30" s="73"/>
      <c r="M30" s="73"/>
      <c r="N30" s="143"/>
      <c r="O30" s="73"/>
      <c r="P30" s="142"/>
      <c r="Q30" s="142"/>
      <c r="R30" s="142"/>
      <c r="S30" s="142"/>
    </row>
    <row r="31" spans="1:28" s="975" customFormat="1" ht="10.5" customHeight="1">
      <c r="B31" s="748"/>
      <c r="D31" s="100"/>
      <c r="J31" s="73"/>
      <c r="K31" s="73"/>
      <c r="L31" s="73"/>
      <c r="M31" s="73"/>
      <c r="N31" s="143"/>
      <c r="O31" s="73"/>
      <c r="P31" s="142"/>
      <c r="Q31" s="142"/>
      <c r="R31" s="142"/>
      <c r="S31" s="142"/>
    </row>
    <row r="32" spans="1:28" s="975" customFormat="1" ht="10.5" customHeight="1">
      <c r="B32" s="748"/>
      <c r="D32" s="100"/>
      <c r="J32" s="73"/>
      <c r="K32" s="73"/>
      <c r="L32" s="73"/>
      <c r="M32" s="73"/>
      <c r="N32" s="143"/>
      <c r="O32" s="73"/>
      <c r="P32" s="142"/>
      <c r="Q32" s="142"/>
      <c r="R32" s="142"/>
      <c r="S32" s="142"/>
    </row>
    <row r="36" spans="8:12" ht="14.25" customHeight="1">
      <c r="H36"/>
    </row>
    <row r="40" spans="8:12" ht="14.25" customHeight="1">
      <c r="J40" s="14"/>
      <c r="K40" s="14"/>
      <c r="L40" s="14"/>
    </row>
  </sheetData>
  <sheetProtection formatColumns="0" formatRows="0" insertRows="0" deleteColumns="0" deleteRows="0" sort="0" autoFilter="0"/>
  <mergeCells count="8">
    <mergeCell ref="A18:A20"/>
    <mergeCell ref="A21:A23"/>
    <mergeCell ref="A24:A26"/>
    <mergeCell ref="A12:A14"/>
    <mergeCell ref="E4:I4"/>
    <mergeCell ref="E8:G8"/>
    <mergeCell ref="H8:I8"/>
    <mergeCell ref="A15:A17"/>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3771" t="str">
        <f>Титульный!E5</f>
        <v>Показатели, подлежащие раскрытию в сфере холодного водоснабжения (цены и тарифы)</v>
      </c>
      <c r="E4" s="3772"/>
      <c r="F4" s="3772"/>
      <c r="G4" s="3772"/>
      <c r="H4" s="3772"/>
      <c r="I4" s="3773"/>
      <c r="J4" s="506"/>
      <c r="K4" s="506"/>
      <c r="L4" s="506"/>
      <c r="M4" s="506"/>
    </row>
    <row r="5" spans="1:38" s="510" customFormat="1" ht="15" customHeight="1">
      <c r="A5" s="507"/>
      <c r="B5" s="507"/>
      <c r="C5" s="507"/>
      <c r="D5" s="3774" t="str">
        <f>IF(org=0,"Не определено",org)</f>
        <v>ГУП СК "Ставрополькрайводоканал"</v>
      </c>
      <c r="E5" s="3775"/>
      <c r="F5" s="3775"/>
      <c r="G5" s="3775"/>
      <c r="H5" s="3775"/>
      <c r="I5" s="3776"/>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3752"/>
      <c r="B6" s="3752"/>
      <c r="C6" s="3752"/>
      <c r="D6" s="3752"/>
      <c r="E6" s="3752"/>
      <c r="F6" s="3752"/>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378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782"/>
      <c r="G7" s="3782"/>
      <c r="H7" s="3782"/>
      <c r="I7" s="3782"/>
      <c r="J7" s="3782"/>
      <c r="K7" s="3782"/>
      <c r="L7" s="3782"/>
      <c r="M7" s="3782"/>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3777"/>
      <c r="B9" s="244"/>
      <c r="C9" s="244"/>
      <c r="D9" s="3778" t="s">
        <v>125</v>
      </c>
      <c r="E9" s="3778"/>
      <c r="F9" s="3779" t="s">
        <v>126</v>
      </c>
      <c r="G9" s="3780"/>
      <c r="H9" s="3780"/>
      <c r="I9" s="3780"/>
      <c r="J9" s="3783" t="s">
        <v>127</v>
      </c>
      <c r="K9" s="3783"/>
      <c r="L9" s="3783"/>
      <c r="M9" s="3783"/>
    </row>
    <row r="10" spans="1:38" ht="22.5" customHeight="1">
      <c r="A10" s="3777"/>
      <c r="B10" s="513"/>
      <c r="C10" s="449"/>
      <c r="D10" s="447" t="s">
        <v>86</v>
      </c>
      <c r="E10" s="447" t="s">
        <v>87</v>
      </c>
      <c r="F10" s="447" t="s">
        <v>128</v>
      </c>
      <c r="G10" s="3784" t="s">
        <v>86</v>
      </c>
      <c r="H10" s="3785"/>
      <c r="I10" s="447" t="s">
        <v>87</v>
      </c>
      <c r="J10" s="447" t="s">
        <v>128</v>
      </c>
      <c r="K10" s="3784" t="s">
        <v>86</v>
      </c>
      <c r="L10" s="3785"/>
      <c r="M10" s="447" t="s">
        <v>87</v>
      </c>
      <c r="N10" s="1547"/>
    </row>
    <row r="11" spans="1:38" s="1771" customFormat="1" ht="11.25" hidden="1" customHeight="1">
      <c r="A11" s="514"/>
      <c r="B11" s="514"/>
      <c r="C11" s="514"/>
      <c r="D11" s="515" t="s">
        <v>129</v>
      </c>
      <c r="E11" s="515" t="s">
        <v>102</v>
      </c>
      <c r="F11" s="515" t="s">
        <v>88</v>
      </c>
      <c r="G11" s="3767" t="s">
        <v>89</v>
      </c>
      <c r="H11" s="3768"/>
      <c r="I11" s="515" t="s">
        <v>117</v>
      </c>
      <c r="J11" s="515" t="s">
        <v>90</v>
      </c>
      <c r="K11" s="3769" t="s">
        <v>91</v>
      </c>
      <c r="L11" s="3770"/>
      <c r="M11" s="515" t="s">
        <v>130</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131</v>
      </c>
      <c r="P12" s="1334" t="s">
        <v>132</v>
      </c>
      <c r="Q12" s="1334" t="s">
        <v>133</v>
      </c>
      <c r="R12" s="1334" t="s">
        <v>134</v>
      </c>
    </row>
    <row r="13" spans="1:38" s="1771" customFormat="1" ht="15" customHeight="1">
      <c r="A13"/>
      <c r="B13"/>
      <c r="C13" s="450"/>
      <c r="D13" s="3760" t="s">
        <v>129</v>
      </c>
      <c r="E13" s="3761"/>
      <c r="F13" s="3764" t="s">
        <v>60</v>
      </c>
      <c r="G13" s="3765"/>
      <c r="H13" s="3766">
        <v>1</v>
      </c>
      <c r="I13" s="3757" t="str">
        <f>IF(U13="","",INDEX(TERRITORY_MR_LIST,MATCH(U13,TERRITORY_LIST_ID,0)))</f>
        <v/>
      </c>
      <c r="J13" s="3759" t="s">
        <v>55</v>
      </c>
      <c r="K13" s="522"/>
      <c r="L13" s="451" t="s">
        <v>129</v>
      </c>
      <c r="M13" s="523" t="s">
        <v>24</v>
      </c>
      <c r="N13" s="726"/>
      <c r="O13" s="1337" t="s">
        <v>135</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136</v>
      </c>
      <c r="Z13" s="524">
        <v>1705000</v>
      </c>
      <c r="AA13" s="524"/>
      <c r="AB13" s="524"/>
      <c r="AC13" s="524"/>
      <c r="AD13" s="524"/>
      <c r="AE13" s="524"/>
      <c r="AF13" s="524"/>
      <c r="AG13" s="524"/>
      <c r="AH13" s="524"/>
      <c r="AI13" s="524"/>
      <c r="AJ13" s="524"/>
      <c r="AK13" s="524"/>
      <c r="AL13" s="524"/>
    </row>
    <row r="14" spans="1:38" s="1771" customFormat="1" ht="15" customHeight="1">
      <c r="A14"/>
      <c r="B14"/>
      <c r="C14" s="94"/>
      <c r="D14" s="3760"/>
      <c r="E14" s="3762"/>
      <c r="F14" s="3759"/>
      <c r="G14" s="3765"/>
      <c r="H14" s="3766"/>
      <c r="I14" s="3758"/>
      <c r="J14" s="3759"/>
      <c r="K14" s="349"/>
      <c r="L14" s="95"/>
      <c r="M14" s="526" t="s">
        <v>137</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3760"/>
      <c r="E15" s="3763"/>
      <c r="F15" s="3759"/>
      <c r="G15" s="971"/>
      <c r="H15" s="972"/>
      <c r="I15" s="503" t="s">
        <v>138</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139</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10" zoomScale="90" workbookViewId="0">
      <selection activeCell="J89" sqref="J89"/>
    </sheetView>
  </sheetViews>
  <sheetFormatPr defaultColWidth="9.140625" defaultRowHeight="11.25" customHeight="1"/>
  <cols>
    <col min="1" max="2" width="3.7109375" style="1544" hidden="1" customWidth="1"/>
    <col min="3" max="3" width="3.7109375" style="1771" customWidth="1"/>
    <col min="4" max="4" width="6.140625" style="1771" customWidth="1"/>
    <col min="5" max="5" width="25.7109375" style="1771" customWidth="1"/>
    <col min="6" max="6" width="15" style="1771" customWidth="1"/>
    <col min="7" max="7" width="23.425781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19.85546875" style="1771" customWidth="1"/>
    <col min="15" max="16" width="3.7109375" style="1771" customWidth="1"/>
    <col min="17" max="17" width="5.7109375" style="1771" customWidth="1"/>
    <col min="18" max="18" width="13.140625" style="1771" customWidth="1"/>
    <col min="19" max="20" width="3.7109375" style="1771" hidden="1" customWidth="1"/>
    <col min="21" max="21" width="5.7109375" style="1771" hidden="1" customWidth="1"/>
    <col min="22" max="22" width="34.42578125" style="1771" hidden="1" customWidth="1"/>
    <col min="23" max="23" width="11"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38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3814"/>
      <c r="F5" s="3814"/>
      <c r="G5" s="3814"/>
      <c r="H5" s="3814"/>
      <c r="I5" s="3814"/>
      <c r="J5" s="3815"/>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3819" t="str">
        <f>IF(org=0,"Не определено",org)</f>
        <v>ГУП СК "Ставрополькрайводоканал"</v>
      </c>
      <c r="E6" s="3819"/>
      <c r="F6" s="3819"/>
      <c r="G6" s="3819"/>
      <c r="H6" s="3819"/>
      <c r="I6" s="3819"/>
      <c r="J6" s="3819"/>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3816"/>
      <c r="E7" s="3817"/>
      <c r="F7" s="3817"/>
      <c r="G7" s="3817"/>
      <c r="H7" s="3817"/>
      <c r="I7" s="3817"/>
      <c r="J7" s="3818"/>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48.4" customHeight="1">
      <c r="D9" s="3778" t="s">
        <v>86</v>
      </c>
      <c r="E9" s="3749" t="s">
        <v>140</v>
      </c>
      <c r="F9" s="3748"/>
      <c r="G9" s="3778" t="s">
        <v>125</v>
      </c>
      <c r="H9" s="3778" t="s">
        <v>86</v>
      </c>
      <c r="I9" s="3778"/>
      <c r="J9" s="3778" t="s">
        <v>141</v>
      </c>
      <c r="K9" s="3806" t="s">
        <v>142</v>
      </c>
      <c r="L9" s="3806"/>
      <c r="M9" s="3806"/>
      <c r="N9" s="3806"/>
      <c r="O9" s="3806" t="s">
        <v>143</v>
      </c>
      <c r="P9" s="3806"/>
      <c r="Q9" s="3806"/>
      <c r="R9" s="3806"/>
      <c r="S9" s="3806" t="s">
        <v>144</v>
      </c>
      <c r="T9" s="3806"/>
      <c r="U9" s="3806"/>
      <c r="V9" s="3806"/>
      <c r="W9" s="3778" t="s">
        <v>145</v>
      </c>
    </row>
    <row r="10" spans="1:43" ht="30" customHeight="1">
      <c r="D10" s="3778"/>
      <c r="E10" s="1208" t="s">
        <v>87</v>
      </c>
      <c r="F10" s="1208" t="s">
        <v>146</v>
      </c>
      <c r="G10" s="3778"/>
      <c r="H10" s="3778"/>
      <c r="I10" s="3778"/>
      <c r="J10" s="3778"/>
      <c r="K10" s="37" t="s">
        <v>128</v>
      </c>
      <c r="L10" s="3778" t="s">
        <v>86</v>
      </c>
      <c r="M10" s="3778"/>
      <c r="N10" s="37" t="s">
        <v>147</v>
      </c>
      <c r="O10" s="37" t="s">
        <v>128</v>
      </c>
      <c r="P10" s="3778" t="s">
        <v>86</v>
      </c>
      <c r="Q10" s="3778"/>
      <c r="R10" s="37" t="s">
        <v>147</v>
      </c>
      <c r="S10" s="198" t="s">
        <v>128</v>
      </c>
      <c r="T10" s="3778" t="s">
        <v>86</v>
      </c>
      <c r="U10" s="3778"/>
      <c r="V10" s="198" t="s">
        <v>87</v>
      </c>
      <c r="W10" s="3778"/>
      <c r="Z10" s="1184" t="s">
        <v>148</v>
      </c>
      <c r="AA10" s="1184" t="s">
        <v>149</v>
      </c>
      <c r="AB10" s="1184" t="s">
        <v>150</v>
      </c>
      <c r="AC10" s="1184" t="s">
        <v>151</v>
      </c>
      <c r="AD10" s="1184" t="s">
        <v>152</v>
      </c>
      <c r="AE10" s="1184" t="s">
        <v>153</v>
      </c>
      <c r="AF10" s="1184" t="s">
        <v>154</v>
      </c>
      <c r="AG10" s="1184" t="s">
        <v>155</v>
      </c>
      <c r="AH10" s="1184" t="s">
        <v>156</v>
      </c>
      <c r="AI10" s="1184" t="s">
        <v>157</v>
      </c>
      <c r="AJ10" s="1184" t="s">
        <v>158</v>
      </c>
      <c r="AK10" s="1184" t="s">
        <v>159</v>
      </c>
      <c r="AL10" s="1184" t="s">
        <v>160</v>
      </c>
      <c r="AM10" s="1184" t="s">
        <v>161</v>
      </c>
      <c r="AN10" s="1184" t="s">
        <v>162</v>
      </c>
      <c r="AO10" s="1184" t="s">
        <v>163</v>
      </c>
      <c r="AP10" s="1184" t="s">
        <v>164</v>
      </c>
      <c r="AQ10" s="1184" t="s">
        <v>165</v>
      </c>
    </row>
    <row r="11" spans="1:43" s="1544" customFormat="1" ht="12" hidden="1" customHeight="1">
      <c r="D11" s="1164" t="s">
        <v>129</v>
      </c>
      <c r="E11" s="1164" t="s">
        <v>102</v>
      </c>
      <c r="F11" s="1164"/>
      <c r="G11" s="1164" t="s">
        <v>88</v>
      </c>
      <c r="H11" s="3807" t="s">
        <v>117</v>
      </c>
      <c r="I11" s="3807"/>
      <c r="J11" s="1164" t="s">
        <v>90</v>
      </c>
      <c r="K11" s="1164" t="s">
        <v>91</v>
      </c>
      <c r="L11" s="3807" t="s">
        <v>130</v>
      </c>
      <c r="M11" s="3807"/>
      <c r="N11" s="1164" t="s">
        <v>166</v>
      </c>
      <c r="O11" s="1164" t="s">
        <v>167</v>
      </c>
      <c r="P11" s="3807" t="s">
        <v>168</v>
      </c>
      <c r="Q11" s="3807"/>
      <c r="R11" s="1164" t="s">
        <v>169</v>
      </c>
      <c r="S11" s="1164" t="s">
        <v>168</v>
      </c>
      <c r="T11" s="3807" t="s">
        <v>169</v>
      </c>
      <c r="U11" s="3807"/>
      <c r="V11" s="1164" t="s">
        <v>170</v>
      </c>
      <c r="W11" s="1164" t="s">
        <v>171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3792">
        <v>1</v>
      </c>
      <c r="E13" s="3794" t="s">
        <v>172</v>
      </c>
      <c r="F13" s="3796" t="s">
        <v>55</v>
      </c>
      <c r="G13" s="3794"/>
      <c r="H13" s="3799"/>
      <c r="I13" s="3801"/>
      <c r="J13" s="3803"/>
      <c r="K13" s="3786"/>
      <c r="L13" s="3786"/>
      <c r="M13" s="3786"/>
      <c r="N13" s="3788"/>
      <c r="O13" s="3786"/>
      <c r="P13" s="3786"/>
      <c r="Q13" s="3786"/>
      <c r="R13" s="3791"/>
      <c r="S13" s="3786"/>
      <c r="T13" s="1340"/>
      <c r="U13" s="1340"/>
      <c r="V13" s="1339"/>
      <c r="W13" s="1220"/>
      <c r="Y13" s="1191"/>
      <c r="Z13" s="1191"/>
      <c r="AA13" s="1191"/>
      <c r="AB13" s="1191"/>
      <c r="AC13" s="1191" t="s">
        <v>173</v>
      </c>
      <c r="AD13" s="1191" t="s">
        <v>174</v>
      </c>
      <c r="AE13" s="1191" t="s">
        <v>175</v>
      </c>
      <c r="AF13" s="1191" t="s">
        <v>176</v>
      </c>
      <c r="AG13" s="1191" t="s">
        <v>177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3792"/>
      <c r="E14" s="3794"/>
      <c r="F14" s="3797"/>
      <c r="G14" s="3794"/>
      <c r="H14" s="3800"/>
      <c r="I14" s="3802"/>
      <c r="J14" s="3804"/>
      <c r="K14" s="3787"/>
      <c r="L14" s="3787"/>
      <c r="M14" s="3787"/>
      <c r="N14" s="3789"/>
      <c r="O14" s="3787"/>
      <c r="P14" s="3787"/>
      <c r="Q14" s="3787"/>
      <c r="R14" s="3790"/>
      <c r="S14" s="3787"/>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3792"/>
      <c r="E15" s="3794"/>
      <c r="F15" s="3797"/>
      <c r="G15" s="3794"/>
      <c r="H15" s="3800"/>
      <c r="I15" s="3802"/>
      <c r="J15" s="3805"/>
      <c r="K15" s="3787"/>
      <c r="L15" s="3787"/>
      <c r="M15" s="3787"/>
      <c r="N15" s="3790"/>
      <c r="O15" s="3787"/>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3792"/>
      <c r="E16" s="3794"/>
      <c r="F16" s="3797"/>
      <c r="G16" s="3794"/>
      <c r="H16" s="3800"/>
      <c r="I16" s="3802"/>
      <c r="J16" s="3805"/>
      <c r="K16" s="3787"/>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3793"/>
      <c r="E17" s="3795"/>
      <c r="F17" s="3798"/>
      <c r="G17" s="3795"/>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3792">
        <v>2</v>
      </c>
      <c r="E18" s="3794" t="s">
        <v>178</v>
      </c>
      <c r="F18" s="3796" t="s">
        <v>55</v>
      </c>
      <c r="G18" s="3794"/>
      <c r="H18" s="3799"/>
      <c r="I18" s="3801"/>
      <c r="J18" s="3803"/>
      <c r="K18" s="3786"/>
      <c r="L18" s="3786"/>
      <c r="M18" s="3786"/>
      <c r="N18" s="3788"/>
      <c r="O18" s="3786"/>
      <c r="P18" s="3786"/>
      <c r="Q18" s="3786"/>
      <c r="R18" s="3791"/>
      <c r="S18" s="3786"/>
      <c r="T18" s="1340"/>
      <c r="U18" s="1340"/>
      <c r="V18" s="1339"/>
      <c r="W18" s="1220"/>
      <c r="X18" s="1191"/>
      <c r="Y18" s="1191"/>
      <c r="Z18" s="1191"/>
      <c r="AA18" s="1191"/>
      <c r="AB18" s="1191"/>
      <c r="AC18" s="1191" t="s">
        <v>179</v>
      </c>
      <c r="AD18" s="1191" t="s">
        <v>180</v>
      </c>
      <c r="AE18" s="1191" t="s">
        <v>181</v>
      </c>
      <c r="AF18" s="1191" t="s">
        <v>182</v>
      </c>
      <c r="AG18" s="1191" t="s">
        <v>183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3792"/>
      <c r="E19" s="3794"/>
      <c r="F19" s="3797"/>
      <c r="G19" s="3794"/>
      <c r="H19" s="3800"/>
      <c r="I19" s="3802"/>
      <c r="J19" s="3804"/>
      <c r="K19" s="3787"/>
      <c r="L19" s="3787"/>
      <c r="M19" s="3787"/>
      <c r="N19" s="3789"/>
      <c r="O19" s="3787"/>
      <c r="P19" s="3787"/>
      <c r="Q19" s="3787"/>
      <c r="R19" s="3790"/>
      <c r="S19" s="3787"/>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3793"/>
      <c r="E20" s="3795"/>
      <c r="F20" s="3797"/>
      <c r="G20" s="3795"/>
      <c r="H20" s="3800"/>
      <c r="I20" s="3802"/>
      <c r="J20" s="3805"/>
      <c r="K20" s="3787"/>
      <c r="L20" s="3787"/>
      <c r="M20" s="3787"/>
      <c r="N20" s="3790"/>
      <c r="O20" s="3787"/>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3793"/>
      <c r="E21" s="3795"/>
      <c r="F21" s="3797"/>
      <c r="G21" s="3795"/>
      <c r="H21" s="3800"/>
      <c r="I21" s="3802"/>
      <c r="J21" s="3805"/>
      <c r="K21" s="3787"/>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3793"/>
      <c r="E22" s="3795"/>
      <c r="F22" s="3798"/>
      <c r="G22" s="3795"/>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3792">
        <v>3</v>
      </c>
      <c r="E23" s="3794" t="s">
        <v>184</v>
      </c>
      <c r="F23" s="3796" t="s">
        <v>55</v>
      </c>
      <c r="G23" s="3794"/>
      <c r="H23" s="3799"/>
      <c r="I23" s="3801"/>
      <c r="J23" s="3803"/>
      <c r="K23" s="3786"/>
      <c r="L23" s="3786"/>
      <c r="M23" s="3786"/>
      <c r="N23" s="3788"/>
      <c r="O23" s="3786"/>
      <c r="P23" s="3786"/>
      <c r="Q23" s="3786"/>
      <c r="R23" s="3791"/>
      <c r="S23" s="3786"/>
      <c r="T23" s="1340"/>
      <c r="U23" s="1340"/>
      <c r="V23" s="1339"/>
      <c r="W23" s="1220"/>
      <c r="X23" s="1191"/>
      <c r="Y23" s="1191"/>
      <c r="Z23" s="1191"/>
      <c r="AA23" s="1191"/>
      <c r="AB23" s="1191"/>
      <c r="AC23" s="1191" t="s">
        <v>185</v>
      </c>
      <c r="AD23" s="1191" t="s">
        <v>186</v>
      </c>
      <c r="AE23" s="1191" t="s">
        <v>187</v>
      </c>
      <c r="AF23" s="1191" t="s">
        <v>188</v>
      </c>
      <c r="AG23" s="1191" t="s">
        <v>189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3792"/>
      <c r="E24" s="3794"/>
      <c r="F24" s="3797"/>
      <c r="G24" s="3794"/>
      <c r="H24" s="3800"/>
      <c r="I24" s="3802"/>
      <c r="J24" s="3804"/>
      <c r="K24" s="3787"/>
      <c r="L24" s="3787"/>
      <c r="M24" s="3787"/>
      <c r="N24" s="3789"/>
      <c r="O24" s="3787"/>
      <c r="P24" s="3787"/>
      <c r="Q24" s="3787"/>
      <c r="R24" s="3790"/>
      <c r="S24" s="3787"/>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3793"/>
      <c r="E25" s="3795"/>
      <c r="F25" s="3797"/>
      <c r="G25" s="3795"/>
      <c r="H25" s="3800"/>
      <c r="I25" s="3802"/>
      <c r="J25" s="3805"/>
      <c r="K25" s="3787"/>
      <c r="L25" s="3787"/>
      <c r="M25" s="3787"/>
      <c r="N25" s="3790"/>
      <c r="O25" s="3787"/>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3793"/>
      <c r="E26" s="3795"/>
      <c r="F26" s="3797"/>
      <c r="G26" s="3795"/>
      <c r="H26" s="3800"/>
      <c r="I26" s="3802"/>
      <c r="J26" s="3805"/>
      <c r="K26" s="3787"/>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3793"/>
      <c r="E27" s="3795"/>
      <c r="F27" s="3798"/>
      <c r="G27" s="3795"/>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3792">
        <v>4</v>
      </c>
      <c r="E28" s="3794" t="s">
        <v>190</v>
      </c>
      <c r="F28" s="3796" t="s">
        <v>55</v>
      </c>
      <c r="G28" s="3794"/>
      <c r="H28" s="3799"/>
      <c r="I28" s="3801"/>
      <c r="J28" s="3803"/>
      <c r="K28" s="3786"/>
      <c r="L28" s="3786"/>
      <c r="M28" s="3786"/>
      <c r="N28" s="3788"/>
      <c r="O28" s="3786"/>
      <c r="P28" s="3786"/>
      <c r="Q28" s="3786"/>
      <c r="R28" s="3791"/>
      <c r="S28" s="3786"/>
      <c r="T28" s="1340"/>
      <c r="U28" s="1340"/>
      <c r="V28" s="1339"/>
      <c r="W28" s="1220"/>
      <c r="X28" s="1191"/>
      <c r="Y28" s="1191"/>
      <c r="Z28" s="1191"/>
      <c r="AA28" s="1191"/>
      <c r="AB28" s="1191"/>
      <c r="AC28" s="1191" t="s">
        <v>191</v>
      </c>
      <c r="AD28" s="1191" t="s">
        <v>192</v>
      </c>
      <c r="AE28" s="1191" t="s">
        <v>193</v>
      </c>
      <c r="AF28" s="1191" t="s">
        <v>194</v>
      </c>
      <c r="AG28" s="1191" t="s">
        <v>195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3792"/>
      <c r="E29" s="3794"/>
      <c r="F29" s="3797"/>
      <c r="G29" s="3794"/>
      <c r="H29" s="3800"/>
      <c r="I29" s="3802"/>
      <c r="J29" s="3804"/>
      <c r="K29" s="3787"/>
      <c r="L29" s="3787"/>
      <c r="M29" s="3787"/>
      <c r="N29" s="3789"/>
      <c r="O29" s="3787"/>
      <c r="P29" s="3787"/>
      <c r="Q29" s="3787"/>
      <c r="R29" s="3790"/>
      <c r="S29" s="3787"/>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3793"/>
      <c r="E30" s="3795"/>
      <c r="F30" s="3797"/>
      <c r="G30" s="3795"/>
      <c r="H30" s="3800"/>
      <c r="I30" s="3802"/>
      <c r="J30" s="3805"/>
      <c r="K30" s="3787"/>
      <c r="L30" s="3787"/>
      <c r="M30" s="3787"/>
      <c r="N30" s="3790"/>
      <c r="O30" s="3787"/>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3793"/>
      <c r="E31" s="3795"/>
      <c r="F31" s="3797"/>
      <c r="G31" s="3795"/>
      <c r="H31" s="3800"/>
      <c r="I31" s="3802"/>
      <c r="J31" s="3805"/>
      <c r="K31" s="3787"/>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3793"/>
      <c r="E32" s="3795"/>
      <c r="F32" s="3798"/>
      <c r="G32" s="3795"/>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3792">
        <v>5</v>
      </c>
      <c r="E33" s="3794" t="s">
        <v>196</v>
      </c>
      <c r="F33" s="3796" t="s">
        <v>55</v>
      </c>
      <c r="G33" s="3794"/>
      <c r="H33" s="3799"/>
      <c r="I33" s="3801"/>
      <c r="J33" s="3803"/>
      <c r="K33" s="3786"/>
      <c r="L33" s="3786"/>
      <c r="M33" s="3786"/>
      <c r="N33" s="3788"/>
      <c r="O33" s="3786"/>
      <c r="P33" s="3786"/>
      <c r="Q33" s="3786"/>
      <c r="R33" s="3791"/>
      <c r="S33" s="3786"/>
      <c r="T33" s="1340"/>
      <c r="U33" s="1340"/>
      <c r="V33" s="1339"/>
      <c r="W33" s="1220"/>
      <c r="X33" s="1191"/>
      <c r="Y33" s="1191"/>
      <c r="Z33" s="1191"/>
      <c r="AA33" s="1191"/>
      <c r="AB33" s="1191"/>
      <c r="AC33" s="1191" t="s">
        <v>197</v>
      </c>
      <c r="AD33" s="1191" t="s">
        <v>198</v>
      </c>
      <c r="AE33" s="1191" t="s">
        <v>199</v>
      </c>
      <c r="AF33" s="1191" t="s">
        <v>200</v>
      </c>
      <c r="AG33" s="1191" t="s">
        <v>201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3792"/>
      <c r="E34" s="3794"/>
      <c r="F34" s="3797"/>
      <c r="G34" s="3794"/>
      <c r="H34" s="3800"/>
      <c r="I34" s="3802"/>
      <c r="J34" s="3804"/>
      <c r="K34" s="3787"/>
      <c r="L34" s="3787"/>
      <c r="M34" s="3787"/>
      <c r="N34" s="3789"/>
      <c r="O34" s="3787"/>
      <c r="P34" s="3787"/>
      <c r="Q34" s="3787"/>
      <c r="R34" s="3790"/>
      <c r="S34" s="3787"/>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3793"/>
      <c r="E35" s="3795"/>
      <c r="F35" s="3797"/>
      <c r="G35" s="3795"/>
      <c r="H35" s="3800"/>
      <c r="I35" s="3802"/>
      <c r="J35" s="3805"/>
      <c r="K35" s="3787"/>
      <c r="L35" s="3787"/>
      <c r="M35" s="3787"/>
      <c r="N35" s="3790"/>
      <c r="O35" s="3787"/>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3793"/>
      <c r="E36" s="3795"/>
      <c r="F36" s="3797"/>
      <c r="G36" s="3795"/>
      <c r="H36" s="3800"/>
      <c r="I36" s="3802"/>
      <c r="J36" s="3805"/>
      <c r="K36" s="3787"/>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3793"/>
      <c r="E37" s="3795"/>
      <c r="F37" s="3798"/>
      <c r="G37" s="3795"/>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3792">
        <v>6</v>
      </c>
      <c r="E38" s="3794" t="s">
        <v>202</v>
      </c>
      <c r="F38" s="3796" t="s">
        <v>55</v>
      </c>
      <c r="G38" s="3794"/>
      <c r="H38" s="3799"/>
      <c r="I38" s="3801"/>
      <c r="J38" s="3803"/>
      <c r="K38" s="3786"/>
      <c r="L38" s="3786"/>
      <c r="M38" s="3786"/>
      <c r="N38" s="3788"/>
      <c r="O38" s="3786"/>
      <c r="P38" s="3786"/>
      <c r="Q38" s="3786"/>
      <c r="R38" s="3791"/>
      <c r="S38" s="3786"/>
      <c r="T38" s="1340"/>
      <c r="U38" s="1340"/>
      <c r="V38" s="1339"/>
      <c r="W38" s="1220"/>
      <c r="X38" s="1191"/>
      <c r="Y38" s="1191"/>
      <c r="Z38" s="1191"/>
      <c r="AA38" s="1191"/>
      <c r="AB38" s="1191"/>
      <c r="AC38" s="1191" t="s">
        <v>203</v>
      </c>
      <c r="AD38" s="1191" t="s">
        <v>204</v>
      </c>
      <c r="AE38" s="1191" t="s">
        <v>205</v>
      </c>
      <c r="AF38" s="1191" t="s">
        <v>206</v>
      </c>
      <c r="AG38" s="1191" t="s">
        <v>207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3792"/>
      <c r="E39" s="3794"/>
      <c r="F39" s="3797"/>
      <c r="G39" s="3794"/>
      <c r="H39" s="3800"/>
      <c r="I39" s="3802"/>
      <c r="J39" s="3804"/>
      <c r="K39" s="3787"/>
      <c r="L39" s="3787"/>
      <c r="M39" s="3787"/>
      <c r="N39" s="3789"/>
      <c r="O39" s="3787"/>
      <c r="P39" s="3787"/>
      <c r="Q39" s="3787"/>
      <c r="R39" s="3790"/>
      <c r="S39" s="3787"/>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3793"/>
      <c r="E40" s="3795"/>
      <c r="F40" s="3797"/>
      <c r="G40" s="3795"/>
      <c r="H40" s="3800"/>
      <c r="I40" s="3802"/>
      <c r="J40" s="3805"/>
      <c r="K40" s="3787"/>
      <c r="L40" s="3787"/>
      <c r="M40" s="3787"/>
      <c r="N40" s="3790"/>
      <c r="O40" s="3787"/>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3793"/>
      <c r="E41" s="3795"/>
      <c r="F41" s="3797"/>
      <c r="G41" s="3795"/>
      <c r="H41" s="3800"/>
      <c r="I41" s="3802"/>
      <c r="J41" s="3805"/>
      <c r="K41" s="3787"/>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3793"/>
      <c r="E42" s="3795"/>
      <c r="F42" s="3798"/>
      <c r="G42" s="3795"/>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3820">
        <v>7</v>
      </c>
      <c r="E43" s="3823" t="s">
        <v>208</v>
      </c>
      <c r="F43" s="3796" t="s">
        <v>55</v>
      </c>
      <c r="G43" s="3823"/>
      <c r="H43" s="3799"/>
      <c r="I43" s="3801"/>
      <c r="J43" s="3803"/>
      <c r="K43" s="3786"/>
      <c r="L43" s="3786"/>
      <c r="M43" s="3786"/>
      <c r="N43" s="3788"/>
      <c r="O43" s="3786"/>
      <c r="P43" s="3786"/>
      <c r="Q43" s="3786"/>
      <c r="R43" s="3791"/>
      <c r="S43" s="3786"/>
      <c r="T43" s="1340"/>
      <c r="U43" s="1340"/>
      <c r="V43" s="1339"/>
      <c r="W43" s="1220"/>
      <c r="X43" s="1191"/>
      <c r="Y43" s="1191"/>
      <c r="Z43" s="1191"/>
      <c r="AA43" s="1191"/>
      <c r="AB43" s="1191"/>
      <c r="AC43" s="1191" t="s">
        <v>209</v>
      </c>
      <c r="AD43" s="1191" t="s">
        <v>210</v>
      </c>
      <c r="AE43" s="1191" t="s">
        <v>211</v>
      </c>
      <c r="AF43" s="1191" t="s">
        <v>212</v>
      </c>
      <c r="AG43" s="1191" t="s">
        <v>213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3821"/>
      <c r="E44" s="3824"/>
      <c r="F44" s="3797"/>
      <c r="G44" s="3824"/>
      <c r="H44" s="3800"/>
      <c r="I44" s="3802"/>
      <c r="J44" s="3804"/>
      <c r="K44" s="3787"/>
      <c r="L44" s="3787"/>
      <c r="M44" s="3787"/>
      <c r="N44" s="3789"/>
      <c r="O44" s="3787"/>
      <c r="P44" s="3787"/>
      <c r="Q44" s="3787"/>
      <c r="R44" s="3790"/>
      <c r="S44" s="3787"/>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3821"/>
      <c r="E45" s="3824"/>
      <c r="F45" s="3797"/>
      <c r="G45" s="3824"/>
      <c r="H45" s="3800"/>
      <c r="I45" s="3802"/>
      <c r="J45" s="3805"/>
      <c r="K45" s="3787"/>
      <c r="L45" s="3787"/>
      <c r="M45" s="3787"/>
      <c r="N45" s="3790"/>
      <c r="O45" s="3787"/>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3821"/>
      <c r="E46" s="3824"/>
      <c r="F46" s="3797"/>
      <c r="G46" s="3824"/>
      <c r="H46" s="3800"/>
      <c r="I46" s="3802"/>
      <c r="J46" s="3805"/>
      <c r="K46" s="3787"/>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3822"/>
      <c r="E47" s="3825"/>
      <c r="F47" s="3798"/>
      <c r="G47" s="3825"/>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3792">
        <v>8</v>
      </c>
      <c r="E48" s="3794" t="s">
        <v>214</v>
      </c>
      <c r="F48" s="3796" t="s">
        <v>55</v>
      </c>
      <c r="G48" s="3794"/>
      <c r="H48" s="3799"/>
      <c r="I48" s="3801"/>
      <c r="J48" s="3803"/>
      <c r="K48" s="3786"/>
      <c r="L48" s="3786"/>
      <c r="M48" s="3786"/>
      <c r="N48" s="3788"/>
      <c r="O48" s="3786"/>
      <c r="P48" s="3786"/>
      <c r="Q48" s="3786"/>
      <c r="R48" s="3791"/>
      <c r="S48" s="3786"/>
      <c r="T48" s="1386"/>
      <c r="U48" s="1386"/>
      <c r="V48" s="1388"/>
      <c r="W48" s="1220"/>
      <c r="X48" s="1191"/>
      <c r="Y48" s="1191"/>
      <c r="Z48" s="1191"/>
      <c r="AA48" s="1191"/>
      <c r="AB48" s="1191"/>
      <c r="AC48" s="1191" t="s">
        <v>215</v>
      </c>
      <c r="AD48" s="1191" t="s">
        <v>216</v>
      </c>
      <c r="AE48" s="1191" t="s">
        <v>217</v>
      </c>
      <c r="AF48" s="1191" t="s">
        <v>218</v>
      </c>
      <c r="AG48" s="1191" t="s">
        <v>219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3792"/>
      <c r="E49" s="3794"/>
      <c r="F49" s="3797"/>
      <c r="G49" s="3794"/>
      <c r="H49" s="3800"/>
      <c r="I49" s="3802"/>
      <c r="J49" s="3804"/>
      <c r="K49" s="3787"/>
      <c r="L49" s="3787"/>
      <c r="M49" s="3787"/>
      <c r="N49" s="3789"/>
      <c r="O49" s="3787"/>
      <c r="P49" s="3787"/>
      <c r="Q49" s="3787"/>
      <c r="R49" s="3790"/>
      <c r="S49" s="3787"/>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3793"/>
      <c r="E50" s="3795"/>
      <c r="F50" s="3797"/>
      <c r="G50" s="3795"/>
      <c r="H50" s="3800"/>
      <c r="I50" s="3802"/>
      <c r="J50" s="3805"/>
      <c r="K50" s="3787"/>
      <c r="L50" s="3787"/>
      <c r="M50" s="3787"/>
      <c r="N50" s="3790"/>
      <c r="O50" s="3787"/>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3793"/>
      <c r="E51" s="3795"/>
      <c r="F51" s="3797"/>
      <c r="G51" s="3795"/>
      <c r="H51" s="3800"/>
      <c r="I51" s="3802"/>
      <c r="J51" s="3805"/>
      <c r="K51" s="3787"/>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3793"/>
      <c r="E52" s="3795"/>
      <c r="F52" s="3798"/>
      <c r="G52" s="3795"/>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3828" t="s">
        <v>220</v>
      </c>
      <c r="F54" s="3828"/>
      <c r="G54" s="3828"/>
      <c r="H54" s="3828"/>
      <c r="I54" s="3828"/>
      <c r="J54" s="3828"/>
      <c r="K54" s="3828"/>
      <c r="L54" s="3828"/>
      <c r="M54" s="3828"/>
      <c r="N54" s="3828"/>
      <c r="O54" s="3828"/>
      <c r="P54" s="3828"/>
      <c r="Q54" s="3828"/>
      <c r="R54" s="3828"/>
      <c r="S54" s="3828"/>
      <c r="T54" s="3828"/>
      <c r="U54" s="3828"/>
      <c r="V54" s="3828"/>
      <c r="W54" s="3828"/>
    </row>
    <row r="55" spans="1:43" ht="36.75" hidden="1" customHeight="1">
      <c r="E55" s="3826" t="s">
        <v>221</v>
      </c>
      <c r="F55" s="3826"/>
      <c r="G55" s="3827"/>
      <c r="H55" s="3827"/>
      <c r="I55" s="3827"/>
      <c r="J55" s="3827"/>
      <c r="K55" s="3827"/>
      <c r="L55" s="3827"/>
      <c r="M55" s="3827"/>
      <c r="N55" s="3827"/>
      <c r="O55" s="3827"/>
      <c r="P55" s="3827"/>
      <c r="Q55" s="3827"/>
      <c r="R55" s="3827"/>
      <c r="S55" s="3827"/>
      <c r="T55" s="3827"/>
      <c r="U55" s="3827"/>
      <c r="V55" s="3827"/>
      <c r="W55" s="3827"/>
    </row>
    <row r="56" spans="1:43" ht="28.5" hidden="1" customHeight="1">
      <c r="E56" s="3826" t="s">
        <v>222</v>
      </c>
      <c r="F56" s="3826"/>
      <c r="G56" s="3827"/>
      <c r="H56" s="3827"/>
      <c r="I56" s="3827"/>
      <c r="J56" s="3827"/>
      <c r="K56" s="3827"/>
      <c r="L56" s="3827"/>
      <c r="M56" s="3827"/>
      <c r="N56" s="3827"/>
      <c r="O56" s="3827"/>
      <c r="P56" s="3827"/>
      <c r="Q56" s="3827"/>
      <c r="R56" s="3827"/>
      <c r="S56" s="3827"/>
      <c r="T56" s="3827"/>
      <c r="U56" s="3827"/>
      <c r="V56" s="3827"/>
      <c r="W56" s="3827"/>
    </row>
    <row r="57" spans="1:43" ht="27" hidden="1" customHeight="1">
      <c r="E57" s="3826" t="s">
        <v>223</v>
      </c>
      <c r="F57" s="3826"/>
      <c r="G57" s="3827"/>
      <c r="H57" s="3827"/>
      <c r="I57" s="3827"/>
      <c r="J57" s="3827"/>
      <c r="K57" s="3827"/>
      <c r="L57" s="3827"/>
      <c r="M57" s="3827"/>
      <c r="N57" s="3827"/>
      <c r="O57" s="3827"/>
      <c r="P57" s="3827"/>
      <c r="Q57" s="3827"/>
      <c r="R57" s="3827"/>
      <c r="S57" s="3827"/>
      <c r="T57" s="3827"/>
      <c r="U57" s="3827"/>
      <c r="V57" s="3827"/>
      <c r="W57" s="3827"/>
    </row>
    <row r="58" spans="1:43" ht="17.25" hidden="1" customHeight="1">
      <c r="E58" s="3826" t="s">
        <v>224</v>
      </c>
      <c r="F58" s="3826"/>
      <c r="G58" s="3827"/>
      <c r="H58" s="3827"/>
      <c r="I58" s="3827"/>
      <c r="J58" s="3827"/>
      <c r="K58" s="3827"/>
      <c r="L58" s="3827"/>
      <c r="M58" s="3827"/>
      <c r="N58" s="3827"/>
      <c r="O58" s="3827"/>
      <c r="P58" s="3827"/>
      <c r="Q58" s="3827"/>
      <c r="R58" s="3827"/>
      <c r="S58" s="3827"/>
      <c r="T58" s="3827"/>
      <c r="U58" s="3827"/>
      <c r="V58" s="3827"/>
      <c r="W58" s="3827"/>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3828" t="s">
        <v>225</v>
      </c>
      <c r="F60" s="3828"/>
      <c r="G60" s="3828"/>
      <c r="H60" s="3828"/>
      <c r="I60" s="3828"/>
      <c r="J60" s="3828"/>
      <c r="K60" s="3828"/>
      <c r="L60" s="3828"/>
      <c r="M60" s="3828"/>
      <c r="N60" s="3828"/>
      <c r="O60" s="3828"/>
      <c r="P60" s="3828"/>
      <c r="Q60" s="3828"/>
      <c r="R60" s="3828"/>
      <c r="S60" s="3828"/>
      <c r="T60" s="3828"/>
      <c r="U60" s="3828"/>
      <c r="V60" s="3828"/>
      <c r="W60" s="3828"/>
    </row>
    <row r="61" spans="1:43" ht="17.25" hidden="1" customHeight="1">
      <c r="E61" s="3826" t="s">
        <v>226</v>
      </c>
      <c r="F61" s="3826"/>
      <c r="G61" s="3827"/>
      <c r="H61" s="3827"/>
      <c r="I61" s="3827"/>
      <c r="J61" s="3827"/>
      <c r="K61" s="3827"/>
      <c r="L61" s="3827"/>
      <c r="M61" s="3827"/>
      <c r="N61" s="3827"/>
      <c r="O61" s="3827"/>
      <c r="P61" s="3827"/>
      <c r="Q61" s="3827"/>
      <c r="R61" s="3827"/>
      <c r="S61" s="3827"/>
      <c r="T61" s="3827"/>
      <c r="U61" s="3827"/>
      <c r="V61" s="3827"/>
      <c r="W61" s="3827"/>
    </row>
    <row r="62" spans="1:43" ht="17.25" hidden="1" customHeight="1">
      <c r="E62" s="3826" t="s">
        <v>227</v>
      </c>
      <c r="F62" s="3826"/>
      <c r="G62" s="3827"/>
      <c r="H62" s="3827"/>
      <c r="I62" s="3827"/>
      <c r="J62" s="3827"/>
      <c r="K62" s="3827"/>
      <c r="L62" s="3827"/>
      <c r="M62" s="3827"/>
      <c r="N62" s="3827"/>
      <c r="O62" s="3827"/>
      <c r="P62" s="3827"/>
      <c r="Q62" s="3827"/>
      <c r="R62" s="3827"/>
      <c r="S62" s="3827"/>
      <c r="T62" s="3827"/>
      <c r="U62" s="3827"/>
      <c r="V62" s="3827"/>
      <c r="W62" s="3827"/>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3792">
        <v>1</v>
      </c>
      <c r="E64" s="3794" t="s">
        <v>228</v>
      </c>
      <c r="F64" s="3796" t="s">
        <v>55</v>
      </c>
      <c r="G64" s="3794"/>
      <c r="H64" s="3799"/>
      <c r="I64" s="3801"/>
      <c r="J64" s="3803"/>
      <c r="K64" s="3786"/>
      <c r="L64" s="3786"/>
      <c r="M64" s="3786"/>
      <c r="N64" s="3788"/>
      <c r="O64" s="3786"/>
      <c r="P64" s="3786"/>
      <c r="Q64" s="3786"/>
      <c r="R64" s="3791"/>
      <c r="S64" s="3786"/>
      <c r="T64" s="1386"/>
      <c r="U64" s="1386"/>
      <c r="V64" s="1388"/>
      <c r="W64" s="1220"/>
      <c r="Y64" s="1191"/>
      <c r="Z64" s="1191"/>
      <c r="AA64" s="1191"/>
      <c r="AB64" s="1191"/>
      <c r="AC64" s="1191" t="s">
        <v>229</v>
      </c>
      <c r="AD64" s="1191" t="s">
        <v>230</v>
      </c>
      <c r="AE64" s="1191" t="s">
        <v>231</v>
      </c>
      <c r="AF64" s="1191" t="s">
        <v>232</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customHeight="1">
      <c r="A65" s="240"/>
      <c r="C65" s="239"/>
      <c r="D65" s="3792"/>
      <c r="E65" s="3794"/>
      <c r="F65" s="3797"/>
      <c r="G65" s="3794"/>
      <c r="H65" s="3800"/>
      <c r="I65" s="3802"/>
      <c r="J65" s="3804"/>
      <c r="K65" s="3787"/>
      <c r="L65" s="3787"/>
      <c r="M65" s="3787"/>
      <c r="N65" s="3789"/>
      <c r="O65" s="3787"/>
      <c r="P65" s="3787"/>
      <c r="Q65" s="3787"/>
      <c r="R65" s="3790"/>
      <c r="S65" s="3787"/>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3792"/>
      <c r="E66" s="3794"/>
      <c r="F66" s="3797"/>
      <c r="G66" s="3794"/>
      <c r="H66" s="3800"/>
      <c r="I66" s="3802"/>
      <c r="J66" s="3805"/>
      <c r="K66" s="3787"/>
      <c r="L66" s="3787"/>
      <c r="M66" s="3787"/>
      <c r="N66" s="3790"/>
      <c r="O66" s="3787"/>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3792"/>
      <c r="E67" s="3794"/>
      <c r="F67" s="3797"/>
      <c r="G67" s="3794"/>
      <c r="H67" s="3800"/>
      <c r="I67" s="3802"/>
      <c r="J67" s="3805"/>
      <c r="K67" s="3787"/>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3793"/>
      <c r="E68" s="3795"/>
      <c r="F68" s="3798"/>
      <c r="G68" s="3795"/>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3792">
        <v>2</v>
      </c>
      <c r="E69" s="3794" t="s">
        <v>233</v>
      </c>
      <c r="F69" s="3796" t="s">
        <v>60</v>
      </c>
      <c r="G69" s="3810" t="str">
        <f>INDEX(COLDVSNA_PT_VED_NAME,MATCH(4189672,COLDVSNA_PT_VED_ID,0))</f>
        <v>Холодное водоснабжение. Техническая вода</v>
      </c>
      <c r="H69" s="3831"/>
      <c r="I69" s="3831">
        <v>1</v>
      </c>
      <c r="J69" s="3830" t="s">
        <v>234</v>
      </c>
      <c r="K69" s="3833" t="s">
        <v>60</v>
      </c>
      <c r="L69" s="3760"/>
      <c r="M69" s="3760" t="s">
        <v>129</v>
      </c>
      <c r="N69" s="3835" t="str">
        <f>IF(Z69="","",INDEX(TERRITORY_MR_LIST,MATCH(Z69,TERRITORY_LIST_ID,0)))</f>
        <v>Территория 1</v>
      </c>
      <c r="O69" s="3833" t="s">
        <v>55</v>
      </c>
      <c r="P69" s="3760"/>
      <c r="Q69" s="3760" t="s">
        <v>129</v>
      </c>
      <c r="R69" s="3837" t="s">
        <v>24</v>
      </c>
      <c r="S69" s="3829" t="s">
        <v>55</v>
      </c>
      <c r="T69" s="1818"/>
      <c r="U69" s="1818" t="s">
        <v>129</v>
      </c>
      <c r="V69" s="1354"/>
      <c r="W69" s="3830"/>
      <c r="X69" s="1191"/>
      <c r="Y69" s="1191"/>
      <c r="Z69" s="1191" t="s">
        <v>96</v>
      </c>
      <c r="AA69" s="1191"/>
      <c r="AB69" s="1191" t="s">
        <v>235</v>
      </c>
      <c r="AC69" s="1191" t="s">
        <v>236</v>
      </c>
      <c r="AD69" s="1191" t="s">
        <v>237</v>
      </c>
      <c r="AE69" s="1191" t="s">
        <v>238</v>
      </c>
      <c r="AF69" s="1191" t="s">
        <v>239</v>
      </c>
      <c r="AG69" s="1191"/>
      <c r="AH69" s="1191" t="str">
        <f>IF($E$69=0,"",$E$69)</f>
        <v>Тариф на техническую воду</v>
      </c>
      <c r="AI69" s="1191" t="str">
        <f>IF($G$69=0,"",$G$69)</f>
        <v>Холодное водоснабжение. Техническая вода</v>
      </c>
      <c r="AJ69" s="1191" t="str">
        <f>IF($J$69=0,"",$J$69)</f>
        <v>Тариф на техническую воду для потребителей, присоединенных к централизованной системе технического водоснабжения города Буденновска Буденновского муниципального округа</v>
      </c>
      <c r="AK69" s="1191" t="str">
        <f>IF($K$69="нет","без дифференциации",IF($N$69=0,"",$N$69))</f>
        <v>Территория 1</v>
      </c>
      <c r="AL69" s="1191" t="str">
        <f>IF($O$69="нет","без дифференциации",IF($R$69=0,"",$R$69))</f>
        <v>без дифференциации</v>
      </c>
      <c r="AM69" s="1191" t="str">
        <f>IF($S$69="нет","без дифференциации",IF($V$69=0,"",$V$69))</f>
        <v>без дифференциации</v>
      </c>
      <c r="AN69" s="1692">
        <f>$I$69</f>
        <v>1</v>
      </c>
      <c r="AO69" s="1191" t="str">
        <f>$I$69&amp;"."&amp;$M$69</f>
        <v>1.1</v>
      </c>
      <c r="AP69" s="1184" t="str">
        <f>$I$69&amp;"."&amp;$M$69&amp;"."&amp;$Q$69</f>
        <v>1.1.1</v>
      </c>
      <c r="AQ69" s="1184" t="str">
        <f>$I$69&amp;"."&amp;$M$69&amp;"."&amp;$Q$69&amp;"."&amp;$U$69</f>
        <v>1.1.1.1</v>
      </c>
    </row>
    <row r="70" spans="1:43" s="1771" customFormat="1" ht="17.25" customHeight="1">
      <c r="A70" s="240"/>
      <c r="C70" s="239"/>
      <c r="D70" s="3792"/>
      <c r="E70" s="3794"/>
      <c r="F70" s="3797"/>
      <c r="G70" s="3810"/>
      <c r="H70" s="3831"/>
      <c r="I70" s="3831"/>
      <c r="J70" s="3830"/>
      <c r="K70" s="3834"/>
      <c r="L70" s="3760"/>
      <c r="M70" s="3760"/>
      <c r="N70" s="3835"/>
      <c r="O70" s="3834"/>
      <c r="P70" s="3760"/>
      <c r="Q70" s="3760"/>
      <c r="R70" s="3837" t="s">
        <v>24</v>
      </c>
      <c r="S70" s="3829"/>
      <c r="T70" s="1355"/>
      <c r="U70" s="1356"/>
      <c r="V70" s="1356"/>
      <c r="W70" s="3830"/>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3793"/>
      <c r="E71" s="3795"/>
      <c r="F71" s="3797"/>
      <c r="G71" s="3811"/>
      <c r="H71" s="3793"/>
      <c r="I71" s="3793"/>
      <c r="J71" s="3832"/>
      <c r="K71" s="3834"/>
      <c r="L71" s="3793"/>
      <c r="M71" s="3793"/>
      <c r="N71" s="3836"/>
      <c r="O71" s="3764"/>
      <c r="P71" s="1829"/>
      <c r="Q71" s="1830"/>
      <c r="R71" s="1831" t="s">
        <v>240</v>
      </c>
      <c r="S71" s="1832"/>
      <c r="T71" s="1833"/>
      <c r="U71" s="1834"/>
      <c r="V71" s="1835"/>
      <c r="W71" s="1836"/>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3793"/>
      <c r="E72" s="3795"/>
      <c r="F72" s="3797"/>
      <c r="G72" s="3811"/>
      <c r="H72" s="3793"/>
      <c r="I72" s="3793"/>
      <c r="J72" s="3832"/>
      <c r="K72" s="3764"/>
      <c r="L72" s="1837"/>
      <c r="M72" s="1838"/>
      <c r="N72" s="1839" t="s">
        <v>241</v>
      </c>
      <c r="O72" s="1840"/>
      <c r="P72" s="1841"/>
      <c r="Q72" s="1842"/>
      <c r="R72" s="1843"/>
      <c r="S72" s="1844"/>
      <c r="T72" s="1845"/>
      <c r="U72" s="1846"/>
      <c r="V72" s="1847"/>
      <c r="W72" s="1848"/>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ht="17.25" customHeight="1">
      <c r="A73" s="1758"/>
      <c r="B73" s="1771"/>
      <c r="C73" s="1760"/>
      <c r="D73" s="3808"/>
      <c r="E73" s="3809"/>
      <c r="F73" s="3797"/>
      <c r="G73" s="3812"/>
      <c r="H73" s="3831" t="s">
        <v>103</v>
      </c>
      <c r="I73" s="3831" t="s">
        <v>102</v>
      </c>
      <c r="J73" s="3830" t="s">
        <v>242</v>
      </c>
      <c r="K73" s="3833" t="s">
        <v>60</v>
      </c>
      <c r="L73" s="3760"/>
      <c r="M73" s="3760" t="s">
        <v>129</v>
      </c>
      <c r="N73" s="3835" t="str">
        <f>IF(Z73="","",INDEX(TERRITORY_MR_LIST,MATCH(Z73,TERRITORY_LIST_ID,0)))</f>
        <v>Территория 2</v>
      </c>
      <c r="O73" s="3833" t="s">
        <v>55</v>
      </c>
      <c r="P73" s="3760"/>
      <c r="Q73" s="3760" t="s">
        <v>129</v>
      </c>
      <c r="R73" s="3837" t="s">
        <v>24</v>
      </c>
      <c r="S73" s="3829" t="s">
        <v>55</v>
      </c>
      <c r="T73" s="1722"/>
      <c r="U73" s="1722" t="s">
        <v>129</v>
      </c>
      <c r="V73" s="1354"/>
      <c r="W73" s="3830"/>
      <c r="Y73" s="1191"/>
      <c r="Z73" s="1191" t="s">
        <v>104</v>
      </c>
      <c r="AA73" s="1191"/>
      <c r="AB73" s="1191"/>
      <c r="AC73" s="1191" t="s">
        <v>236</v>
      </c>
      <c r="AD73" s="1191" t="s">
        <v>243</v>
      </c>
      <c r="AE73" s="1191" t="s">
        <v>244</v>
      </c>
      <c r="AF73" s="1191" t="s">
        <v>245</v>
      </c>
      <c r="AG73" s="1191" t="s">
        <v>246</v>
      </c>
      <c r="AH73" s="1191" t="str">
        <f>IF($E$69=0,"",$E$69)</f>
        <v>Тариф на техническую воду</v>
      </c>
      <c r="AI73" s="1191" t="str">
        <f>IF($G$69=0,"",$G$69)</f>
        <v>Холодное водоснабжение. Техническая вода</v>
      </c>
      <c r="AJ73" s="1191" t="str">
        <f>IF($J$73=0,"",$J$73)</f>
        <v>Тариф на техническую воду для потребителей, присоединенных к централизованной системе технического водоснабжения Изобильненского муниципального округа</v>
      </c>
      <c r="AK73" s="1191" t="str">
        <f>IF($K$73="нет","без дифференциации",IF($N$73=0,"",$N$73))</f>
        <v>Территория 2</v>
      </c>
      <c r="AL73" s="1762" t="str">
        <f>IF($O$73="нет","без дифференциации",IF($R$73=0,"",$R$73))</f>
        <v>без дифференциации</v>
      </c>
      <c r="AM73" s="1762"/>
      <c r="AN73" s="1191" t="str">
        <f>$I$73</f>
        <v>2</v>
      </c>
      <c r="AO73" s="1191" t="str">
        <f>$I$73&amp;"."&amp;$M$73</f>
        <v>2.1</v>
      </c>
      <c r="AP73" s="1191" t="str">
        <f>$I$73&amp;"."&amp;$M$73&amp;"."&amp;$Q$73</f>
        <v>2.1.1</v>
      </c>
      <c r="AQ73" s="1191"/>
    </row>
    <row r="74" spans="1:43" ht="17.25" customHeight="1">
      <c r="A74" s="1758"/>
      <c r="B74" s="1771"/>
      <c r="C74" s="1763"/>
      <c r="D74" s="3808"/>
      <c r="E74" s="3809"/>
      <c r="F74" s="3797"/>
      <c r="G74" s="3812"/>
      <c r="H74" s="3831"/>
      <c r="I74" s="3831"/>
      <c r="J74" s="3830"/>
      <c r="K74" s="3834"/>
      <c r="L74" s="3760"/>
      <c r="M74" s="3760"/>
      <c r="N74" s="3835"/>
      <c r="O74" s="3834"/>
      <c r="P74" s="3760"/>
      <c r="Q74" s="3760"/>
      <c r="R74" s="3837" t="s">
        <v>24</v>
      </c>
      <c r="S74" s="3829"/>
      <c r="T74" s="1355"/>
      <c r="U74" s="1356"/>
      <c r="V74" s="1356"/>
      <c r="W74" s="3830"/>
      <c r="Y74" s="1184"/>
      <c r="Z74" s="1184"/>
      <c r="AA74" s="1184"/>
      <c r="AB74" s="1184"/>
      <c r="AC74" s="1184"/>
      <c r="AD74" s="1184"/>
      <c r="AE74" s="1184"/>
      <c r="AF74" s="1184"/>
      <c r="AG74" s="1184"/>
      <c r="AH74" s="1184"/>
      <c r="AI74" s="1184"/>
      <c r="AJ74" s="1184"/>
      <c r="AK74" s="1184"/>
      <c r="AL74" s="1771"/>
      <c r="AM74" s="1771"/>
      <c r="AN74" s="1771"/>
      <c r="AO74" s="1771"/>
      <c r="AP74" s="1771"/>
      <c r="AQ74" s="1771"/>
    </row>
    <row r="75" spans="1:43" ht="17.25" customHeight="1">
      <c r="A75" s="1758"/>
      <c r="B75" s="1771"/>
      <c r="C75" s="1763"/>
      <c r="D75" s="3808"/>
      <c r="E75" s="3809"/>
      <c r="F75" s="3797"/>
      <c r="G75" s="3812"/>
      <c r="H75" s="3793"/>
      <c r="I75" s="3793"/>
      <c r="J75" s="3832"/>
      <c r="K75" s="3834"/>
      <c r="L75" s="3793"/>
      <c r="M75" s="3793"/>
      <c r="N75" s="3836"/>
      <c r="O75" s="3764"/>
      <c r="P75" s="236"/>
      <c r="Q75" s="237"/>
      <c r="R75" s="237" t="s">
        <v>240</v>
      </c>
      <c r="S75" s="1764"/>
      <c r="T75" s="1764"/>
      <c r="U75" s="1764"/>
      <c r="V75" s="1764"/>
      <c r="W75" s="1353"/>
      <c r="Y75" s="1184"/>
      <c r="Z75" s="1184"/>
      <c r="AA75" s="1184"/>
      <c r="AB75" s="1184"/>
      <c r="AC75" s="1184"/>
      <c r="AD75" s="1184"/>
      <c r="AE75" s="1184"/>
      <c r="AF75" s="1184"/>
      <c r="AG75" s="1184"/>
      <c r="AH75" s="1184"/>
      <c r="AI75" s="1184"/>
      <c r="AJ75" s="1184"/>
      <c r="AK75" s="1184"/>
      <c r="AL75" s="1771"/>
      <c r="AM75" s="1771"/>
      <c r="AN75" s="1771"/>
      <c r="AO75" s="1771"/>
      <c r="AP75" s="1771"/>
      <c r="AQ75" s="1771"/>
    </row>
    <row r="76" spans="1:43" ht="17.25" customHeight="1">
      <c r="A76" s="1758"/>
      <c r="B76" s="1771"/>
      <c r="C76" s="1763"/>
      <c r="D76" s="3808"/>
      <c r="E76" s="3809"/>
      <c r="F76" s="3797"/>
      <c r="G76" s="3812"/>
      <c r="H76" s="3793"/>
      <c r="I76" s="3793"/>
      <c r="J76" s="3832"/>
      <c r="K76" s="3764"/>
      <c r="L76" s="236"/>
      <c r="M76" s="237"/>
      <c r="N76" s="237" t="s">
        <v>241</v>
      </c>
      <c r="O76" s="237"/>
      <c r="P76" s="237"/>
      <c r="Q76" s="237"/>
      <c r="R76" s="237"/>
      <c r="S76" s="1764"/>
      <c r="T76" s="1764"/>
      <c r="U76" s="1764"/>
      <c r="V76" s="1764"/>
      <c r="W76" s="238"/>
      <c r="Y76" s="1184"/>
      <c r="Z76" s="1184"/>
      <c r="AA76" s="1184"/>
      <c r="AB76" s="1184"/>
      <c r="AC76" s="1184"/>
      <c r="AD76" s="1184"/>
      <c r="AE76" s="1184"/>
      <c r="AF76" s="1184"/>
      <c r="AG76" s="1184"/>
      <c r="AH76" s="1184"/>
      <c r="AI76" s="1184"/>
      <c r="AJ76" s="1184"/>
      <c r="AK76" s="1184"/>
      <c r="AL76" s="1771"/>
      <c r="AM76" s="1771"/>
      <c r="AN76" s="1771"/>
      <c r="AO76" s="1771"/>
      <c r="AP76" s="1771"/>
      <c r="AQ76" s="1771"/>
    </row>
    <row r="77" spans="1:43" ht="17.25" customHeight="1">
      <c r="A77" s="1758"/>
      <c r="B77" s="1771"/>
      <c r="C77" s="1760"/>
      <c r="D77" s="3808"/>
      <c r="E77" s="3809"/>
      <c r="F77" s="3797"/>
      <c r="G77" s="3812"/>
      <c r="H77" s="3831" t="s">
        <v>103</v>
      </c>
      <c r="I77" s="3831" t="s">
        <v>88</v>
      </c>
      <c r="J77" s="3830" t="s">
        <v>247</v>
      </c>
      <c r="K77" s="3833" t="s">
        <v>60</v>
      </c>
      <c r="L77" s="3760"/>
      <c r="M77" s="3760" t="s">
        <v>129</v>
      </c>
      <c r="N77" s="3835" t="str">
        <f>IF(Z77="","",INDEX(TERRITORY_MR_LIST,MATCH(Z77,TERRITORY_LIST_ID,0)))</f>
        <v>Территория 3</v>
      </c>
      <c r="O77" s="3833" t="s">
        <v>55</v>
      </c>
      <c r="P77" s="3760"/>
      <c r="Q77" s="3760" t="s">
        <v>129</v>
      </c>
      <c r="R77" s="3837" t="s">
        <v>24</v>
      </c>
      <c r="S77" s="3829" t="s">
        <v>55</v>
      </c>
      <c r="T77" s="1722"/>
      <c r="U77" s="1722" t="s">
        <v>129</v>
      </c>
      <c r="V77" s="1354"/>
      <c r="W77" s="3830"/>
      <c r="Y77" s="1191"/>
      <c r="Z77" s="1191" t="s">
        <v>108</v>
      </c>
      <c r="AA77" s="1191"/>
      <c r="AB77" s="1191"/>
      <c r="AC77" s="1191" t="s">
        <v>236</v>
      </c>
      <c r="AD77" s="1191" t="s">
        <v>248</v>
      </c>
      <c r="AE77" s="1191" t="s">
        <v>249</v>
      </c>
      <c r="AF77" s="1191" t="s">
        <v>250</v>
      </c>
      <c r="AG77" s="1191" t="s">
        <v>251</v>
      </c>
      <c r="AH77" s="1191" t="str">
        <f>IF($E$69=0,"",$E$69)</f>
        <v>Тариф на техническую воду</v>
      </c>
      <c r="AI77" s="1191" t="str">
        <f>IF($G$69=0,"",$G$69)</f>
        <v>Холодное водоснабжение. Техническая вода</v>
      </c>
      <c r="AJ77" s="1191" t="str">
        <f>IF($J$77=0,"",$J$77)</f>
        <v>Тариф на техническую воду для потребителей, присоединенных к централизованной системе технического водоснабжения хутора Привольного Курского муниципального округа</v>
      </c>
      <c r="AK77" s="1191" t="str">
        <f>IF($K$77="нет","без дифференциации",IF($N$77=0,"",$N$77))</f>
        <v>Территория 3</v>
      </c>
      <c r="AL77" s="1762" t="str">
        <f>IF($O$77="нет","без дифференциации",IF($R$77=0,"",$R$77))</f>
        <v>без дифференциации</v>
      </c>
      <c r="AM77" s="1762"/>
      <c r="AN77" s="1191" t="str">
        <f>$I$77</f>
        <v>3</v>
      </c>
      <c r="AO77" s="1191" t="str">
        <f>$I$77&amp;"."&amp;$M$77</f>
        <v>3.1</v>
      </c>
      <c r="AP77" s="1191" t="str">
        <f>$I$77&amp;"."&amp;$M$77&amp;"."&amp;$Q$77</f>
        <v>3.1.1</v>
      </c>
      <c r="AQ77" s="1191"/>
    </row>
    <row r="78" spans="1:43" ht="17.25" customHeight="1">
      <c r="A78" s="1758"/>
      <c r="B78" s="1771"/>
      <c r="C78" s="1763"/>
      <c r="D78" s="3808"/>
      <c r="E78" s="3809"/>
      <c r="F78" s="3797"/>
      <c r="G78" s="3812"/>
      <c r="H78" s="3831"/>
      <c r="I78" s="3831"/>
      <c r="J78" s="3830"/>
      <c r="K78" s="3834"/>
      <c r="L78" s="3760"/>
      <c r="M78" s="3760"/>
      <c r="N78" s="3835"/>
      <c r="O78" s="3834"/>
      <c r="P78" s="3760"/>
      <c r="Q78" s="3760"/>
      <c r="R78" s="3837" t="s">
        <v>24</v>
      </c>
      <c r="S78" s="3829"/>
      <c r="T78" s="1355"/>
      <c r="U78" s="1356"/>
      <c r="V78" s="1356"/>
      <c r="W78" s="3830"/>
      <c r="Y78" s="1184"/>
      <c r="Z78" s="1184"/>
      <c r="AA78" s="1184"/>
      <c r="AB78" s="1184"/>
      <c r="AC78" s="1184"/>
      <c r="AD78" s="1184"/>
      <c r="AE78" s="1184"/>
      <c r="AF78" s="1184"/>
      <c r="AG78" s="1184"/>
      <c r="AH78" s="1184"/>
      <c r="AI78" s="1184"/>
      <c r="AJ78" s="1184"/>
      <c r="AK78" s="1184"/>
      <c r="AL78" s="1771"/>
      <c r="AM78" s="1771"/>
      <c r="AN78" s="1771"/>
      <c r="AO78" s="1771"/>
      <c r="AP78" s="1771"/>
      <c r="AQ78" s="1771"/>
    </row>
    <row r="79" spans="1:43" ht="17.25" customHeight="1">
      <c r="A79" s="1758"/>
      <c r="B79" s="1771"/>
      <c r="C79" s="1763"/>
      <c r="D79" s="3808"/>
      <c r="E79" s="3809"/>
      <c r="F79" s="3797"/>
      <c r="G79" s="3812"/>
      <c r="H79" s="3793"/>
      <c r="I79" s="3793"/>
      <c r="J79" s="3832"/>
      <c r="K79" s="3834"/>
      <c r="L79" s="3793"/>
      <c r="M79" s="3793"/>
      <c r="N79" s="3836"/>
      <c r="O79" s="3764"/>
      <c r="P79" s="236"/>
      <c r="Q79" s="237"/>
      <c r="R79" s="237" t="s">
        <v>240</v>
      </c>
      <c r="S79" s="1764"/>
      <c r="T79" s="1764"/>
      <c r="U79" s="1764"/>
      <c r="V79" s="1764"/>
      <c r="W79" s="1353"/>
      <c r="Y79" s="1184"/>
      <c r="Z79" s="1184"/>
      <c r="AA79" s="1184"/>
      <c r="AB79" s="1184"/>
      <c r="AC79" s="1184"/>
      <c r="AD79" s="1184"/>
      <c r="AE79" s="1184"/>
      <c r="AF79" s="1184"/>
      <c r="AG79" s="1184"/>
      <c r="AH79" s="1184"/>
      <c r="AI79" s="1184"/>
      <c r="AJ79" s="1184"/>
      <c r="AK79" s="1184"/>
      <c r="AL79" s="1771"/>
      <c r="AM79" s="1771"/>
      <c r="AN79" s="1771"/>
      <c r="AO79" s="1771"/>
      <c r="AP79" s="1771"/>
      <c r="AQ79" s="1771"/>
    </row>
    <row r="80" spans="1:43" ht="17.25" customHeight="1">
      <c r="A80" s="1758"/>
      <c r="B80" s="1771"/>
      <c r="C80" s="1763"/>
      <c r="D80" s="3808"/>
      <c r="E80" s="3809"/>
      <c r="F80" s="3797"/>
      <c r="G80" s="3812"/>
      <c r="H80" s="3793"/>
      <c r="I80" s="3793"/>
      <c r="J80" s="3832"/>
      <c r="K80" s="3764"/>
      <c r="L80" s="236"/>
      <c r="M80" s="237"/>
      <c r="N80" s="237" t="s">
        <v>241</v>
      </c>
      <c r="O80" s="237"/>
      <c r="P80" s="237"/>
      <c r="Q80" s="237"/>
      <c r="R80" s="237"/>
      <c r="S80" s="1764"/>
      <c r="T80" s="1764"/>
      <c r="U80" s="1764"/>
      <c r="V80" s="1764"/>
      <c r="W80" s="238"/>
      <c r="Y80" s="1184"/>
      <c r="Z80" s="1184"/>
      <c r="AA80" s="1184"/>
      <c r="AB80" s="1184"/>
      <c r="AC80" s="1184"/>
      <c r="AD80" s="1184"/>
      <c r="AE80" s="1184"/>
      <c r="AF80" s="1184"/>
      <c r="AG80" s="1184"/>
      <c r="AH80" s="1184"/>
      <c r="AI80" s="1184"/>
      <c r="AJ80" s="1184"/>
      <c r="AK80" s="1184"/>
      <c r="AL80" s="1771"/>
      <c r="AM80" s="1771"/>
      <c r="AN80" s="1771"/>
      <c r="AO80" s="1771"/>
      <c r="AP80" s="1771"/>
      <c r="AQ80" s="1771"/>
    </row>
    <row r="81" spans="1:43" ht="17.25" customHeight="1">
      <c r="A81" s="1758"/>
      <c r="B81" s="1771"/>
      <c r="C81" s="1760"/>
      <c r="D81" s="3808"/>
      <c r="E81" s="3809"/>
      <c r="F81" s="3797"/>
      <c r="G81" s="3812"/>
      <c r="H81" s="3831" t="s">
        <v>103</v>
      </c>
      <c r="I81" s="3831" t="s">
        <v>89</v>
      </c>
      <c r="J81" s="3830" t="s">
        <v>252</v>
      </c>
      <c r="K81" s="3833" t="s">
        <v>60</v>
      </c>
      <c r="L81" s="3760"/>
      <c r="M81" s="3760" t="s">
        <v>129</v>
      </c>
      <c r="N81" s="3835" t="str">
        <f>IF(Z81="","",INDEX(TERRITORY_MR_LIST,MATCH(Z81,TERRITORY_LIST_ID,0)))</f>
        <v>Территория 4</v>
      </c>
      <c r="O81" s="3833" t="s">
        <v>55</v>
      </c>
      <c r="P81" s="3760"/>
      <c r="Q81" s="3760" t="s">
        <v>129</v>
      </c>
      <c r="R81" s="3837" t="s">
        <v>24</v>
      </c>
      <c r="S81" s="3829" t="s">
        <v>55</v>
      </c>
      <c r="T81" s="1722"/>
      <c r="U81" s="1722" t="s">
        <v>129</v>
      </c>
      <c r="V81" s="1354"/>
      <c r="W81" s="3830"/>
      <c r="Y81" s="1191"/>
      <c r="Z81" s="1191" t="s">
        <v>112</v>
      </c>
      <c r="AA81" s="1191"/>
      <c r="AB81" s="1191"/>
      <c r="AC81" s="1191" t="s">
        <v>236</v>
      </c>
      <c r="AD81" s="1191" t="s">
        <v>253</v>
      </c>
      <c r="AE81" s="1191" t="s">
        <v>254</v>
      </c>
      <c r="AF81" s="1191" t="s">
        <v>255</v>
      </c>
      <c r="AG81" s="1191" t="s">
        <v>256</v>
      </c>
      <c r="AH81" s="1191" t="str">
        <f>IF($E$69=0,"",$E$69)</f>
        <v>Тариф на техническую воду</v>
      </c>
      <c r="AI81" s="1191" t="str">
        <f>IF($G$69=0,"",$G$69)</f>
        <v>Холодное водоснабжение. Техническая вода</v>
      </c>
      <c r="AJ81" s="1191" t="str">
        <f>IF($J$81=0,"",$J$81)</f>
        <v>Тариф на техническую воду для потребителей, присоединенных к централизованной системе технического водоснабжения села Левокумского Левокумского муниципального округа</v>
      </c>
      <c r="AK81" s="1191" t="str">
        <f>IF($K$81="нет","без дифференциации",IF($N$81=0,"",$N$81))</f>
        <v>Территория 4</v>
      </c>
      <c r="AL81" s="1762" t="str">
        <f>IF($O$81="нет","без дифференциации",IF($R$81=0,"",$R$81))</f>
        <v>без дифференциации</v>
      </c>
      <c r="AM81" s="1762"/>
      <c r="AN81" s="1191" t="str">
        <f>$I$81</f>
        <v>4</v>
      </c>
      <c r="AO81" s="1191" t="str">
        <f>$I$81&amp;"."&amp;$M$81</f>
        <v>4.1</v>
      </c>
      <c r="AP81" s="1191" t="str">
        <f>$I$81&amp;"."&amp;$M$81&amp;"."&amp;$Q$81</f>
        <v>4.1.1</v>
      </c>
      <c r="AQ81" s="1191"/>
    </row>
    <row r="82" spans="1:43" ht="17.25" customHeight="1">
      <c r="A82" s="1758"/>
      <c r="B82" s="1771"/>
      <c r="C82" s="1763"/>
      <c r="D82" s="3808"/>
      <c r="E82" s="3809"/>
      <c r="F82" s="3797"/>
      <c r="G82" s="3812"/>
      <c r="H82" s="3831"/>
      <c r="I82" s="3831"/>
      <c r="J82" s="3830"/>
      <c r="K82" s="3834"/>
      <c r="L82" s="3760"/>
      <c r="M82" s="3760"/>
      <c r="N82" s="3835"/>
      <c r="O82" s="3834"/>
      <c r="P82" s="3760"/>
      <c r="Q82" s="3760"/>
      <c r="R82" s="3837" t="s">
        <v>24</v>
      </c>
      <c r="S82" s="3829"/>
      <c r="T82" s="1355"/>
      <c r="U82" s="1356"/>
      <c r="V82" s="1356"/>
      <c r="W82" s="3830"/>
      <c r="Y82" s="1184"/>
      <c r="Z82" s="1184"/>
      <c r="AA82" s="1184"/>
      <c r="AB82" s="1184"/>
      <c r="AC82" s="1184"/>
      <c r="AD82" s="1184"/>
      <c r="AE82" s="1184"/>
      <c r="AF82" s="1184"/>
      <c r="AG82" s="1184"/>
      <c r="AH82" s="1184"/>
      <c r="AI82" s="1184"/>
      <c r="AJ82" s="1184"/>
      <c r="AK82" s="1184"/>
      <c r="AL82" s="1771"/>
      <c r="AM82" s="1771"/>
      <c r="AN82" s="1771"/>
      <c r="AO82" s="1771"/>
      <c r="AP82" s="1771"/>
      <c r="AQ82" s="1771"/>
    </row>
    <row r="83" spans="1:43" ht="17.25" customHeight="1">
      <c r="A83" s="1758"/>
      <c r="B83" s="1771"/>
      <c r="C83" s="1763"/>
      <c r="D83" s="3808"/>
      <c r="E83" s="3809"/>
      <c r="F83" s="3797"/>
      <c r="G83" s="3812"/>
      <c r="H83" s="3793"/>
      <c r="I83" s="3793"/>
      <c r="J83" s="3832"/>
      <c r="K83" s="3834"/>
      <c r="L83" s="3793"/>
      <c r="M83" s="3793"/>
      <c r="N83" s="3836"/>
      <c r="O83" s="3764"/>
      <c r="P83" s="236"/>
      <c r="Q83" s="237"/>
      <c r="R83" s="237" t="s">
        <v>240</v>
      </c>
      <c r="S83" s="1764"/>
      <c r="T83" s="1764"/>
      <c r="U83" s="1764"/>
      <c r="V83" s="1764"/>
      <c r="W83" s="1353"/>
      <c r="Y83" s="1184"/>
      <c r="Z83" s="1184"/>
      <c r="AA83" s="1184"/>
      <c r="AB83" s="1184"/>
      <c r="AC83" s="1184"/>
      <c r="AD83" s="1184"/>
      <c r="AE83" s="1184"/>
      <c r="AF83" s="1184"/>
      <c r="AG83" s="1184"/>
      <c r="AH83" s="1184"/>
      <c r="AI83" s="1184"/>
      <c r="AJ83" s="1184"/>
      <c r="AK83" s="1184"/>
      <c r="AL83" s="1771"/>
      <c r="AM83" s="1771"/>
      <c r="AN83" s="1771"/>
      <c r="AO83" s="1771"/>
      <c r="AP83" s="1771"/>
      <c r="AQ83" s="1771"/>
    </row>
    <row r="84" spans="1:43" ht="17.25" customHeight="1">
      <c r="A84" s="1758"/>
      <c r="B84" s="1771"/>
      <c r="C84" s="1763"/>
      <c r="D84" s="3808"/>
      <c r="E84" s="3809"/>
      <c r="F84" s="3797"/>
      <c r="G84" s="3812"/>
      <c r="H84" s="3793"/>
      <c r="I84" s="3793"/>
      <c r="J84" s="3832"/>
      <c r="K84" s="3764"/>
      <c r="L84" s="236"/>
      <c r="M84" s="237"/>
      <c r="N84" s="237" t="s">
        <v>241</v>
      </c>
      <c r="O84" s="237"/>
      <c r="P84" s="237"/>
      <c r="Q84" s="237"/>
      <c r="R84" s="237"/>
      <c r="S84" s="1764"/>
      <c r="T84" s="1764"/>
      <c r="U84" s="1764"/>
      <c r="V84" s="1764"/>
      <c r="W84" s="238"/>
      <c r="Y84" s="1184"/>
      <c r="Z84" s="1184"/>
      <c r="AA84" s="1184"/>
      <c r="AB84" s="1184"/>
      <c r="AC84" s="1184"/>
      <c r="AD84" s="1184"/>
      <c r="AE84" s="1184"/>
      <c r="AF84" s="1184"/>
      <c r="AG84" s="1184"/>
      <c r="AH84" s="1184"/>
      <c r="AI84" s="1184"/>
      <c r="AJ84" s="1184"/>
      <c r="AK84" s="1184"/>
      <c r="AL84" s="1771"/>
      <c r="AM84" s="1771"/>
      <c r="AN84" s="1771"/>
      <c r="AO84" s="1771"/>
      <c r="AP84" s="1771"/>
      <c r="AQ84" s="1771"/>
    </row>
    <row r="85" spans="1:43" ht="17.25" customHeight="1">
      <c r="A85" s="1758"/>
      <c r="B85" s="1771"/>
      <c r="C85" s="1760"/>
      <c r="D85" s="3808"/>
      <c r="E85" s="3809"/>
      <c r="F85" s="3797"/>
      <c r="G85" s="3812"/>
      <c r="H85" s="3831" t="s">
        <v>103</v>
      </c>
      <c r="I85" s="3831" t="s">
        <v>117</v>
      </c>
      <c r="J85" s="3830" t="s">
        <v>257</v>
      </c>
      <c r="K85" s="3833" t="s">
        <v>60</v>
      </c>
      <c r="L85" s="3760"/>
      <c r="M85" s="3760" t="s">
        <v>129</v>
      </c>
      <c r="N85" s="3835" t="str">
        <f>IF(Z85="","",INDEX(TERRITORY_MR_LIST,MATCH(Z85,TERRITORY_LIST_ID,0)))</f>
        <v>Территория 5</v>
      </c>
      <c r="O85" s="3833" t="s">
        <v>55</v>
      </c>
      <c r="P85" s="3760"/>
      <c r="Q85" s="3760" t="s">
        <v>129</v>
      </c>
      <c r="R85" s="3837" t="s">
        <v>24</v>
      </c>
      <c r="S85" s="3829" t="s">
        <v>55</v>
      </c>
      <c r="T85" s="1722"/>
      <c r="U85" s="1722" t="s">
        <v>129</v>
      </c>
      <c r="V85" s="1354"/>
      <c r="W85" s="3830"/>
      <c r="Y85" s="1191"/>
      <c r="Z85" s="1191" t="s">
        <v>118</v>
      </c>
      <c r="AA85" s="1191"/>
      <c r="AB85" s="1191"/>
      <c r="AC85" s="1191" t="s">
        <v>236</v>
      </c>
      <c r="AD85" s="1191" t="s">
        <v>258</v>
      </c>
      <c r="AE85" s="1191" t="s">
        <v>259</v>
      </c>
      <c r="AF85" s="1191" t="s">
        <v>260</v>
      </c>
      <c r="AG85" s="1191" t="s">
        <v>261</v>
      </c>
      <c r="AH85" s="1191" t="str">
        <f>IF($E$69=0,"",$E$69)</f>
        <v>Тариф на техническую воду</v>
      </c>
      <c r="AI85" s="1191" t="str">
        <f>IF($G$69=0,"",$G$69)</f>
        <v>Холодное водоснабжение. Техническая вода</v>
      </c>
      <c r="AJ85" s="1191" t="str">
        <f>IF($J$85=0,"",$J$85)</f>
        <v>Тариф на техническую воду для потребителей, присоединенных к централизованной системе технического водоснабжения города Нефтекумска Нефтекумского муниципального округа</v>
      </c>
      <c r="AK85" s="1191" t="str">
        <f>IF($K$85="нет","без дифференциации",IF($N$85=0,"",$N$85))</f>
        <v>Территория 5</v>
      </c>
      <c r="AL85" s="1762" t="str">
        <f>IF($O$85="нет","без дифференциации",IF($R$85=0,"",$R$85))</f>
        <v>без дифференциации</v>
      </c>
      <c r="AM85" s="1762"/>
      <c r="AN85" s="1191" t="str">
        <f>$I$85</f>
        <v>5</v>
      </c>
      <c r="AO85" s="1191" t="str">
        <f>$I$85&amp;"."&amp;$M$85</f>
        <v>5.1</v>
      </c>
      <c r="AP85" s="1191" t="str">
        <f>$I$85&amp;"."&amp;$M$85&amp;"."&amp;$Q$85</f>
        <v>5.1.1</v>
      </c>
      <c r="AQ85" s="1191"/>
    </row>
    <row r="86" spans="1:43" ht="17.25" customHeight="1">
      <c r="A86" s="1758"/>
      <c r="B86" s="1771"/>
      <c r="C86" s="1763"/>
      <c r="D86" s="3808"/>
      <c r="E86" s="3809"/>
      <c r="F86" s="3797"/>
      <c r="G86" s="3812"/>
      <c r="H86" s="3831"/>
      <c r="I86" s="3831"/>
      <c r="J86" s="3830"/>
      <c r="K86" s="3834"/>
      <c r="L86" s="3760"/>
      <c r="M86" s="3760"/>
      <c r="N86" s="3835"/>
      <c r="O86" s="3834"/>
      <c r="P86" s="3760"/>
      <c r="Q86" s="3760"/>
      <c r="R86" s="3837" t="s">
        <v>24</v>
      </c>
      <c r="S86" s="3829"/>
      <c r="T86" s="1355"/>
      <c r="U86" s="1356"/>
      <c r="V86" s="1356"/>
      <c r="W86" s="3830"/>
      <c r="Y86" s="1184"/>
      <c r="Z86" s="1184"/>
      <c r="AA86" s="1184"/>
      <c r="AB86" s="1184"/>
      <c r="AC86" s="1184"/>
      <c r="AD86" s="1184"/>
      <c r="AE86" s="1184"/>
      <c r="AF86" s="1184"/>
      <c r="AG86" s="1184"/>
      <c r="AH86" s="1184"/>
      <c r="AI86" s="1184"/>
      <c r="AJ86" s="1184"/>
      <c r="AK86" s="1184"/>
      <c r="AL86" s="1771"/>
      <c r="AM86" s="1771"/>
      <c r="AN86" s="1771"/>
      <c r="AO86" s="1771"/>
      <c r="AP86" s="1771"/>
      <c r="AQ86" s="1771"/>
    </row>
    <row r="87" spans="1:43" ht="17.25" customHeight="1">
      <c r="A87" s="1758"/>
      <c r="B87" s="1771"/>
      <c r="C87" s="1763"/>
      <c r="D87" s="3808"/>
      <c r="E87" s="3809"/>
      <c r="F87" s="3797"/>
      <c r="G87" s="3812"/>
      <c r="H87" s="3793"/>
      <c r="I87" s="3793"/>
      <c r="J87" s="3832"/>
      <c r="K87" s="3834"/>
      <c r="L87" s="3793"/>
      <c r="M87" s="3793"/>
      <c r="N87" s="3836"/>
      <c r="O87" s="3764"/>
      <c r="P87" s="236"/>
      <c r="Q87" s="237"/>
      <c r="R87" s="237" t="s">
        <v>240</v>
      </c>
      <c r="S87" s="1764"/>
      <c r="T87" s="1764"/>
      <c r="U87" s="1764"/>
      <c r="V87" s="1764"/>
      <c r="W87" s="1353"/>
      <c r="Y87" s="1184"/>
      <c r="Z87" s="1184"/>
      <c r="AA87" s="1184"/>
      <c r="AB87" s="1184"/>
      <c r="AC87" s="1184"/>
      <c r="AD87" s="1184"/>
      <c r="AE87" s="1184"/>
      <c r="AF87" s="1184"/>
      <c r="AG87" s="1184"/>
      <c r="AH87" s="1184"/>
      <c r="AI87" s="1184"/>
      <c r="AJ87" s="1184"/>
      <c r="AK87" s="1184"/>
      <c r="AL87" s="1771"/>
      <c r="AM87" s="1771"/>
      <c r="AN87" s="1771"/>
      <c r="AO87" s="1771"/>
      <c r="AP87" s="1771"/>
      <c r="AQ87" s="1771"/>
    </row>
    <row r="88" spans="1:43" ht="17.25" customHeight="1">
      <c r="A88" s="1758"/>
      <c r="B88" s="1771"/>
      <c r="C88" s="1763"/>
      <c r="D88" s="3808"/>
      <c r="E88" s="3809"/>
      <c r="F88" s="3797"/>
      <c r="G88" s="3812"/>
      <c r="H88" s="3793"/>
      <c r="I88" s="3793"/>
      <c r="J88" s="3832"/>
      <c r="K88" s="3764"/>
      <c r="L88" s="236"/>
      <c r="M88" s="237"/>
      <c r="N88" s="237" t="s">
        <v>241</v>
      </c>
      <c r="O88" s="237"/>
      <c r="P88" s="237"/>
      <c r="Q88" s="237"/>
      <c r="R88" s="237"/>
      <c r="S88" s="1764"/>
      <c r="T88" s="1764"/>
      <c r="U88" s="1764"/>
      <c r="V88" s="1764"/>
      <c r="W88" s="238"/>
      <c r="Y88" s="1184"/>
      <c r="Z88" s="1184"/>
      <c r="AA88" s="1184"/>
      <c r="AB88" s="1184"/>
      <c r="AC88" s="1184"/>
      <c r="AD88" s="1184"/>
      <c r="AE88" s="1184"/>
      <c r="AF88" s="1184"/>
      <c r="AG88" s="1184"/>
      <c r="AH88" s="1184"/>
      <c r="AI88" s="1184"/>
      <c r="AJ88" s="1184"/>
      <c r="AK88" s="1184"/>
      <c r="AL88" s="1771"/>
      <c r="AM88" s="1771"/>
      <c r="AN88" s="1771"/>
      <c r="AO88" s="1771"/>
      <c r="AP88" s="1771"/>
      <c r="AQ88" s="1771"/>
    </row>
    <row r="89" spans="1:43" s="1771" customFormat="1" ht="17.25" customHeight="1">
      <c r="A89" s="240"/>
      <c r="C89" s="239"/>
      <c r="D89" s="3793"/>
      <c r="E89" s="3795"/>
      <c r="F89" s="3798"/>
      <c r="G89" s="3811"/>
      <c r="H89" s="1849"/>
      <c r="I89" s="1850"/>
      <c r="J89" s="1851" t="s">
        <v>262</v>
      </c>
      <c r="K89" s="1852"/>
      <c r="L89" s="1853"/>
      <c r="M89" s="1854"/>
      <c r="N89" s="1855"/>
      <c r="O89" s="1856"/>
      <c r="P89" s="1857"/>
      <c r="Q89" s="1858"/>
      <c r="R89" s="1859"/>
      <c r="S89" s="1860"/>
      <c r="T89" s="1861"/>
      <c r="U89" s="1862"/>
      <c r="V89" s="1863"/>
      <c r="W89" s="1864"/>
      <c r="X89" s="1184"/>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customHeight="1">
      <c r="A90" s="240"/>
      <c r="C90" s="126"/>
      <c r="D90" s="3792">
        <v>3</v>
      </c>
      <c r="E90" s="3794" t="s">
        <v>263</v>
      </c>
      <c r="F90" s="3796" t="s">
        <v>55</v>
      </c>
      <c r="G90" s="3794"/>
      <c r="H90" s="3799"/>
      <c r="I90" s="3801"/>
      <c r="J90" s="3803"/>
      <c r="K90" s="3786"/>
      <c r="L90" s="3786"/>
      <c r="M90" s="3786"/>
      <c r="N90" s="3788"/>
      <c r="O90" s="3786"/>
      <c r="P90" s="3786"/>
      <c r="Q90" s="3786"/>
      <c r="R90" s="3791"/>
      <c r="S90" s="3786"/>
      <c r="T90" s="1362"/>
      <c r="U90" s="1362"/>
      <c r="V90" s="1364"/>
      <c r="W90" s="1220"/>
      <c r="X90" s="1191"/>
      <c r="Y90" s="1191"/>
      <c r="Z90" s="1191"/>
      <c r="AA90" s="1191"/>
      <c r="AB90" s="1191"/>
      <c r="AC90" s="1191" t="s">
        <v>264</v>
      </c>
      <c r="AD90" s="1191" t="s">
        <v>265</v>
      </c>
      <c r="AE90" s="1191" t="s">
        <v>266</v>
      </c>
      <c r="AF90" s="1191" t="s">
        <v>267</v>
      </c>
      <c r="AG90" s="1191"/>
      <c r="AH90" s="1191" t="str">
        <f>IF($E$90=0,"",$E$90)</f>
        <v>Тариф на транспортировку воды</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692">
        <f>$I$90</f>
        <v>0</v>
      </c>
      <c r="AO90" s="1191" t="str">
        <f>$I$90&amp;"."&amp;$M$90</f>
        <v>.</v>
      </c>
      <c r="AP90" s="1184" t="str">
        <f>$I$90&amp;"."&amp;$M$90&amp;"."&amp;$Q$90</f>
        <v>..</v>
      </c>
      <c r="AQ90" s="1184" t="str">
        <f>$I$90&amp;"."&amp;$M$90&amp;"."&amp;$Q$90&amp;"."&amp;$U$90</f>
        <v>...</v>
      </c>
    </row>
    <row r="91" spans="1:43" s="1771" customFormat="1" ht="17.25" customHeight="1">
      <c r="A91" s="240"/>
      <c r="C91" s="239"/>
      <c r="D91" s="3792"/>
      <c r="E91" s="3794"/>
      <c r="F91" s="3797"/>
      <c r="G91" s="3794"/>
      <c r="H91" s="3800"/>
      <c r="I91" s="3802"/>
      <c r="J91" s="3804"/>
      <c r="K91" s="3787"/>
      <c r="L91" s="3787"/>
      <c r="M91" s="3787"/>
      <c r="N91" s="3789"/>
      <c r="O91" s="3787"/>
      <c r="P91" s="3787"/>
      <c r="Q91" s="3787"/>
      <c r="R91" s="3790"/>
      <c r="S91" s="3787"/>
      <c r="T91" s="1221"/>
      <c r="U91" s="1221"/>
      <c r="V91" s="1221"/>
      <c r="W91" s="1222"/>
      <c r="X91" s="1184"/>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customHeight="1">
      <c r="A92" s="240"/>
      <c r="C92" s="239"/>
      <c r="D92" s="3793"/>
      <c r="E92" s="3795"/>
      <c r="F92" s="3797"/>
      <c r="G92" s="3795"/>
      <c r="H92" s="3800"/>
      <c r="I92" s="3802"/>
      <c r="J92" s="3805"/>
      <c r="K92" s="3787"/>
      <c r="L92" s="3787"/>
      <c r="M92" s="3787"/>
      <c r="N92" s="3790"/>
      <c r="O92" s="3787"/>
      <c r="P92" s="1363"/>
      <c r="Q92" s="1221"/>
      <c r="R92" s="1221"/>
      <c r="S92" s="251"/>
      <c r="T92" s="251"/>
      <c r="U92" s="251"/>
      <c r="V92" s="251"/>
      <c r="W92" s="1222"/>
      <c r="X92" s="1184"/>
      <c r="Y92" s="1184"/>
      <c r="Z92" s="1184"/>
      <c r="AA92" s="1184"/>
      <c r="AB92" s="1184"/>
      <c r="AC92" s="1184"/>
      <c r="AD92" s="1184"/>
      <c r="AE92" s="1184"/>
      <c r="AF92" s="1184"/>
      <c r="AG92" s="1184"/>
      <c r="AH92" s="1184"/>
      <c r="AI92" s="1184"/>
      <c r="AJ92" s="1184"/>
      <c r="AK92" s="1184"/>
      <c r="AL92" s="1184"/>
      <c r="AM92" s="1184"/>
      <c r="AN92" s="1184"/>
      <c r="AO92" s="1184"/>
      <c r="AP92" s="1184"/>
      <c r="AQ92" s="1184"/>
    </row>
    <row r="93" spans="1:43" s="1771" customFormat="1" ht="17.25" customHeight="1">
      <c r="A93" s="240"/>
      <c r="C93" s="239"/>
      <c r="D93" s="3793"/>
      <c r="E93" s="3795"/>
      <c r="F93" s="3797"/>
      <c r="G93" s="3795"/>
      <c r="H93" s="3800"/>
      <c r="I93" s="3802"/>
      <c r="J93" s="3805"/>
      <c r="K93" s="3787"/>
      <c r="L93" s="1221"/>
      <c r="M93" s="1221"/>
      <c r="N93" s="1221"/>
      <c r="O93" s="1221"/>
      <c r="P93" s="1221"/>
      <c r="Q93" s="1221"/>
      <c r="R93" s="1221"/>
      <c r="S93" s="251"/>
      <c r="T93" s="251"/>
      <c r="U93" s="251"/>
      <c r="V93" s="251"/>
      <c r="W93" s="1222"/>
      <c r="X93" s="1184"/>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customHeight="1">
      <c r="A94" s="240"/>
      <c r="C94" s="239"/>
      <c r="D94" s="3793"/>
      <c r="E94" s="3795"/>
      <c r="F94" s="3798"/>
      <c r="G94" s="3795"/>
      <c r="H94" s="1223"/>
      <c r="I94" s="1224"/>
      <c r="J94" s="1224"/>
      <c r="K94" s="1224"/>
      <c r="L94" s="1224"/>
      <c r="M94" s="1224"/>
      <c r="N94" s="1224"/>
      <c r="O94" s="1224"/>
      <c r="P94" s="1224"/>
      <c r="Q94" s="1224"/>
      <c r="R94" s="1224"/>
      <c r="S94" s="1225"/>
      <c r="T94" s="1225"/>
      <c r="U94" s="1225"/>
      <c r="V94" s="1225"/>
      <c r="W94" s="1226"/>
      <c r="X94" s="1184"/>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customHeight="1">
      <c r="A95" s="240"/>
      <c r="C95" s="126"/>
      <c r="D95" s="3792">
        <v>4</v>
      </c>
      <c r="E95" s="3794" t="s">
        <v>268</v>
      </c>
      <c r="F95" s="3796" t="s">
        <v>55</v>
      </c>
      <c r="G95" s="3794"/>
      <c r="H95" s="3799"/>
      <c r="I95" s="3801"/>
      <c r="J95" s="3803"/>
      <c r="K95" s="3786"/>
      <c r="L95" s="3786"/>
      <c r="M95" s="3786"/>
      <c r="N95" s="3788"/>
      <c r="O95" s="3786"/>
      <c r="P95" s="3786"/>
      <c r="Q95" s="3786"/>
      <c r="R95" s="3791"/>
      <c r="S95" s="3786"/>
      <c r="T95" s="1362"/>
      <c r="U95" s="1362"/>
      <c r="V95" s="1364"/>
      <c r="W95" s="1220"/>
      <c r="X95" s="1191"/>
      <c r="Y95" s="1191"/>
      <c r="Z95" s="1191"/>
      <c r="AA95" s="1191"/>
      <c r="AB95" s="1191"/>
      <c r="AC95" s="1191" t="s">
        <v>269</v>
      </c>
      <c r="AD95" s="1191" t="s">
        <v>270</v>
      </c>
      <c r="AE95" s="1191" t="s">
        <v>271</v>
      </c>
      <c r="AF95" s="1191" t="s">
        <v>272</v>
      </c>
      <c r="AG95" s="1191"/>
      <c r="AH95" s="1191" t="str">
        <f>IF($E$95=0,"",$E$95)</f>
        <v>Тариф на подвоз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customHeight="1">
      <c r="A96" s="240"/>
      <c r="C96" s="239"/>
      <c r="D96" s="3792"/>
      <c r="E96" s="3794"/>
      <c r="F96" s="3797"/>
      <c r="G96" s="3794"/>
      <c r="H96" s="3800"/>
      <c r="I96" s="3802"/>
      <c r="J96" s="3804"/>
      <c r="K96" s="3787"/>
      <c r="L96" s="3787"/>
      <c r="M96" s="3787"/>
      <c r="N96" s="3789"/>
      <c r="O96" s="3787"/>
      <c r="P96" s="3787"/>
      <c r="Q96" s="3787"/>
      <c r="R96" s="3790"/>
      <c r="S96" s="3787"/>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customHeight="1">
      <c r="A97" s="240"/>
      <c r="C97" s="239"/>
      <c r="D97" s="3793"/>
      <c r="E97" s="3795"/>
      <c r="F97" s="3797"/>
      <c r="G97" s="3795"/>
      <c r="H97" s="3800"/>
      <c r="I97" s="3802"/>
      <c r="J97" s="3805"/>
      <c r="K97" s="3787"/>
      <c r="L97" s="3787"/>
      <c r="M97" s="3787"/>
      <c r="N97" s="3790"/>
      <c r="O97" s="3787"/>
      <c r="P97" s="1363"/>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customHeight="1">
      <c r="A98" s="240"/>
      <c r="C98" s="239"/>
      <c r="D98" s="3793"/>
      <c r="E98" s="3795"/>
      <c r="F98" s="3797"/>
      <c r="G98" s="3795"/>
      <c r="H98" s="3800"/>
      <c r="I98" s="3802"/>
      <c r="J98" s="3805"/>
      <c r="K98" s="3787"/>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customHeight="1">
      <c r="A99" s="240"/>
      <c r="C99" s="239"/>
      <c r="D99" s="3793"/>
      <c r="E99" s="3795"/>
      <c r="F99" s="3798"/>
      <c r="G99" s="3795"/>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customHeight="1">
      <c r="A100" s="240"/>
      <c r="C100" s="126"/>
      <c r="D100" s="3792">
        <v>5</v>
      </c>
      <c r="E100" s="3794" t="s">
        <v>273</v>
      </c>
      <c r="F100" s="3796" t="s">
        <v>55</v>
      </c>
      <c r="G100" s="3794"/>
      <c r="H100" s="3799"/>
      <c r="I100" s="3801"/>
      <c r="J100" s="3803"/>
      <c r="K100" s="3786"/>
      <c r="L100" s="3786"/>
      <c r="M100" s="3786"/>
      <c r="N100" s="3788"/>
      <c r="O100" s="3786"/>
      <c r="P100" s="3786"/>
      <c r="Q100" s="3786"/>
      <c r="R100" s="3791"/>
      <c r="S100" s="3786"/>
      <c r="T100" s="1386"/>
      <c r="U100" s="1386"/>
      <c r="V100" s="1388"/>
      <c r="W100" s="1220"/>
      <c r="X100" s="1191"/>
      <c r="Y100" s="1191"/>
      <c r="Z100" s="1191"/>
      <c r="AA100" s="1191"/>
      <c r="AB100" s="1191"/>
      <c r="AC100" s="1191" t="s">
        <v>274</v>
      </c>
      <c r="AD100" s="1191" t="s">
        <v>275</v>
      </c>
      <c r="AE100" s="1191" t="s">
        <v>276</v>
      </c>
      <c r="AF100" s="1191" t="s">
        <v>277</v>
      </c>
      <c r="AG100" s="1191"/>
      <c r="AH100" s="1191" t="str">
        <f>IF($E$100=0,"",$E$100)</f>
        <v>Тариф на подключение (технологическое присоединение) к централизованной системе холодного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customHeight="1">
      <c r="A101" s="240"/>
      <c r="C101" s="239"/>
      <c r="D101" s="3792"/>
      <c r="E101" s="3794"/>
      <c r="F101" s="3797"/>
      <c r="G101" s="3794"/>
      <c r="H101" s="3800"/>
      <c r="I101" s="3802"/>
      <c r="J101" s="3804"/>
      <c r="K101" s="3787"/>
      <c r="L101" s="3787"/>
      <c r="M101" s="3787"/>
      <c r="N101" s="3789"/>
      <c r="O101" s="3787"/>
      <c r="P101" s="3787"/>
      <c r="Q101" s="3787"/>
      <c r="R101" s="3790"/>
      <c r="S101" s="3787"/>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customHeight="1">
      <c r="A102" s="240"/>
      <c r="C102" s="239"/>
      <c r="D102" s="3793"/>
      <c r="E102" s="3795"/>
      <c r="F102" s="3797"/>
      <c r="G102" s="3795"/>
      <c r="H102" s="3800"/>
      <c r="I102" s="3802"/>
      <c r="J102" s="3805"/>
      <c r="K102" s="3787"/>
      <c r="L102" s="3787"/>
      <c r="M102" s="3787"/>
      <c r="N102" s="3790"/>
      <c r="O102" s="3787"/>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customHeight="1">
      <c r="A103" s="240"/>
      <c r="C103" s="239"/>
      <c r="D103" s="3793"/>
      <c r="E103" s="3795"/>
      <c r="F103" s="3797"/>
      <c r="G103" s="3795"/>
      <c r="H103" s="3800"/>
      <c r="I103" s="3802"/>
      <c r="J103" s="3805"/>
      <c r="K103" s="3787"/>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customHeight="1">
      <c r="A104" s="240"/>
      <c r="C104" s="239"/>
      <c r="D104" s="3793"/>
      <c r="E104" s="3795"/>
      <c r="F104" s="3798"/>
      <c r="G104" s="3795"/>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3792">
        <v>1</v>
      </c>
      <c r="E106" s="3794" t="s">
        <v>278</v>
      </c>
      <c r="F106" s="3796" t="s">
        <v>55</v>
      </c>
      <c r="G106" s="3794"/>
      <c r="H106" s="3799"/>
      <c r="I106" s="3801"/>
      <c r="J106" s="3803"/>
      <c r="K106" s="3786"/>
      <c r="L106" s="3786"/>
      <c r="M106" s="3786"/>
      <c r="N106" s="3788"/>
      <c r="O106" s="3786"/>
      <c r="P106" s="3786"/>
      <c r="Q106" s="3786"/>
      <c r="R106" s="3791"/>
      <c r="S106" s="3786"/>
      <c r="T106" s="1386"/>
      <c r="U106" s="1386"/>
      <c r="V106" s="1388"/>
      <c r="W106" s="1220"/>
      <c r="Y106" s="1191"/>
      <c r="Z106" s="1191"/>
      <c r="AA106" s="1191"/>
      <c r="AB106" s="1191"/>
      <c r="AC106" s="1191" t="s">
        <v>279</v>
      </c>
      <c r="AD106" s="1191" t="s">
        <v>280</v>
      </c>
      <c r="AE106" s="1191" t="s">
        <v>281</v>
      </c>
      <c r="AF106" s="1191" t="s">
        <v>282</v>
      </c>
      <c r="AG106" s="1191"/>
      <c r="AH106" s="1191" t="str">
        <f>IF($E$106=0,"",$E$106)</f>
        <v>Тариф на горячую воду (горячее водоснабжение)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3792"/>
      <c r="E107" s="3794"/>
      <c r="F107" s="3797"/>
      <c r="G107" s="3794"/>
      <c r="H107" s="3800"/>
      <c r="I107" s="3802"/>
      <c r="J107" s="3804"/>
      <c r="K107" s="3787"/>
      <c r="L107" s="3787"/>
      <c r="M107" s="3787"/>
      <c r="N107" s="3789"/>
      <c r="O107" s="3787"/>
      <c r="P107" s="3787"/>
      <c r="Q107" s="3787"/>
      <c r="R107" s="3790"/>
      <c r="S107" s="3787"/>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3792"/>
      <c r="E108" s="3794"/>
      <c r="F108" s="3797"/>
      <c r="G108" s="3794"/>
      <c r="H108" s="3800"/>
      <c r="I108" s="3802"/>
      <c r="J108" s="3805"/>
      <c r="K108" s="3787"/>
      <c r="L108" s="3787"/>
      <c r="M108" s="3787"/>
      <c r="N108" s="3790"/>
      <c r="O108" s="3787"/>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3792"/>
      <c r="E109" s="3794"/>
      <c r="F109" s="3797"/>
      <c r="G109" s="3794"/>
      <c r="H109" s="3800"/>
      <c r="I109" s="3802"/>
      <c r="J109" s="3805"/>
      <c r="K109" s="3787"/>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3793"/>
      <c r="E110" s="3795"/>
      <c r="F110" s="3798"/>
      <c r="G110" s="3795"/>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3792">
        <v>2</v>
      </c>
      <c r="E111" s="3794" t="s">
        <v>283</v>
      </c>
      <c r="F111" s="3796" t="s">
        <v>55</v>
      </c>
      <c r="G111" s="3794"/>
      <c r="H111" s="3799"/>
      <c r="I111" s="3801"/>
      <c r="J111" s="3803"/>
      <c r="K111" s="3786"/>
      <c r="L111" s="3786"/>
      <c r="M111" s="3786"/>
      <c r="N111" s="3788"/>
      <c r="O111" s="3786"/>
      <c r="P111" s="3786"/>
      <c r="Q111" s="3786"/>
      <c r="R111" s="3791"/>
      <c r="S111" s="3786"/>
      <c r="T111" s="1386"/>
      <c r="U111" s="1386"/>
      <c r="V111" s="1388"/>
      <c r="W111" s="1220"/>
      <c r="X111" s="1191"/>
      <c r="Y111" s="1191"/>
      <c r="Z111" s="1191"/>
      <c r="AA111" s="1191"/>
      <c r="AB111" s="1191"/>
      <c r="AC111" s="1191" t="s">
        <v>284</v>
      </c>
      <c r="AD111" s="1191" t="s">
        <v>285</v>
      </c>
      <c r="AE111" s="1191" t="s">
        <v>286</v>
      </c>
      <c r="AF111" s="1191" t="s">
        <v>287</v>
      </c>
      <c r="AG111" s="1191"/>
      <c r="AH111" s="1191" t="str">
        <f>IF($E$111=0,"",$E$111)</f>
        <v>Тариф на транспортировку горячей воды</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3792"/>
      <c r="E112" s="3794"/>
      <c r="F112" s="3797"/>
      <c r="G112" s="3794"/>
      <c r="H112" s="3800"/>
      <c r="I112" s="3802"/>
      <c r="J112" s="3804"/>
      <c r="K112" s="3787"/>
      <c r="L112" s="3787"/>
      <c r="M112" s="3787"/>
      <c r="N112" s="3789"/>
      <c r="O112" s="3787"/>
      <c r="P112" s="3787"/>
      <c r="Q112" s="3787"/>
      <c r="R112" s="3790"/>
      <c r="S112" s="3787"/>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3793"/>
      <c r="E113" s="3795"/>
      <c r="F113" s="3797"/>
      <c r="G113" s="3795"/>
      <c r="H113" s="3800"/>
      <c r="I113" s="3802"/>
      <c r="J113" s="3805"/>
      <c r="K113" s="3787"/>
      <c r="L113" s="3787"/>
      <c r="M113" s="3787"/>
      <c r="N113" s="3790"/>
      <c r="O113" s="3787"/>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3793"/>
      <c r="E114" s="3795"/>
      <c r="F114" s="3797"/>
      <c r="G114" s="3795"/>
      <c r="H114" s="3800"/>
      <c r="I114" s="3802"/>
      <c r="J114" s="3805"/>
      <c r="K114" s="3787"/>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3793"/>
      <c r="E115" s="3795"/>
      <c r="F115" s="3798"/>
      <c r="G115" s="3795"/>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3792">
        <v>3</v>
      </c>
      <c r="E116" s="3794" t="s">
        <v>288</v>
      </c>
      <c r="F116" s="3796" t="s">
        <v>55</v>
      </c>
      <c r="G116" s="3794"/>
      <c r="H116" s="3799"/>
      <c r="I116" s="3801"/>
      <c r="J116" s="3803"/>
      <c r="K116" s="3786"/>
      <c r="L116" s="3786"/>
      <c r="M116" s="3786"/>
      <c r="N116" s="3788"/>
      <c r="O116" s="3786"/>
      <c r="P116" s="3786"/>
      <c r="Q116" s="3786"/>
      <c r="R116" s="3791"/>
      <c r="S116" s="3786"/>
      <c r="T116" s="1386"/>
      <c r="U116" s="1386"/>
      <c r="V116" s="1388"/>
      <c r="W116" s="1220"/>
      <c r="X116" s="1191"/>
      <c r="Y116" s="1191"/>
      <c r="Z116" s="1191"/>
      <c r="AA116" s="1191"/>
      <c r="AB116" s="1191"/>
      <c r="AC116" s="1191" t="s">
        <v>289</v>
      </c>
      <c r="AD116" s="1191" t="s">
        <v>290</v>
      </c>
      <c r="AE116" s="1191" t="s">
        <v>291</v>
      </c>
      <c r="AF116" s="1191" t="s">
        <v>292</v>
      </c>
      <c r="AG116" s="1191"/>
      <c r="AH116" s="1191" t="str">
        <f>IF($E$116=0,"",$E$116)</f>
        <v>Тариф на подключение (технологическое присоединение) к централизованной системе горячего водоснабжения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3792"/>
      <c r="E117" s="3794"/>
      <c r="F117" s="3797"/>
      <c r="G117" s="3794"/>
      <c r="H117" s="3800"/>
      <c r="I117" s="3802"/>
      <c r="J117" s="3804"/>
      <c r="K117" s="3787"/>
      <c r="L117" s="3787"/>
      <c r="M117" s="3787"/>
      <c r="N117" s="3789"/>
      <c r="O117" s="3787"/>
      <c r="P117" s="3787"/>
      <c r="Q117" s="3787"/>
      <c r="R117" s="3790"/>
      <c r="S117" s="3787"/>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3793"/>
      <c r="E118" s="3795"/>
      <c r="F118" s="3797"/>
      <c r="G118" s="3795"/>
      <c r="H118" s="3800"/>
      <c r="I118" s="3802"/>
      <c r="J118" s="3805"/>
      <c r="K118" s="3787"/>
      <c r="L118" s="3787"/>
      <c r="M118" s="3787"/>
      <c r="N118" s="3790"/>
      <c r="O118" s="3787"/>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3793"/>
      <c r="E119" s="3795"/>
      <c r="F119" s="3797"/>
      <c r="G119" s="3795"/>
      <c r="H119" s="3800"/>
      <c r="I119" s="3802"/>
      <c r="J119" s="3805"/>
      <c r="K119" s="3787"/>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3793"/>
      <c r="E120" s="3795"/>
      <c r="F120" s="3798"/>
      <c r="G120" s="3795"/>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1" spans="1:43" s="1771" customFormat="1" ht="11.25" hidden="1" customHeight="1">
      <c r="A121" s="191"/>
      <c r="B121" s="191"/>
      <c r="Y121" s="1184"/>
      <c r="Z121" s="1184"/>
      <c r="AA121" s="1184"/>
      <c r="AB121" s="1184"/>
      <c r="AC121" s="1184"/>
      <c r="AD121" s="1184"/>
      <c r="AE121" s="1184"/>
      <c r="AF121" s="1184"/>
      <c r="AG121" s="1184"/>
      <c r="AH121" s="1184"/>
      <c r="AI121" s="1184"/>
      <c r="AJ121" s="1184"/>
      <c r="AK121" s="1184"/>
      <c r="AL121" s="1184"/>
      <c r="AM121" s="1184"/>
      <c r="AN121" s="1184"/>
      <c r="AO121" s="1184"/>
      <c r="AP121" s="1184"/>
      <c r="AQ121" s="1184"/>
    </row>
    <row r="122" spans="1:43" s="1771" customFormat="1" ht="17.25" hidden="1" customHeight="1">
      <c r="A122" s="240"/>
      <c r="C122" s="126"/>
      <c r="D122" s="3792">
        <v>1</v>
      </c>
      <c r="E122" s="3794" t="s">
        <v>293</v>
      </c>
      <c r="F122" s="3796" t="s">
        <v>55</v>
      </c>
      <c r="G122" s="3794"/>
      <c r="H122" s="3799"/>
      <c r="I122" s="3801"/>
      <c r="J122" s="3803"/>
      <c r="K122" s="3786"/>
      <c r="L122" s="3786"/>
      <c r="M122" s="3786"/>
      <c r="N122" s="3788"/>
      <c r="O122" s="3786"/>
      <c r="P122" s="3786"/>
      <c r="Q122" s="3786"/>
      <c r="R122" s="3791"/>
      <c r="S122" s="3786"/>
      <c r="T122" s="1386"/>
      <c r="U122" s="1386"/>
      <c r="V122" s="1388"/>
      <c r="W122" s="1220"/>
      <c r="Y122" s="1191"/>
      <c r="Z122" s="1191"/>
      <c r="AA122" s="1191"/>
      <c r="AB122" s="1191"/>
      <c r="AC122" s="1191" t="s">
        <v>294</v>
      </c>
      <c r="AD122" s="1191" t="s">
        <v>295</v>
      </c>
      <c r="AE122" s="1191" t="s">
        <v>296</v>
      </c>
      <c r="AF122" s="1191" t="s">
        <v>297</v>
      </c>
      <c r="AG122" s="1191"/>
      <c r="AH122" s="1191" t="str">
        <f>IF($E$122=0,"",$E$122)</f>
        <v>Тариф на водоотведение</v>
      </c>
      <c r="AI122" s="1191" t="str">
        <f>IF($G$122=0,"",$G$122)</f>
        <v/>
      </c>
      <c r="AJ122" s="1191" t="str">
        <f>IF($J$122=0,"",$J$122)</f>
        <v/>
      </c>
      <c r="AK122" s="1191" t="str">
        <f>IF($K$122="нет","без дифференциации",IF($N$122=0,"",$N$122))</f>
        <v/>
      </c>
      <c r="AL122" s="1191" t="str">
        <f>IF($O$122="нет","без дифференциации",IF($R$122=0,"",$R$122))</f>
        <v/>
      </c>
      <c r="AM122" s="1191" t="str">
        <f>IF($S$122="нет","без дифференциации",IF($V$122=0,"",$V$122))</f>
        <v/>
      </c>
      <c r="AN122" s="1191">
        <f>$I$122</f>
        <v>0</v>
      </c>
      <c r="AO122" s="1191" t="str">
        <f>$I$122&amp;"."&amp;$M$122</f>
        <v>.</v>
      </c>
      <c r="AP122" s="1191" t="str">
        <f>$I$122&amp;"."&amp;$M$122&amp;"."&amp;$Q$122</f>
        <v>..</v>
      </c>
      <c r="AQ122" s="1191" t="str">
        <f>$I$122&amp;"."&amp;$M$122&amp;"."&amp;$Q$122&amp;"."&amp;$U$122</f>
        <v>...</v>
      </c>
    </row>
    <row r="123" spans="1:43" s="1771" customFormat="1" ht="17.25" hidden="1" customHeight="1">
      <c r="A123" s="240"/>
      <c r="C123" s="239"/>
      <c r="D123" s="3792"/>
      <c r="E123" s="3794"/>
      <c r="F123" s="3797"/>
      <c r="G123" s="3794"/>
      <c r="H123" s="3800"/>
      <c r="I123" s="3802"/>
      <c r="J123" s="3804"/>
      <c r="K123" s="3787"/>
      <c r="L123" s="3787"/>
      <c r="M123" s="3787"/>
      <c r="N123" s="3789"/>
      <c r="O123" s="3787"/>
      <c r="P123" s="3787"/>
      <c r="Q123" s="3787"/>
      <c r="R123" s="3790"/>
      <c r="S123" s="3787"/>
      <c r="T123" s="1221"/>
      <c r="U123" s="1221"/>
      <c r="V123" s="1221"/>
      <c r="W123" s="1222"/>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row>
    <row r="124" spans="1:43" s="1771" customFormat="1" ht="17.25" hidden="1" customHeight="1">
      <c r="A124" s="240"/>
      <c r="C124" s="126"/>
      <c r="D124" s="3792"/>
      <c r="E124" s="3794"/>
      <c r="F124" s="3797"/>
      <c r="G124" s="3794"/>
      <c r="H124" s="3800"/>
      <c r="I124" s="3802"/>
      <c r="J124" s="3805"/>
      <c r="K124" s="3787"/>
      <c r="L124" s="3787"/>
      <c r="M124" s="3787"/>
      <c r="N124" s="3790"/>
      <c r="O124" s="3787"/>
      <c r="P124" s="1387"/>
      <c r="Q124" s="1221"/>
      <c r="R124" s="1221"/>
      <c r="S124" s="251"/>
      <c r="T124" s="251"/>
      <c r="U124" s="251"/>
      <c r="V124" s="251"/>
      <c r="W124" s="1222"/>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row>
    <row r="125" spans="1:43" s="1771" customFormat="1" ht="17.25" hidden="1" customHeight="1">
      <c r="A125" s="240"/>
      <c r="C125" s="239"/>
      <c r="D125" s="3792"/>
      <c r="E125" s="3794"/>
      <c r="F125" s="3797"/>
      <c r="G125" s="3794"/>
      <c r="H125" s="3800"/>
      <c r="I125" s="3802"/>
      <c r="J125" s="3805"/>
      <c r="K125" s="3787"/>
      <c r="L125" s="1221"/>
      <c r="M125" s="1221"/>
      <c r="N125" s="1221"/>
      <c r="O125" s="1221"/>
      <c r="P125" s="1221"/>
      <c r="Q125" s="1221"/>
      <c r="R125" s="1221"/>
      <c r="S125" s="251"/>
      <c r="T125" s="251"/>
      <c r="U125" s="251"/>
      <c r="V125" s="251"/>
      <c r="W125" s="1222"/>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row>
    <row r="126" spans="1:43" s="1771" customFormat="1" ht="17.25" hidden="1" customHeight="1">
      <c r="A126" s="240"/>
      <c r="C126" s="239"/>
      <c r="D126" s="3793"/>
      <c r="E126" s="3795"/>
      <c r="F126" s="3798"/>
      <c r="G126" s="3795"/>
      <c r="H126" s="1223"/>
      <c r="I126" s="1224"/>
      <c r="J126" s="1224"/>
      <c r="K126" s="1224"/>
      <c r="L126" s="1224"/>
      <c r="M126" s="1224"/>
      <c r="N126" s="1224"/>
      <c r="O126" s="1224"/>
      <c r="P126" s="1224"/>
      <c r="Q126" s="1224"/>
      <c r="R126" s="1224"/>
      <c r="S126" s="1225"/>
      <c r="T126" s="1225"/>
      <c r="U126" s="1225"/>
      <c r="V126" s="1225"/>
      <c r="W126" s="1226"/>
      <c r="Y126" s="1184"/>
      <c r="Z126" s="1184"/>
      <c r="AA126" s="1184"/>
      <c r="AB126" s="1184"/>
      <c r="AC126" s="1184"/>
      <c r="AD126" s="1184"/>
      <c r="AE126" s="1184"/>
      <c r="AF126" s="1184"/>
      <c r="AG126" s="1184"/>
      <c r="AH126" s="1184"/>
      <c r="AI126" s="1184"/>
      <c r="AJ126" s="1184"/>
      <c r="AK126" s="1184"/>
      <c r="AL126" s="1184"/>
      <c r="AM126" s="1184"/>
      <c r="AN126" s="1184"/>
      <c r="AO126" s="1184"/>
      <c r="AP126" s="1184"/>
      <c r="AQ126" s="1184"/>
    </row>
    <row r="127" spans="1:43" s="1771" customFormat="1" ht="17.25" hidden="1" customHeight="1">
      <c r="A127" s="240"/>
      <c r="C127" s="126"/>
      <c r="D127" s="3792">
        <v>2</v>
      </c>
      <c r="E127" s="3794" t="s">
        <v>298</v>
      </c>
      <c r="F127" s="3796" t="s">
        <v>55</v>
      </c>
      <c r="G127" s="3794"/>
      <c r="H127" s="3799"/>
      <c r="I127" s="3801"/>
      <c r="J127" s="3803"/>
      <c r="K127" s="3786"/>
      <c r="L127" s="3786"/>
      <c r="M127" s="3786"/>
      <c r="N127" s="3788"/>
      <c r="O127" s="3786"/>
      <c r="P127" s="3786"/>
      <c r="Q127" s="3786"/>
      <c r="R127" s="3791"/>
      <c r="S127" s="3786"/>
      <c r="T127" s="1386"/>
      <c r="U127" s="1386"/>
      <c r="V127" s="1388"/>
      <c r="W127" s="1220"/>
      <c r="X127" s="1191"/>
      <c r="Y127" s="1191"/>
      <c r="Z127" s="1191"/>
      <c r="AA127" s="1191"/>
      <c r="AB127" s="1191"/>
      <c r="AC127" s="1191" t="s">
        <v>299</v>
      </c>
      <c r="AD127" s="1191" t="s">
        <v>300</v>
      </c>
      <c r="AE127" s="1191" t="s">
        <v>301</v>
      </c>
      <c r="AF127" s="1191" t="s">
        <v>302</v>
      </c>
      <c r="AG127" s="1191"/>
      <c r="AH127" s="1191" t="str">
        <f>IF($E$127=0,"",$E$127)</f>
        <v>Тариф на транспортировку сточных вод</v>
      </c>
      <c r="AI127" s="1191" t="str">
        <f>IF($G$127=0,"",$G$127)</f>
        <v/>
      </c>
      <c r="AJ127" s="1191" t="str">
        <f>IF($J$127=0,"",$J$127)</f>
        <v/>
      </c>
      <c r="AK127" s="1191" t="str">
        <f>IF($K$127="нет","без дифференциации",IF($N$127=0,"",$N$127))</f>
        <v/>
      </c>
      <c r="AL127" s="1191" t="str">
        <f>IF($O$127="нет","без дифференциации",IF($R$127=0,"",$R$127))</f>
        <v/>
      </c>
      <c r="AM127" s="1191" t="str">
        <f>IF($S$127="нет","без дифференциации",IF($V$127=0,"",$V$127))</f>
        <v/>
      </c>
      <c r="AN127" s="1692">
        <f>$I$127</f>
        <v>0</v>
      </c>
      <c r="AO127" s="1191" t="str">
        <f>$I$127&amp;"."&amp;$M$127</f>
        <v>.</v>
      </c>
      <c r="AP127" s="1184" t="str">
        <f>$I$127&amp;"."&amp;$M$127&amp;"."&amp;$Q$127</f>
        <v>..</v>
      </c>
      <c r="AQ127" s="1184" t="str">
        <f>$I$127&amp;"."&amp;$M$127&amp;"."&amp;$Q$127&amp;"."&amp;$U$127</f>
        <v>...</v>
      </c>
    </row>
    <row r="128" spans="1:43" s="1771" customFormat="1" ht="17.25" hidden="1" customHeight="1">
      <c r="A128" s="240"/>
      <c r="C128" s="239"/>
      <c r="D128" s="3792"/>
      <c r="E128" s="3794"/>
      <c r="F128" s="3797"/>
      <c r="G128" s="3794"/>
      <c r="H128" s="3800"/>
      <c r="I128" s="3802"/>
      <c r="J128" s="3804"/>
      <c r="K128" s="3787"/>
      <c r="L128" s="3787"/>
      <c r="M128" s="3787"/>
      <c r="N128" s="3789"/>
      <c r="O128" s="3787"/>
      <c r="P128" s="3787"/>
      <c r="Q128" s="3787"/>
      <c r="R128" s="3790"/>
      <c r="S128" s="3787"/>
      <c r="T128" s="1221"/>
      <c r="U128" s="1221"/>
      <c r="V128" s="1221"/>
      <c r="W128" s="1222"/>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row>
    <row r="129" spans="1:43" s="1771" customFormat="1" ht="17.25" hidden="1" customHeight="1">
      <c r="A129" s="240"/>
      <c r="C129" s="239"/>
      <c r="D129" s="3793"/>
      <c r="E129" s="3795"/>
      <c r="F129" s="3797"/>
      <c r="G129" s="3795"/>
      <c r="H129" s="3800"/>
      <c r="I129" s="3802"/>
      <c r="J129" s="3805"/>
      <c r="K129" s="3787"/>
      <c r="L129" s="3787"/>
      <c r="M129" s="3787"/>
      <c r="N129" s="3790"/>
      <c r="O129" s="3787"/>
      <c r="P129" s="1387"/>
      <c r="Q129" s="1221"/>
      <c r="R129" s="1221"/>
      <c r="S129" s="251"/>
      <c r="T129" s="251"/>
      <c r="U129" s="251"/>
      <c r="V129" s="251"/>
      <c r="W129" s="1222"/>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row>
    <row r="130" spans="1:43" s="1771" customFormat="1" ht="17.25" hidden="1" customHeight="1">
      <c r="A130" s="240"/>
      <c r="C130" s="239"/>
      <c r="D130" s="3793"/>
      <c r="E130" s="3795"/>
      <c r="F130" s="3797"/>
      <c r="G130" s="3795"/>
      <c r="H130" s="3800"/>
      <c r="I130" s="3802"/>
      <c r="J130" s="3805"/>
      <c r="K130" s="3787"/>
      <c r="L130" s="1221"/>
      <c r="M130" s="1221"/>
      <c r="N130" s="1221"/>
      <c r="O130" s="1221"/>
      <c r="P130" s="1221"/>
      <c r="Q130" s="1221"/>
      <c r="R130" s="1221"/>
      <c r="S130" s="251"/>
      <c r="T130" s="251"/>
      <c r="U130" s="251"/>
      <c r="V130" s="251"/>
      <c r="W130" s="1222"/>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row>
    <row r="131" spans="1:43" s="1771" customFormat="1" ht="17.25" hidden="1" customHeight="1">
      <c r="A131" s="240"/>
      <c r="C131" s="239"/>
      <c r="D131" s="3793"/>
      <c r="E131" s="3795"/>
      <c r="F131" s="3798"/>
      <c r="G131" s="3795"/>
      <c r="H131" s="1223"/>
      <c r="I131" s="1224"/>
      <c r="J131" s="1224"/>
      <c r="K131" s="1224"/>
      <c r="L131" s="1224"/>
      <c r="M131" s="1224"/>
      <c r="N131" s="1224"/>
      <c r="O131" s="1224"/>
      <c r="P131" s="1224"/>
      <c r="Q131" s="1224"/>
      <c r="R131" s="1224"/>
      <c r="S131" s="1225"/>
      <c r="T131" s="1225"/>
      <c r="U131" s="1225"/>
      <c r="V131" s="1225"/>
      <c r="W131" s="1226"/>
      <c r="X131" s="1184"/>
      <c r="Y131" s="1184"/>
      <c r="Z131" s="1184"/>
      <c r="AA131" s="1184"/>
      <c r="AB131" s="1184"/>
      <c r="AC131" s="1184"/>
      <c r="AD131" s="1184"/>
      <c r="AE131" s="1184"/>
      <c r="AF131" s="1184"/>
      <c r="AG131" s="1184"/>
      <c r="AH131" s="1184"/>
      <c r="AI131" s="1184"/>
      <c r="AJ131" s="1184"/>
      <c r="AK131" s="1184"/>
      <c r="AL131" s="1184"/>
      <c r="AM131" s="1184"/>
      <c r="AN131" s="1184"/>
      <c r="AO131" s="1184"/>
      <c r="AP131" s="1184"/>
      <c r="AQ131" s="1184"/>
    </row>
    <row r="132" spans="1:43" s="1771" customFormat="1" ht="17.25" hidden="1" customHeight="1">
      <c r="A132" s="240"/>
      <c r="C132" s="126"/>
      <c r="D132" s="3792">
        <v>3</v>
      </c>
      <c r="E132" s="3794" t="s">
        <v>303</v>
      </c>
      <c r="F132" s="3796" t="s">
        <v>55</v>
      </c>
      <c r="G132" s="3794"/>
      <c r="H132" s="3799"/>
      <c r="I132" s="3801"/>
      <c r="J132" s="3803"/>
      <c r="K132" s="3786"/>
      <c r="L132" s="3786"/>
      <c r="M132" s="3786"/>
      <c r="N132" s="3788"/>
      <c r="O132" s="3786"/>
      <c r="P132" s="3786"/>
      <c r="Q132" s="3786"/>
      <c r="R132" s="3791"/>
      <c r="S132" s="3786"/>
      <c r="T132" s="1386"/>
      <c r="U132" s="1386"/>
      <c r="V132" s="1388"/>
      <c r="W132" s="1220"/>
      <c r="X132" s="1191"/>
      <c r="Y132" s="1191"/>
      <c r="Z132" s="1191"/>
      <c r="AA132" s="1191"/>
      <c r="AB132" s="1191"/>
      <c r="AC132" s="1191" t="s">
        <v>304</v>
      </c>
      <c r="AD132" s="1191" t="s">
        <v>305</v>
      </c>
      <c r="AE132" s="1191" t="s">
        <v>306</v>
      </c>
      <c r="AF132" s="1191" t="s">
        <v>307</v>
      </c>
      <c r="AG132" s="1191"/>
      <c r="AH132" s="1191" t="str">
        <f>IF($E$132=0,"",$E$132)</f>
        <v>Тариф на подключение (технологическое присоединение) к централизованной системе водоотведения</v>
      </c>
      <c r="AI132" s="1191" t="str">
        <f>IF($G$132=0,"",$G$132)</f>
        <v/>
      </c>
      <c r="AJ132" s="1191" t="str">
        <f>IF($J$132=0,"",$J$132)</f>
        <v/>
      </c>
      <c r="AK132" s="1191" t="str">
        <f>IF($K$132="нет","без дифференциации",IF($N$132=0,"",$N$132))</f>
        <v/>
      </c>
      <c r="AL132" s="1191" t="str">
        <f>IF($O$132="нет","без дифференциации",IF($R$132=0,"",$R$132))</f>
        <v/>
      </c>
      <c r="AM132" s="1191" t="str">
        <f>IF($S$132="нет","без дифференциации",IF($V$132=0,"",$V$132))</f>
        <v/>
      </c>
      <c r="AN132" s="1692">
        <f>$I$132</f>
        <v>0</v>
      </c>
      <c r="AO132" s="1191" t="str">
        <f>$I$132&amp;"."&amp;$M$132</f>
        <v>.</v>
      </c>
      <c r="AP132" s="1184" t="str">
        <f>$I$132&amp;"."&amp;$M$132&amp;"."&amp;$Q$132</f>
        <v>..</v>
      </c>
      <c r="AQ132" s="1184" t="str">
        <f>$I$132&amp;"."&amp;$M$132&amp;"."&amp;$Q$132&amp;"."&amp;$U$132</f>
        <v>...</v>
      </c>
    </row>
    <row r="133" spans="1:43" s="1771" customFormat="1" ht="17.25" hidden="1" customHeight="1">
      <c r="A133" s="240"/>
      <c r="C133" s="239"/>
      <c r="D133" s="3792"/>
      <c r="E133" s="3794"/>
      <c r="F133" s="3797"/>
      <c r="G133" s="3794"/>
      <c r="H133" s="3800"/>
      <c r="I133" s="3802"/>
      <c r="J133" s="3804"/>
      <c r="K133" s="3787"/>
      <c r="L133" s="3787"/>
      <c r="M133" s="3787"/>
      <c r="N133" s="3789"/>
      <c r="O133" s="3787"/>
      <c r="P133" s="3787"/>
      <c r="Q133" s="3787"/>
      <c r="R133" s="3790"/>
      <c r="S133" s="3787"/>
      <c r="T133" s="1221"/>
      <c r="U133" s="1221"/>
      <c r="V133" s="1221"/>
      <c r="W133" s="1222"/>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row>
    <row r="134" spans="1:43" s="1771" customFormat="1" ht="17.25" hidden="1" customHeight="1">
      <c r="A134" s="240"/>
      <c r="C134" s="239"/>
      <c r="D134" s="3793"/>
      <c r="E134" s="3795"/>
      <c r="F134" s="3797"/>
      <c r="G134" s="3795"/>
      <c r="H134" s="3800"/>
      <c r="I134" s="3802"/>
      <c r="J134" s="3805"/>
      <c r="K134" s="3787"/>
      <c r="L134" s="3787"/>
      <c r="M134" s="3787"/>
      <c r="N134" s="3790"/>
      <c r="O134" s="3787"/>
      <c r="P134" s="1387"/>
      <c r="Q134" s="1221"/>
      <c r="R134" s="1221"/>
      <c r="S134" s="251"/>
      <c r="T134" s="251"/>
      <c r="U134" s="251"/>
      <c r="V134" s="251"/>
      <c r="W134" s="1222"/>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row>
    <row r="135" spans="1:43" s="1771" customFormat="1" ht="17.25" hidden="1" customHeight="1">
      <c r="A135" s="240"/>
      <c r="C135" s="239"/>
      <c r="D135" s="3793"/>
      <c r="E135" s="3795"/>
      <c r="F135" s="3797"/>
      <c r="G135" s="3795"/>
      <c r="H135" s="3800"/>
      <c r="I135" s="3802"/>
      <c r="J135" s="3805"/>
      <c r="K135" s="3787"/>
      <c r="L135" s="1221"/>
      <c r="M135" s="1221"/>
      <c r="N135" s="1221"/>
      <c r="O135" s="1221"/>
      <c r="P135" s="1221"/>
      <c r="Q135" s="1221"/>
      <c r="R135" s="1221"/>
      <c r="S135" s="251"/>
      <c r="T135" s="251"/>
      <c r="U135" s="251"/>
      <c r="V135" s="251"/>
      <c r="W135" s="1222"/>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row>
    <row r="136" spans="1:43" s="1771" customFormat="1" ht="17.25" hidden="1" customHeight="1">
      <c r="A136" s="240"/>
      <c r="C136" s="239"/>
      <c r="D136" s="3793"/>
      <c r="E136" s="3795"/>
      <c r="F136" s="3798"/>
      <c r="G136" s="3795"/>
      <c r="H136" s="1223"/>
      <c r="I136" s="1224"/>
      <c r="J136" s="1224"/>
      <c r="K136" s="1224"/>
      <c r="L136" s="1224"/>
      <c r="M136" s="1224"/>
      <c r="N136" s="1224"/>
      <c r="O136" s="1224"/>
      <c r="P136" s="1224"/>
      <c r="Q136" s="1224"/>
      <c r="R136" s="1224"/>
      <c r="S136" s="1225"/>
      <c r="T136" s="1225"/>
      <c r="U136" s="1225"/>
      <c r="V136" s="1225"/>
      <c r="W136" s="1226"/>
      <c r="X136" s="1184"/>
      <c r="Y136" s="1184"/>
      <c r="Z136" s="1184"/>
      <c r="AA136" s="1184"/>
      <c r="AB136" s="1184"/>
      <c r="AC136" s="1184"/>
      <c r="AD136" s="1184"/>
      <c r="AE136" s="1184"/>
      <c r="AF136" s="1184"/>
      <c r="AG136" s="1184"/>
      <c r="AH136" s="1184"/>
      <c r="AI136" s="1184"/>
      <c r="AJ136" s="1184"/>
      <c r="AK136" s="1184"/>
      <c r="AL136" s="1184"/>
      <c r="AM136" s="1184"/>
      <c r="AN136" s="1184"/>
      <c r="AO136" s="1184"/>
      <c r="AP136" s="1184"/>
      <c r="AQ136" s="1184"/>
    </row>
    <row r="140" spans="1:43" ht="11.25" customHeight="1">
      <c r="E140" s="1272"/>
    </row>
    <row r="141" spans="1:43" ht="11.25" customHeight="1">
      <c r="E141" s="1272"/>
    </row>
    <row r="142" spans="1:43" ht="11.25" customHeight="1">
      <c r="E142" s="1272"/>
    </row>
    <row r="143" spans="1:43" ht="11.25" customHeight="1">
      <c r="E143" s="1272"/>
    </row>
    <row r="144" spans="1:43" ht="11.25" customHeight="1">
      <c r="E144" s="1272"/>
    </row>
    <row r="145" spans="5:5" ht="11.25" customHeight="1">
      <c r="E145" s="1272"/>
    </row>
    <row r="146" spans="5:5" ht="11.25" customHeight="1">
      <c r="E146" s="1272"/>
    </row>
  </sheetData>
  <sheetProtection formatColumns="0" formatRows="0" insertRows="0" deleteColumns="0" deleteRows="0" sort="0" autoFilter="0"/>
  <mergeCells count="384">
    <mergeCell ref="W85:W86"/>
    <mergeCell ref="H85:H88"/>
    <mergeCell ref="I85:I88"/>
    <mergeCell ref="J85:J88"/>
    <mergeCell ref="K85:K88"/>
    <mergeCell ref="L85:L87"/>
    <mergeCell ref="M85:M87"/>
    <mergeCell ref="N85:N87"/>
    <mergeCell ref="O85:O87"/>
    <mergeCell ref="P85:P86"/>
    <mergeCell ref="Q85:Q86"/>
    <mergeCell ref="R85:R86"/>
    <mergeCell ref="S85:S86"/>
    <mergeCell ref="W81:W82"/>
    <mergeCell ref="H81:H84"/>
    <mergeCell ref="I81:I84"/>
    <mergeCell ref="J81:J84"/>
    <mergeCell ref="K81:K84"/>
    <mergeCell ref="L81:L83"/>
    <mergeCell ref="M81:M83"/>
    <mergeCell ref="N81:N83"/>
    <mergeCell ref="O81:O83"/>
    <mergeCell ref="P81:P82"/>
    <mergeCell ref="Q81:Q82"/>
    <mergeCell ref="R81:R82"/>
    <mergeCell ref="S81:S82"/>
    <mergeCell ref="W77:W78"/>
    <mergeCell ref="H77:H80"/>
    <mergeCell ref="I77:I80"/>
    <mergeCell ref="J77:J80"/>
    <mergeCell ref="K77:K80"/>
    <mergeCell ref="L77:L79"/>
    <mergeCell ref="M77:M79"/>
    <mergeCell ref="N77:N79"/>
    <mergeCell ref="O77:O79"/>
    <mergeCell ref="P77:P78"/>
    <mergeCell ref="Q77:Q78"/>
    <mergeCell ref="R77:R78"/>
    <mergeCell ref="S77:S78"/>
    <mergeCell ref="W73:W74"/>
    <mergeCell ref="H73:H76"/>
    <mergeCell ref="I73:I76"/>
    <mergeCell ref="J73:J76"/>
    <mergeCell ref="K73:K76"/>
    <mergeCell ref="L73:L75"/>
    <mergeCell ref="M73:M75"/>
    <mergeCell ref="N73:N75"/>
    <mergeCell ref="O73:O75"/>
    <mergeCell ref="P73:P74"/>
    <mergeCell ref="Q73:Q74"/>
    <mergeCell ref="R73:R74"/>
    <mergeCell ref="S73:S74"/>
    <mergeCell ref="W69:W70"/>
    <mergeCell ref="H69:H72"/>
    <mergeCell ref="I69:I72"/>
    <mergeCell ref="J69:J72"/>
    <mergeCell ref="K69:K72"/>
    <mergeCell ref="L69:L71"/>
    <mergeCell ref="M69:M71"/>
    <mergeCell ref="N69:N71"/>
    <mergeCell ref="O69:O71"/>
    <mergeCell ref="P69:P70"/>
    <mergeCell ref="Q69:Q70"/>
    <mergeCell ref="R69:R70"/>
    <mergeCell ref="S127:S128"/>
    <mergeCell ref="D132:D136"/>
    <mergeCell ref="E132:E136"/>
    <mergeCell ref="F132:F136"/>
    <mergeCell ref="G132:G136"/>
    <mergeCell ref="H132:H135"/>
    <mergeCell ref="I132:I135"/>
    <mergeCell ref="J132:J135"/>
    <mergeCell ref="K132:K135"/>
    <mergeCell ref="L132:L134"/>
    <mergeCell ref="M132:M134"/>
    <mergeCell ref="N132:N134"/>
    <mergeCell ref="O132:O134"/>
    <mergeCell ref="P132:P133"/>
    <mergeCell ref="Q132:Q133"/>
    <mergeCell ref="R132:R133"/>
    <mergeCell ref="S132:S133"/>
    <mergeCell ref="D127:D131"/>
    <mergeCell ref="E127:E131"/>
    <mergeCell ref="F127:F131"/>
    <mergeCell ref="G127:G131"/>
    <mergeCell ref="H127:H130"/>
    <mergeCell ref="I127:I130"/>
    <mergeCell ref="J127:J130"/>
    <mergeCell ref="K127:K130"/>
    <mergeCell ref="L127:L129"/>
    <mergeCell ref="H122:H125"/>
    <mergeCell ref="I122:I125"/>
    <mergeCell ref="J122:J125"/>
    <mergeCell ref="K122:K125"/>
    <mergeCell ref="L122:L124"/>
    <mergeCell ref="M122:M124"/>
    <mergeCell ref="N122:N124"/>
    <mergeCell ref="O122:O124"/>
    <mergeCell ref="M127:M129"/>
    <mergeCell ref="N127:N129"/>
    <mergeCell ref="O127:O129"/>
    <mergeCell ref="P122:P123"/>
    <mergeCell ref="Q122:Q123"/>
    <mergeCell ref="R122:R123"/>
    <mergeCell ref="P127:P128"/>
    <mergeCell ref="Q127:Q128"/>
    <mergeCell ref="R127:R128"/>
    <mergeCell ref="S122:S123"/>
    <mergeCell ref="D122:D126"/>
    <mergeCell ref="E122:E126"/>
    <mergeCell ref="F122:F126"/>
    <mergeCell ref="G122:G126"/>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R13:R14"/>
    <mergeCell ref="S13:S14"/>
    <mergeCell ref="M43:M45"/>
    <mergeCell ref="N43:N45"/>
    <mergeCell ref="O43:O45"/>
    <mergeCell ref="N33:N35"/>
    <mergeCell ref="D106:D110"/>
    <mergeCell ref="E106:E110"/>
    <mergeCell ref="F106:F110"/>
    <mergeCell ref="G106:G110"/>
    <mergeCell ref="H106:H109"/>
    <mergeCell ref="I106:I109"/>
    <mergeCell ref="J106:J109"/>
    <mergeCell ref="K106:K109"/>
    <mergeCell ref="L106:L108"/>
    <mergeCell ref="P48:P49"/>
    <mergeCell ref="Q48:Q49"/>
    <mergeCell ref="R48:R49"/>
    <mergeCell ref="S48:S49"/>
    <mergeCell ref="P43:P44"/>
    <mergeCell ref="Q43:Q44"/>
    <mergeCell ref="R43:R44"/>
    <mergeCell ref="S43:S44"/>
    <mergeCell ref="S23:S24"/>
    <mergeCell ref="S18:S19"/>
    <mergeCell ref="M106:M108"/>
    <mergeCell ref="N106:N108"/>
    <mergeCell ref="O106:O108"/>
    <mergeCell ref="P106:P107"/>
    <mergeCell ref="Q106:Q107"/>
    <mergeCell ref="R106:R107"/>
    <mergeCell ref="S106:S107"/>
    <mergeCell ref="O48:O50"/>
    <mergeCell ref="E62:W62"/>
    <mergeCell ref="E54:W54"/>
    <mergeCell ref="E55:W55"/>
    <mergeCell ref="E56:W56"/>
    <mergeCell ref="E57:W57"/>
    <mergeCell ref="E58:W58"/>
    <mergeCell ref="L64:L66"/>
    <mergeCell ref="M64:M66"/>
    <mergeCell ref="E60:W60"/>
    <mergeCell ref="E61:W61"/>
    <mergeCell ref="K90:K93"/>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89"/>
    <mergeCell ref="E69:E89"/>
    <mergeCell ref="F69:F89"/>
    <mergeCell ref="G69:G89"/>
    <mergeCell ref="F64:F68"/>
    <mergeCell ref="G64:G68"/>
    <mergeCell ref="H64:H67"/>
    <mergeCell ref="I64:I67"/>
    <mergeCell ref="J64:J67"/>
    <mergeCell ref="K13:K16"/>
    <mergeCell ref="G18:G22"/>
    <mergeCell ref="K18:K21"/>
    <mergeCell ref="N23:N25"/>
    <mergeCell ref="L10:M10"/>
    <mergeCell ref="P10:Q10"/>
    <mergeCell ref="L11:M11"/>
    <mergeCell ref="L90:L92"/>
    <mergeCell ref="K64:K67"/>
    <mergeCell ref="S90:S91"/>
    <mergeCell ref="N90:N92"/>
    <mergeCell ref="O90:O92"/>
    <mergeCell ref="P90:P91"/>
    <mergeCell ref="Q90:Q91"/>
    <mergeCell ref="R90:R91"/>
    <mergeCell ref="N64:N66"/>
    <mergeCell ref="O64:O66"/>
    <mergeCell ref="P64:P65"/>
    <mergeCell ref="Q64:Q65"/>
    <mergeCell ref="R64:R65"/>
    <mergeCell ref="S64:S65"/>
    <mergeCell ref="S69:S70"/>
    <mergeCell ref="M95:M97"/>
    <mergeCell ref="N95:N97"/>
    <mergeCell ref="O95:O97"/>
    <mergeCell ref="P95:P96"/>
    <mergeCell ref="Q95:Q96"/>
    <mergeCell ref="R95:R96"/>
    <mergeCell ref="S95:S96"/>
    <mergeCell ref="D90:D94"/>
    <mergeCell ref="E90:E94"/>
    <mergeCell ref="M90:M92"/>
    <mergeCell ref="D95:D99"/>
    <mergeCell ref="E95:E99"/>
    <mergeCell ref="F95:F99"/>
    <mergeCell ref="G95:G99"/>
    <mergeCell ref="H95:H98"/>
    <mergeCell ref="I95:I98"/>
    <mergeCell ref="J95:J98"/>
    <mergeCell ref="K95:K98"/>
    <mergeCell ref="L95:L97"/>
    <mergeCell ref="F90:F94"/>
    <mergeCell ref="G90:G94"/>
    <mergeCell ref="H90:H93"/>
    <mergeCell ref="I90:I93"/>
    <mergeCell ref="J90:J93"/>
    <mergeCell ref="M100:M102"/>
    <mergeCell ref="N100:N102"/>
    <mergeCell ref="O100:O102"/>
    <mergeCell ref="P100:P101"/>
    <mergeCell ref="Q100:Q101"/>
    <mergeCell ref="R100:R101"/>
    <mergeCell ref="S100:S101"/>
    <mergeCell ref="D100:D104"/>
    <mergeCell ref="E100:E104"/>
    <mergeCell ref="F100:F104"/>
    <mergeCell ref="G100:G104"/>
    <mergeCell ref="H100:H103"/>
    <mergeCell ref="I100:I103"/>
    <mergeCell ref="J100:J103"/>
    <mergeCell ref="K100:K103"/>
    <mergeCell ref="L100:L102"/>
  </mergeCells>
  <dataValidations count="101">
    <dataValidation allowBlank="1" showInputMessage="1" showErrorMessage="1" prompt="Выберите виды деятельности, выполнив двойной щелчок левой кнопки мыши по ячейке." sqref="G13:G52 G64:G72 G89:G104 G106:G120 G122:G1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95:N97 N100:N102 N90:N92 N48:N50 N106:N108 N111:N113 N116:N118 N127:N129 N122:N124 N132:N134">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95:J96 R95:R96 V95:W95 J90:J91 R90:R91 V90:W90 J100:J101 R100:R101 V100:W100 J48:J49 R48:R49 V48:W48 J106:J107 R106:R107 V106:W106 J111:J112 R111:R112 V111:W111 J116:J117 R116:R117 V116:W116 J127:J128 R127:R128 V127:W127 J122:J123 R122:R123 V122:W122 J132:J133 R132:R133 V132:W132">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95:K96 O95:O96 S95:S96 K90:K91 O90:O91 K100:K101 O100:O101 S48:S49 S90:S91 S100:S101 K48:K49 O48:O49 F64:F72 F89:F104 O106:O107 S106:S107 O111:O112 S111:S112 S116:S117 K106:K107 K111:K112 K116:K117 O116:O117 F106:F120 K127:K128 O127:O128 K122:K123 O122:O123 S127:S128 F122:F136 S122:S123 K132:K133 O132:O133 S132:S133"/>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Для выбора выполните двойной щелчок левой клавиши мыши по соответствующей ячейке." sqref="K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O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V81">
      <formula1>900</formula1>
    </dataValidation>
    <dataValidation type="textLength" operator="lessThanOrEqual" allowBlank="1" showInputMessage="1" showErrorMessage="1" errorTitle="Ошибка" error="Допускается ввод не более 900 символов!" sqref="W81">
      <formula1>900</formula1>
    </dataValidation>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7" hidden="1"/>
    <col min="3" max="4" width="3.7109375" style="1827" customWidth="1"/>
    <col min="5" max="6" width="16" style="1827" customWidth="1"/>
    <col min="7" max="7" width="11.5703125" style="1827" customWidth="1"/>
    <col min="8" max="9" width="3.7109375" style="1827" customWidth="1"/>
    <col min="10" max="10" width="13.140625" style="1827" customWidth="1"/>
    <col min="11" max="11" width="0.28515625" style="1827" customWidth="1"/>
    <col min="12" max="13" width="10.7109375" style="1827" customWidth="1"/>
    <col min="14" max="15" width="3.7109375" style="1827" customWidth="1"/>
    <col min="16" max="16" width="19.7109375" style="1827" customWidth="1"/>
    <col min="17" max="17" width="0.28515625" style="1827" customWidth="1"/>
    <col min="18" max="19" width="10.7109375" style="1827" customWidth="1"/>
    <col min="20" max="21" width="3.7109375" style="1827" customWidth="1"/>
    <col min="22" max="22" width="25.7109375" style="1827" customWidth="1"/>
    <col min="23" max="23" width="0.28515625" style="1827" customWidth="1"/>
    <col min="24" max="25" width="10.7109375" style="1827" customWidth="1"/>
    <col min="26" max="27" width="3.7109375" style="1827" customWidth="1"/>
    <col min="28" max="28" width="16.42578125" style="1827" customWidth="1"/>
    <col min="29" max="29" width="0.28515625" style="1827" customWidth="1"/>
    <col min="30" max="31" width="10.7109375" style="1827" customWidth="1"/>
    <col min="32" max="33" width="3.7109375" style="1827" customWidth="1"/>
    <col min="34" max="34" width="8.7109375" style="1827" customWidth="1"/>
    <col min="35" max="35" width="21.7109375" style="1827" customWidth="1"/>
    <col min="36" max="36" width="9.140625" style="1827"/>
    <col min="37" max="37" width="9.140625" style="298"/>
    <col min="38" max="64" width="9.140625" style="1827"/>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308</v>
      </c>
      <c r="M2" s="1478" t="s">
        <v>309</v>
      </c>
      <c r="R2" s="1478" t="s">
        <v>310</v>
      </c>
      <c r="S2" s="1478" t="s">
        <v>309</v>
      </c>
      <c r="X2" s="1478" t="s">
        <v>308</v>
      </c>
      <c r="Y2" s="1478" t="s">
        <v>309</v>
      </c>
      <c r="AD2" s="1478" t="s">
        <v>308</v>
      </c>
      <c r="AE2" s="1478" t="s">
        <v>309</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3852" t="s">
        <v>311</v>
      </c>
      <c r="E4" s="3852"/>
      <c r="F4" s="3852"/>
      <c r="G4" s="3852"/>
      <c r="H4" s="3852"/>
      <c r="I4" s="3852"/>
      <c r="J4" s="3852"/>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3839" t="str">
        <f>IF(org=0,"Не определено",org)</f>
        <v>ГУП СК "Ставрополькрайводоканал"</v>
      </c>
      <c r="E5" s="3839"/>
      <c r="F5" s="3839"/>
      <c r="G5" s="3839"/>
      <c r="H5" s="3839"/>
      <c r="I5" s="3839"/>
      <c r="J5" s="3839"/>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3778" t="s">
        <v>86</v>
      </c>
      <c r="E8" s="3778" t="s">
        <v>125</v>
      </c>
      <c r="F8" s="3853" t="s">
        <v>140</v>
      </c>
      <c r="G8" s="3854"/>
      <c r="H8" s="3853" t="s">
        <v>86</v>
      </c>
      <c r="I8" s="3854"/>
      <c r="J8" s="3778" t="s">
        <v>141</v>
      </c>
      <c r="K8" s="1481"/>
      <c r="L8" s="3838" t="s">
        <v>312</v>
      </c>
      <c r="M8" s="3838"/>
      <c r="N8" s="3838"/>
      <c r="O8" s="3838"/>
      <c r="P8" s="3838"/>
      <c r="Q8" s="1482"/>
      <c r="R8" s="3749" t="s">
        <v>313</v>
      </c>
      <c r="S8" s="3754"/>
      <c r="T8" s="3754"/>
      <c r="U8" s="3754"/>
      <c r="V8" s="3754"/>
      <c r="W8" s="1482"/>
      <c r="X8" s="3778" t="s">
        <v>314</v>
      </c>
      <c r="Y8" s="3778"/>
      <c r="Z8" s="3778"/>
      <c r="AA8" s="3778"/>
      <c r="AB8" s="3778"/>
      <c r="AC8" s="1483"/>
      <c r="AD8" s="3778" t="s">
        <v>315</v>
      </c>
      <c r="AE8" s="3778"/>
      <c r="AF8" s="3778"/>
      <c r="AG8" s="3778"/>
      <c r="AH8" s="3749"/>
      <c r="AI8" s="3778" t="s">
        <v>316</v>
      </c>
      <c r="AJ8"/>
    </row>
    <row r="9" spans="1:64" ht="22.5" customHeight="1">
      <c r="D9" s="3778"/>
      <c r="E9" s="3778"/>
      <c r="F9" s="3838" t="s">
        <v>87</v>
      </c>
      <c r="G9" s="3838" t="s">
        <v>146</v>
      </c>
      <c r="H9" s="3855"/>
      <c r="I9" s="3856"/>
      <c r="J9" s="3749"/>
      <c r="K9" s="1484"/>
      <c r="L9" s="3778" t="s">
        <v>317</v>
      </c>
      <c r="M9" s="3749"/>
      <c r="N9" s="3853" t="s">
        <v>86</v>
      </c>
      <c r="O9" s="3854"/>
      <c r="P9" s="3778" t="s">
        <v>147</v>
      </c>
      <c r="Q9" s="1481"/>
      <c r="R9" s="3778" t="s">
        <v>317</v>
      </c>
      <c r="S9" s="3749"/>
      <c r="T9" s="3853" t="s">
        <v>86</v>
      </c>
      <c r="U9" s="3854"/>
      <c r="V9" s="3778" t="s">
        <v>147</v>
      </c>
      <c r="W9" s="1481"/>
      <c r="X9" s="3778" t="s">
        <v>317</v>
      </c>
      <c r="Y9" s="3749"/>
      <c r="Z9" s="3853" t="s">
        <v>86</v>
      </c>
      <c r="AA9" s="3854"/>
      <c r="AB9" s="3778" t="s">
        <v>318</v>
      </c>
      <c r="AC9" s="1481"/>
      <c r="AD9" s="3778" t="s">
        <v>317</v>
      </c>
      <c r="AE9" s="3749"/>
      <c r="AF9" s="3853" t="s">
        <v>86</v>
      </c>
      <c r="AG9" s="3854"/>
      <c r="AH9" s="3749" t="s">
        <v>318</v>
      </c>
      <c r="AI9" s="3778"/>
      <c r="AJ9"/>
    </row>
    <row r="10" spans="1:64" ht="22.5" customHeight="1">
      <c r="D10" s="3838"/>
      <c r="E10" s="3838"/>
      <c r="F10" s="3857"/>
      <c r="G10" s="3857"/>
      <c r="H10" s="3858"/>
      <c r="I10" s="3859"/>
      <c r="J10" s="3853"/>
      <c r="K10" s="1484"/>
      <c r="L10" s="1502" t="s">
        <v>319</v>
      </c>
      <c r="M10" s="1498" t="s">
        <v>320</v>
      </c>
      <c r="N10" s="3855"/>
      <c r="O10" s="3856"/>
      <c r="P10" s="3838"/>
      <c r="Q10" s="1481"/>
      <c r="R10" s="1502" t="s">
        <v>319</v>
      </c>
      <c r="S10" s="1498" t="s">
        <v>320</v>
      </c>
      <c r="T10" s="3855"/>
      <c r="U10" s="3856"/>
      <c r="V10" s="3838"/>
      <c r="W10" s="1481"/>
      <c r="X10" s="1502" t="s">
        <v>319</v>
      </c>
      <c r="Y10" s="1498" t="s">
        <v>320</v>
      </c>
      <c r="Z10" s="3855"/>
      <c r="AA10" s="3856"/>
      <c r="AB10" s="3838"/>
      <c r="AC10" s="1481"/>
      <c r="AD10" s="1502" t="s">
        <v>319</v>
      </c>
      <c r="AE10" s="1498" t="s">
        <v>320</v>
      </c>
      <c r="AF10" s="3855"/>
      <c r="AG10" s="3856"/>
      <c r="AH10" s="3853"/>
      <c r="AI10" s="3838"/>
      <c r="AJ10"/>
      <c r="AK10" s="169" t="s">
        <v>321</v>
      </c>
      <c r="AL10" s="169" t="s">
        <v>148</v>
      </c>
    </row>
    <row r="11" spans="1:64" ht="14.25" customHeight="1">
      <c r="D11" s="3846" t="s">
        <v>129</v>
      </c>
      <c r="E11" s="3842" t="s">
        <v>322</v>
      </c>
      <c r="F11" s="3842" t="s">
        <v>323</v>
      </c>
      <c r="G11" s="3833" t="s">
        <v>55</v>
      </c>
      <c r="H11" s="1523"/>
      <c r="I11" s="3844"/>
      <c r="J11" s="3803"/>
      <c r="K11" s="1429"/>
      <c r="L11" s="3786"/>
      <c r="M11" s="3786"/>
      <c r="N11" s="1508"/>
      <c r="O11" s="3786"/>
      <c r="P11" s="3803"/>
      <c r="Q11" s="1509"/>
      <c r="R11" s="3786"/>
      <c r="S11" s="3786"/>
      <c r="T11" s="1510"/>
      <c r="U11" s="3786"/>
      <c r="V11" s="3803"/>
      <c r="W11" s="1511"/>
      <c r="X11" s="3786"/>
      <c r="Y11" s="3786"/>
      <c r="Z11" s="1508"/>
      <c r="AA11" s="3786"/>
      <c r="AB11" s="3803"/>
      <c r="AC11" s="1512"/>
      <c r="AD11" s="3786"/>
      <c r="AE11" s="3786"/>
      <c r="AF11" s="1428"/>
      <c r="AG11" s="1428"/>
      <c r="AH11" s="1513"/>
      <c r="AI11" s="1220"/>
      <c r="AJ11"/>
    </row>
    <row r="12" spans="1:64" ht="14.25" customHeight="1">
      <c r="D12" s="3846"/>
      <c r="E12" s="3842"/>
      <c r="F12" s="3842"/>
      <c r="G12" s="3834"/>
      <c r="H12" s="1524"/>
      <c r="I12" s="3845"/>
      <c r="J12" s="3804"/>
      <c r="K12" s="1531"/>
      <c r="L12" s="3787"/>
      <c r="M12" s="3787"/>
      <c r="N12" s="1514"/>
      <c r="O12" s="3787"/>
      <c r="P12" s="3804"/>
      <c r="Q12" s="1515"/>
      <c r="R12" s="3787"/>
      <c r="S12" s="3787"/>
      <c r="T12" s="1516"/>
      <c r="U12" s="3787"/>
      <c r="V12" s="3804"/>
      <c r="W12" s="1517"/>
      <c r="X12" s="3787"/>
      <c r="Y12" s="3787"/>
      <c r="Z12" s="1514"/>
      <c r="AA12" s="3787"/>
      <c r="AB12" s="3804"/>
      <c r="AC12" s="1518"/>
      <c r="AD12" s="3787"/>
      <c r="AE12" s="3787"/>
      <c r="AF12" s="1519"/>
      <c r="AG12" s="1519"/>
      <c r="AH12" s="3840"/>
      <c r="AI12" s="3841"/>
      <c r="AJ12"/>
    </row>
    <row r="13" spans="1:64" ht="14.25" customHeight="1">
      <c r="D13" s="3846"/>
      <c r="E13" s="3842"/>
      <c r="F13" s="3842"/>
      <c r="G13" s="3834"/>
      <c r="H13" s="1524"/>
      <c r="I13" s="3845"/>
      <c r="J13" s="3804"/>
      <c r="K13" s="1531"/>
      <c r="L13" s="3787"/>
      <c r="M13" s="3787"/>
      <c r="N13" s="1514"/>
      <c r="O13" s="3787"/>
      <c r="P13" s="3804"/>
      <c r="Q13" s="1515"/>
      <c r="R13" s="3787"/>
      <c r="S13" s="3787"/>
      <c r="T13" s="1516"/>
      <c r="U13" s="3787"/>
      <c r="V13" s="3804"/>
      <c r="W13" s="1517"/>
      <c r="X13" s="3787"/>
      <c r="Y13" s="3787"/>
      <c r="Z13" s="1427"/>
      <c r="AA13" s="1519"/>
      <c r="AB13" s="3840"/>
      <c r="AC13" s="3840"/>
      <c r="AD13" s="3840"/>
      <c r="AE13" s="3840"/>
      <c r="AF13" s="3840"/>
      <c r="AG13" s="3840"/>
      <c r="AH13" s="3840"/>
      <c r="AI13" s="3841"/>
      <c r="AJ13"/>
    </row>
    <row r="14" spans="1:64" ht="14.25" customHeight="1">
      <c r="D14" s="3846"/>
      <c r="E14" s="3842"/>
      <c r="F14" s="3842"/>
      <c r="G14" s="3834"/>
      <c r="H14" s="1524"/>
      <c r="I14" s="3845"/>
      <c r="J14" s="3804"/>
      <c r="K14" s="1531"/>
      <c r="L14" s="3787"/>
      <c r="M14" s="3787"/>
      <c r="N14" s="1514"/>
      <c r="O14" s="3787"/>
      <c r="P14" s="3804"/>
      <c r="Q14" s="1515"/>
      <c r="R14" s="3787"/>
      <c r="S14" s="3787"/>
      <c r="T14" s="1520"/>
      <c r="U14" s="1521"/>
      <c r="V14" s="3840"/>
      <c r="W14" s="3840"/>
      <c r="X14" s="3840"/>
      <c r="Y14" s="3840"/>
      <c r="Z14" s="3840"/>
      <c r="AA14" s="3840"/>
      <c r="AB14" s="3840"/>
      <c r="AC14" s="3840"/>
      <c r="AD14" s="3840"/>
      <c r="AE14" s="3840"/>
      <c r="AF14" s="3840"/>
      <c r="AG14" s="3840"/>
      <c r="AH14" s="3840"/>
      <c r="AI14" s="3841"/>
      <c r="AJ14"/>
    </row>
    <row r="15" spans="1:64" ht="11.25" customHeight="1">
      <c r="D15" s="3846"/>
      <c r="E15" s="3842"/>
      <c r="F15" s="3842"/>
      <c r="G15" s="3834"/>
      <c r="H15" s="1525"/>
      <c r="I15" s="3845"/>
      <c r="J15" s="3804"/>
      <c r="K15" s="1531"/>
      <c r="L15" s="3787"/>
      <c r="M15" s="3787"/>
      <c r="N15" s="1519"/>
      <c r="O15" s="1519"/>
      <c r="P15" s="3840"/>
      <c r="Q15" s="3840"/>
      <c r="R15" s="3840"/>
      <c r="S15" s="3840"/>
      <c r="T15" s="3840"/>
      <c r="U15" s="3840"/>
      <c r="V15" s="3840"/>
      <c r="W15" s="3840"/>
      <c r="X15" s="3840"/>
      <c r="Y15" s="3840"/>
      <c r="Z15" s="3840"/>
      <c r="AA15" s="3840"/>
      <c r="AB15" s="3840"/>
      <c r="AC15" s="3840"/>
      <c r="AD15" s="3840"/>
      <c r="AE15" s="3840"/>
      <c r="AF15" s="3840"/>
      <c r="AG15" s="3840"/>
      <c r="AH15" s="3840"/>
      <c r="AI15" s="3841"/>
      <c r="AJ15"/>
    </row>
    <row r="16" spans="1:64" s="1479" customFormat="1" ht="11.25" customHeight="1">
      <c r="D16" s="3850"/>
      <c r="E16" s="3851"/>
      <c r="F16" s="3843"/>
      <c r="G16" s="3764"/>
      <c r="H16" s="1522"/>
      <c r="I16" s="1526"/>
      <c r="J16" s="3848"/>
      <c r="K16" s="3848"/>
      <c r="L16" s="3848"/>
      <c r="M16" s="3848"/>
      <c r="N16" s="3848"/>
      <c r="O16" s="3848"/>
      <c r="P16" s="3848"/>
      <c r="Q16" s="3848"/>
      <c r="R16" s="3848"/>
      <c r="S16" s="3848"/>
      <c r="T16" s="3848"/>
      <c r="U16" s="3848"/>
      <c r="V16" s="3848"/>
      <c r="W16" s="3848"/>
      <c r="X16" s="3848"/>
      <c r="Y16" s="3848"/>
      <c r="Z16" s="3848"/>
      <c r="AA16" s="3848"/>
      <c r="AB16" s="3848"/>
      <c r="AC16" s="3848"/>
      <c r="AD16" s="3848"/>
      <c r="AE16" s="3848"/>
      <c r="AF16" s="3848"/>
      <c r="AG16" s="3848"/>
      <c r="AH16" s="3848"/>
      <c r="AI16" s="384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3846" t="s">
        <v>102</v>
      </c>
      <c r="E17" s="3842" t="s">
        <v>322</v>
      </c>
      <c r="F17" s="3842" t="s">
        <v>324</v>
      </c>
      <c r="G17" s="3833" t="s">
        <v>55</v>
      </c>
      <c r="H17" s="1523"/>
      <c r="I17" s="3844"/>
      <c r="J17" s="3803"/>
      <c r="K17" s="1429"/>
      <c r="L17" s="3786"/>
      <c r="M17" s="3786"/>
      <c r="N17" s="1508"/>
      <c r="O17" s="3786"/>
      <c r="P17" s="3803"/>
      <c r="Q17" s="1509"/>
      <c r="R17" s="3786"/>
      <c r="S17" s="3786"/>
      <c r="T17" s="1510"/>
      <c r="U17" s="3786"/>
      <c r="V17" s="3803"/>
      <c r="W17" s="1511"/>
      <c r="X17" s="3786"/>
      <c r="Y17" s="3786"/>
      <c r="Z17" s="1508"/>
      <c r="AA17" s="3786"/>
      <c r="AB17" s="3803"/>
      <c r="AC17" s="1512"/>
      <c r="AD17" s="3786"/>
      <c r="AE17" s="3786"/>
      <c r="AF17" s="1428"/>
      <c r="AG17" s="1428"/>
      <c r="AH17" s="1513"/>
      <c r="AI17" s="1220"/>
      <c r="AJ17"/>
    </row>
    <row r="18" spans="4:64" ht="14.25" customHeight="1">
      <c r="D18" s="3846"/>
      <c r="E18" s="3842"/>
      <c r="F18" s="3842"/>
      <c r="G18" s="3834"/>
      <c r="H18" s="1524"/>
      <c r="I18" s="3845"/>
      <c r="J18" s="3804"/>
      <c r="K18" s="1507"/>
      <c r="L18" s="3787"/>
      <c r="M18" s="3787"/>
      <c r="N18" s="1514"/>
      <c r="O18" s="3787"/>
      <c r="P18" s="3804"/>
      <c r="Q18" s="1515"/>
      <c r="R18" s="3787"/>
      <c r="S18" s="3787"/>
      <c r="T18" s="1516"/>
      <c r="U18" s="3787"/>
      <c r="V18" s="3804"/>
      <c r="W18" s="1517"/>
      <c r="X18" s="3787"/>
      <c r="Y18" s="3787"/>
      <c r="Z18" s="1514"/>
      <c r="AA18" s="3787"/>
      <c r="AB18" s="3804"/>
      <c r="AC18" s="1518"/>
      <c r="AD18" s="3787"/>
      <c r="AE18" s="3787"/>
      <c r="AF18" s="1519"/>
      <c r="AG18" s="1519"/>
      <c r="AH18" s="3840"/>
      <c r="AI18" s="3841"/>
      <c r="AJ18"/>
    </row>
    <row r="19" spans="4:64" ht="14.25" customHeight="1">
      <c r="D19" s="3846"/>
      <c r="E19" s="3842"/>
      <c r="F19" s="3842"/>
      <c r="G19" s="3834"/>
      <c r="H19" s="1524"/>
      <c r="I19" s="3845"/>
      <c r="J19" s="3804"/>
      <c r="K19" s="1507"/>
      <c r="L19" s="3787"/>
      <c r="M19" s="3787"/>
      <c r="N19" s="1514"/>
      <c r="O19" s="3787"/>
      <c r="P19" s="3804"/>
      <c r="Q19" s="1515"/>
      <c r="R19" s="3787"/>
      <c r="S19" s="3787"/>
      <c r="T19" s="1516"/>
      <c r="U19" s="3787"/>
      <c r="V19" s="3804"/>
      <c r="W19" s="1517"/>
      <c r="X19" s="3787"/>
      <c r="Y19" s="3787"/>
      <c r="Z19" s="1427"/>
      <c r="AA19" s="1519"/>
      <c r="AB19" s="3840"/>
      <c r="AC19" s="3840"/>
      <c r="AD19" s="3840"/>
      <c r="AE19" s="3840"/>
      <c r="AF19" s="3840"/>
      <c r="AG19" s="3840"/>
      <c r="AH19" s="3840"/>
      <c r="AI19" s="3841"/>
      <c r="AJ19"/>
    </row>
    <row r="20" spans="4:64" ht="14.25" customHeight="1">
      <c r="D20" s="3846"/>
      <c r="E20" s="3842"/>
      <c r="F20" s="3842"/>
      <c r="G20" s="3834"/>
      <c r="H20" s="1524"/>
      <c r="I20" s="3845"/>
      <c r="J20" s="3804"/>
      <c r="K20" s="1507"/>
      <c r="L20" s="3787"/>
      <c r="M20" s="3787"/>
      <c r="N20" s="1514"/>
      <c r="O20" s="3787"/>
      <c r="P20" s="3804"/>
      <c r="Q20" s="1515"/>
      <c r="R20" s="3787"/>
      <c r="S20" s="3787"/>
      <c r="T20" s="1520"/>
      <c r="U20" s="1521"/>
      <c r="V20" s="3840"/>
      <c r="W20" s="3840"/>
      <c r="X20" s="3840"/>
      <c r="Y20" s="3840"/>
      <c r="Z20" s="3840"/>
      <c r="AA20" s="3840"/>
      <c r="AB20" s="3840"/>
      <c r="AC20" s="3840"/>
      <c r="AD20" s="3840"/>
      <c r="AE20" s="3840"/>
      <c r="AF20" s="3840"/>
      <c r="AG20" s="3840"/>
      <c r="AH20" s="3840"/>
      <c r="AI20" s="3841"/>
      <c r="AJ20"/>
    </row>
    <row r="21" spans="4:64" ht="11.25" customHeight="1">
      <c r="D21" s="3846"/>
      <c r="E21" s="3842"/>
      <c r="F21" s="3842"/>
      <c r="G21" s="3834"/>
      <c r="H21" s="1525"/>
      <c r="I21" s="3845"/>
      <c r="J21" s="3804"/>
      <c r="K21" s="1507"/>
      <c r="L21" s="3787"/>
      <c r="M21" s="3787"/>
      <c r="N21" s="1519"/>
      <c r="O21" s="1519"/>
      <c r="P21" s="3840"/>
      <c r="Q21" s="3840"/>
      <c r="R21" s="3840"/>
      <c r="S21" s="3840"/>
      <c r="T21" s="3840"/>
      <c r="U21" s="3840"/>
      <c r="V21" s="3840"/>
      <c r="W21" s="3840"/>
      <c r="X21" s="3840"/>
      <c r="Y21" s="3840"/>
      <c r="Z21" s="3840"/>
      <c r="AA21" s="3840"/>
      <c r="AB21" s="3840"/>
      <c r="AC21" s="3840"/>
      <c r="AD21" s="3840"/>
      <c r="AE21" s="3840"/>
      <c r="AF21" s="3840"/>
      <c r="AG21" s="3840"/>
      <c r="AH21" s="3840"/>
      <c r="AI21" s="3841"/>
      <c r="AJ21"/>
    </row>
    <row r="22" spans="4:64" s="1479" customFormat="1" ht="11.25" customHeight="1">
      <c r="D22" s="3850"/>
      <c r="E22" s="3851"/>
      <c r="F22" s="3843"/>
      <c r="G22" s="3764"/>
      <c r="H22" s="1522"/>
      <c r="I22" s="1526"/>
      <c r="J22" s="3848"/>
      <c r="K22" s="3848"/>
      <c r="L22" s="3848"/>
      <c r="M22" s="3848"/>
      <c r="N22" s="3848"/>
      <c r="O22" s="3848"/>
      <c r="P22" s="3848"/>
      <c r="Q22" s="3848"/>
      <c r="R22" s="3848"/>
      <c r="S22" s="3848"/>
      <c r="T22" s="3848"/>
      <c r="U22" s="3848"/>
      <c r="V22" s="3848"/>
      <c r="W22" s="3848"/>
      <c r="X22" s="3848"/>
      <c r="Y22" s="3848"/>
      <c r="Z22" s="3848"/>
      <c r="AA22" s="3848"/>
      <c r="AB22" s="3848"/>
      <c r="AC22" s="3848"/>
      <c r="AD22" s="3848"/>
      <c r="AE22" s="3848"/>
      <c r="AF22" s="3848"/>
      <c r="AG22" s="3848"/>
      <c r="AH22" s="3848"/>
      <c r="AI22" s="384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3846" t="s">
        <v>88</v>
      </c>
      <c r="E23" s="3842" t="s">
        <v>322</v>
      </c>
      <c r="F23" s="3842" t="s">
        <v>325</v>
      </c>
      <c r="G23" s="3833" t="s">
        <v>55</v>
      </c>
      <c r="H23" s="1523"/>
      <c r="I23" s="3844"/>
      <c r="J23" s="3803"/>
      <c r="K23" s="1429"/>
      <c r="L23" s="3786"/>
      <c r="M23" s="3786"/>
      <c r="N23" s="1508"/>
      <c r="O23" s="3786"/>
      <c r="P23" s="3803"/>
      <c r="Q23" s="1509"/>
      <c r="R23" s="3786"/>
      <c r="S23" s="3786"/>
      <c r="T23" s="1510"/>
      <c r="U23" s="3786"/>
      <c r="V23" s="3803"/>
      <c r="W23" s="1511"/>
      <c r="X23" s="3786"/>
      <c r="Y23" s="3786"/>
      <c r="Z23" s="1508"/>
      <c r="AA23" s="3786"/>
      <c r="AB23" s="3803"/>
      <c r="AC23" s="1512"/>
      <c r="AD23" s="3786"/>
      <c r="AE23" s="3786"/>
      <c r="AF23" s="1428"/>
      <c r="AG23" s="1428"/>
      <c r="AH23" s="1513"/>
      <c r="AI23" s="1220"/>
      <c r="AJ23"/>
      <c r="AK23" s="221" t="s">
        <v>96</v>
      </c>
    </row>
    <row r="24" spans="4:64" ht="14.25" customHeight="1">
      <c r="D24" s="3846"/>
      <c r="E24" s="3842"/>
      <c r="F24" s="3842"/>
      <c r="G24" s="3834"/>
      <c r="H24" s="1524"/>
      <c r="I24" s="3845"/>
      <c r="J24" s="3804"/>
      <c r="K24" s="1531"/>
      <c r="L24" s="3787"/>
      <c r="M24" s="3787"/>
      <c r="N24" s="1514"/>
      <c r="O24" s="3787"/>
      <c r="P24" s="3804"/>
      <c r="Q24" s="1515"/>
      <c r="R24" s="3787"/>
      <c r="S24" s="3787"/>
      <c r="T24" s="1516"/>
      <c r="U24" s="3787"/>
      <c r="V24" s="3804"/>
      <c r="W24" s="1517"/>
      <c r="X24" s="3787"/>
      <c r="Y24" s="3787"/>
      <c r="Z24" s="1514"/>
      <c r="AA24" s="3787"/>
      <c r="AB24" s="3804"/>
      <c r="AC24" s="1518"/>
      <c r="AD24" s="3787"/>
      <c r="AE24" s="3787"/>
      <c r="AF24" s="1519"/>
      <c r="AG24" s="1519"/>
      <c r="AH24" s="3840"/>
      <c r="AI24" s="3841"/>
      <c r="AJ24"/>
    </row>
    <row r="25" spans="4:64" ht="14.25" customHeight="1">
      <c r="D25" s="3846"/>
      <c r="E25" s="3842"/>
      <c r="F25" s="3842"/>
      <c r="G25" s="3834"/>
      <c r="H25" s="1524"/>
      <c r="I25" s="3845"/>
      <c r="J25" s="3804"/>
      <c r="K25" s="1531"/>
      <c r="L25" s="3787"/>
      <c r="M25" s="3787"/>
      <c r="N25" s="1514"/>
      <c r="O25" s="3787"/>
      <c r="P25" s="3804"/>
      <c r="Q25" s="1515"/>
      <c r="R25" s="3787"/>
      <c r="S25" s="3787"/>
      <c r="T25" s="1516"/>
      <c r="U25" s="3787"/>
      <c r="V25" s="3804"/>
      <c r="W25" s="1517"/>
      <c r="X25" s="3787"/>
      <c r="Y25" s="3787"/>
      <c r="Z25" s="1427"/>
      <c r="AA25" s="1519"/>
      <c r="AB25" s="3840"/>
      <c r="AC25" s="3840"/>
      <c r="AD25" s="3840"/>
      <c r="AE25" s="3840"/>
      <c r="AF25" s="3840"/>
      <c r="AG25" s="3840"/>
      <c r="AH25" s="3840"/>
      <c r="AI25" s="3841"/>
      <c r="AJ25"/>
    </row>
    <row r="26" spans="4:64" ht="14.25" customHeight="1">
      <c r="D26" s="3846"/>
      <c r="E26" s="3842"/>
      <c r="F26" s="3842"/>
      <c r="G26" s="3834"/>
      <c r="H26" s="1524"/>
      <c r="I26" s="3845"/>
      <c r="J26" s="3804"/>
      <c r="K26" s="1531"/>
      <c r="L26" s="3787"/>
      <c r="M26" s="3787"/>
      <c r="N26" s="1514"/>
      <c r="O26" s="3787"/>
      <c r="P26" s="3804"/>
      <c r="Q26" s="1515"/>
      <c r="R26" s="3787"/>
      <c r="S26" s="3787"/>
      <c r="T26" s="1520"/>
      <c r="U26" s="1521"/>
      <c r="V26" s="3840"/>
      <c r="W26" s="3840"/>
      <c r="X26" s="3840"/>
      <c r="Y26" s="3840"/>
      <c r="Z26" s="3840"/>
      <c r="AA26" s="3840"/>
      <c r="AB26" s="3840"/>
      <c r="AC26" s="3840"/>
      <c r="AD26" s="3840"/>
      <c r="AE26" s="3840"/>
      <c r="AF26" s="3840"/>
      <c r="AG26" s="3840"/>
      <c r="AH26" s="3840"/>
      <c r="AI26" s="3841"/>
      <c r="AJ26"/>
    </row>
    <row r="27" spans="4:64" ht="11.25" customHeight="1">
      <c r="D27" s="3846"/>
      <c r="E27" s="3842"/>
      <c r="F27" s="3842"/>
      <c r="G27" s="3834"/>
      <c r="H27" s="1525"/>
      <c r="I27" s="3845"/>
      <c r="J27" s="3804"/>
      <c r="K27" s="1531"/>
      <c r="L27" s="3787"/>
      <c r="M27" s="3787"/>
      <c r="N27" s="1519"/>
      <c r="O27" s="1519"/>
      <c r="P27" s="3840"/>
      <c r="Q27" s="3840"/>
      <c r="R27" s="3840"/>
      <c r="S27" s="3840"/>
      <c r="T27" s="3840"/>
      <c r="U27" s="3840"/>
      <c r="V27" s="3840"/>
      <c r="W27" s="3840"/>
      <c r="X27" s="3840"/>
      <c r="Y27" s="3840"/>
      <c r="Z27" s="3840"/>
      <c r="AA27" s="3840"/>
      <c r="AB27" s="3840"/>
      <c r="AC27" s="3840"/>
      <c r="AD27" s="3840"/>
      <c r="AE27" s="3840"/>
      <c r="AF27" s="3840"/>
      <c r="AG27" s="3840"/>
      <c r="AH27" s="3840"/>
      <c r="AI27" s="3841"/>
      <c r="AJ27"/>
    </row>
    <row r="28" spans="4:64" s="1479" customFormat="1" ht="11.25" customHeight="1">
      <c r="D28" s="3850"/>
      <c r="E28" s="3851"/>
      <c r="F28" s="3843"/>
      <c r="G28" s="3764"/>
      <c r="H28" s="1522"/>
      <c r="I28" s="1526"/>
      <c r="J28" s="3848"/>
      <c r="K28" s="3848"/>
      <c r="L28" s="3848"/>
      <c r="M28" s="3848"/>
      <c r="N28" s="3848"/>
      <c r="O28" s="3848"/>
      <c r="P28" s="3848"/>
      <c r="Q28" s="3848"/>
      <c r="R28" s="3848"/>
      <c r="S28" s="3848"/>
      <c r="T28" s="3848"/>
      <c r="U28" s="3848"/>
      <c r="V28" s="3848"/>
      <c r="W28" s="3848"/>
      <c r="X28" s="3848"/>
      <c r="Y28" s="3848"/>
      <c r="Z28" s="3848"/>
      <c r="AA28" s="3848"/>
      <c r="AB28" s="3848"/>
      <c r="AC28" s="3848"/>
      <c r="AD28" s="3848"/>
      <c r="AE28" s="3848"/>
      <c r="AF28" s="3848"/>
      <c r="AG28" s="3848"/>
      <c r="AH28" s="3848"/>
      <c r="AI28" s="384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3846" t="s">
        <v>89</v>
      </c>
      <c r="E29" s="3842" t="s">
        <v>322</v>
      </c>
      <c r="F29" s="3842" t="s">
        <v>326</v>
      </c>
      <c r="G29" s="3833" t="s">
        <v>55</v>
      </c>
      <c r="H29" s="1523"/>
      <c r="I29" s="3844"/>
      <c r="J29" s="3803"/>
      <c r="K29" s="1429"/>
      <c r="L29" s="3786"/>
      <c r="M29" s="3786"/>
      <c r="N29" s="1508"/>
      <c r="O29" s="3786"/>
      <c r="P29" s="3803"/>
      <c r="Q29" s="1509"/>
      <c r="R29" s="3786"/>
      <c r="S29" s="3786"/>
      <c r="T29" s="1510"/>
      <c r="U29" s="3786"/>
      <c r="V29" s="3803"/>
      <c r="W29" s="1511"/>
      <c r="X29" s="3786"/>
      <c r="Y29" s="3786"/>
      <c r="Z29" s="1508"/>
      <c r="AA29" s="3786"/>
      <c r="AB29" s="3803"/>
      <c r="AC29" s="1512"/>
      <c r="AD29" s="3786"/>
      <c r="AE29" s="3786"/>
      <c r="AF29" s="1428"/>
      <c r="AG29" s="1428"/>
      <c r="AH29" s="1513"/>
      <c r="AI29" s="1220"/>
      <c r="AJ29"/>
    </row>
    <row r="30" spans="4:64" ht="14.25" customHeight="1">
      <c r="D30" s="3846"/>
      <c r="E30" s="3842"/>
      <c r="F30" s="3842"/>
      <c r="G30" s="3834"/>
      <c r="H30" s="1524"/>
      <c r="I30" s="3845"/>
      <c r="J30" s="3804"/>
      <c r="K30" s="1507"/>
      <c r="L30" s="3787"/>
      <c r="M30" s="3787"/>
      <c r="N30" s="1514"/>
      <c r="O30" s="3787"/>
      <c r="P30" s="3804"/>
      <c r="Q30" s="1515"/>
      <c r="R30" s="3787"/>
      <c r="S30" s="3787"/>
      <c r="T30" s="1516"/>
      <c r="U30" s="3787"/>
      <c r="V30" s="3804"/>
      <c r="W30" s="1517"/>
      <c r="X30" s="3787"/>
      <c r="Y30" s="3787"/>
      <c r="Z30" s="1514"/>
      <c r="AA30" s="3787"/>
      <c r="AB30" s="3804"/>
      <c r="AC30" s="1518"/>
      <c r="AD30" s="3787"/>
      <c r="AE30" s="3787"/>
      <c r="AF30" s="1519"/>
      <c r="AG30" s="1519"/>
      <c r="AH30" s="3840"/>
      <c r="AI30" s="3841"/>
      <c r="AJ30"/>
    </row>
    <row r="31" spans="4:64" ht="14.25" customHeight="1">
      <c r="D31" s="3846"/>
      <c r="E31" s="3842"/>
      <c r="F31" s="3842"/>
      <c r="G31" s="3834"/>
      <c r="H31" s="1524"/>
      <c r="I31" s="3845"/>
      <c r="J31" s="3804"/>
      <c r="K31" s="1507"/>
      <c r="L31" s="3787"/>
      <c r="M31" s="3787"/>
      <c r="N31" s="1514"/>
      <c r="O31" s="3787"/>
      <c r="P31" s="3804"/>
      <c r="Q31" s="1515"/>
      <c r="R31" s="3787"/>
      <c r="S31" s="3787"/>
      <c r="T31" s="1516"/>
      <c r="U31" s="3787"/>
      <c r="V31" s="3804"/>
      <c r="W31" s="1517"/>
      <c r="X31" s="3787"/>
      <c r="Y31" s="3787"/>
      <c r="Z31" s="1427"/>
      <c r="AA31" s="1519"/>
      <c r="AB31" s="3840"/>
      <c r="AC31" s="3840"/>
      <c r="AD31" s="3840"/>
      <c r="AE31" s="3840"/>
      <c r="AF31" s="3840"/>
      <c r="AG31" s="3840"/>
      <c r="AH31" s="3840"/>
      <c r="AI31" s="3841"/>
      <c r="AJ31"/>
    </row>
    <row r="32" spans="4:64" ht="14.25" customHeight="1">
      <c r="D32" s="3846"/>
      <c r="E32" s="3842"/>
      <c r="F32" s="3842"/>
      <c r="G32" s="3834"/>
      <c r="H32" s="1524"/>
      <c r="I32" s="3845"/>
      <c r="J32" s="3804"/>
      <c r="K32" s="1507"/>
      <c r="L32" s="3787"/>
      <c r="M32" s="3787"/>
      <c r="N32" s="1514"/>
      <c r="O32" s="3787"/>
      <c r="P32" s="3804"/>
      <c r="Q32" s="1515"/>
      <c r="R32" s="3787"/>
      <c r="S32" s="3787"/>
      <c r="T32" s="1520"/>
      <c r="U32" s="1521"/>
      <c r="V32" s="3840"/>
      <c r="W32" s="3840"/>
      <c r="X32" s="3840"/>
      <c r="Y32" s="3840"/>
      <c r="Z32" s="3840"/>
      <c r="AA32" s="3840"/>
      <c r="AB32" s="3840"/>
      <c r="AC32" s="3840"/>
      <c r="AD32" s="3840"/>
      <c r="AE32" s="3840"/>
      <c r="AF32" s="3840"/>
      <c r="AG32" s="3840"/>
      <c r="AH32" s="3840"/>
      <c r="AI32" s="3841"/>
      <c r="AJ32"/>
    </row>
    <row r="33" spans="4:64" ht="11.25" customHeight="1">
      <c r="D33" s="3846"/>
      <c r="E33" s="3842"/>
      <c r="F33" s="3842"/>
      <c r="G33" s="3834"/>
      <c r="H33" s="1525"/>
      <c r="I33" s="3845"/>
      <c r="J33" s="3804"/>
      <c r="K33" s="1507"/>
      <c r="L33" s="3787"/>
      <c r="M33" s="3787"/>
      <c r="N33" s="1519"/>
      <c r="O33" s="1519"/>
      <c r="P33" s="3840"/>
      <c r="Q33" s="3840"/>
      <c r="R33" s="3840"/>
      <c r="S33" s="3840"/>
      <c r="T33" s="3840"/>
      <c r="U33" s="3840"/>
      <c r="V33" s="3840"/>
      <c r="W33" s="3840"/>
      <c r="X33" s="3840"/>
      <c r="Y33" s="3840"/>
      <c r="Z33" s="3840"/>
      <c r="AA33" s="3840"/>
      <c r="AB33" s="3840"/>
      <c r="AC33" s="3840"/>
      <c r="AD33" s="3840"/>
      <c r="AE33" s="3840"/>
      <c r="AF33" s="3840"/>
      <c r="AG33" s="3840"/>
      <c r="AH33" s="3840"/>
      <c r="AI33" s="3841"/>
      <c r="AJ33"/>
    </row>
    <row r="34" spans="4:64" s="1479" customFormat="1" ht="11.25" customHeight="1">
      <c r="D34" s="3850"/>
      <c r="E34" s="3851"/>
      <c r="F34" s="3843"/>
      <c r="G34" s="3764"/>
      <c r="H34" s="1522"/>
      <c r="I34" s="1526"/>
      <c r="J34" s="3848"/>
      <c r="K34" s="3848"/>
      <c r="L34" s="3848"/>
      <c r="M34" s="3848"/>
      <c r="N34" s="3848"/>
      <c r="O34" s="3848"/>
      <c r="P34" s="3848"/>
      <c r="Q34" s="3848"/>
      <c r="R34" s="3848"/>
      <c r="S34" s="3848"/>
      <c r="T34" s="3848"/>
      <c r="U34" s="3848"/>
      <c r="V34" s="3848"/>
      <c r="W34" s="3848"/>
      <c r="X34" s="3848"/>
      <c r="Y34" s="3848"/>
      <c r="Z34" s="3848"/>
      <c r="AA34" s="3848"/>
      <c r="AB34" s="3848"/>
      <c r="AC34" s="3848"/>
      <c r="AD34" s="3848"/>
      <c r="AE34" s="3848"/>
      <c r="AF34" s="3848"/>
      <c r="AG34" s="3848"/>
      <c r="AH34" s="3848"/>
      <c r="AI34" s="384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3846" t="s">
        <v>117</v>
      </c>
      <c r="E35" s="3842" t="s">
        <v>322</v>
      </c>
      <c r="F35" s="3842" t="s">
        <v>327</v>
      </c>
      <c r="G35" s="3833" t="s">
        <v>55</v>
      </c>
      <c r="H35" s="1523"/>
      <c r="I35" s="3844"/>
      <c r="J35" s="3803"/>
      <c r="K35" s="1429"/>
      <c r="L35" s="3786"/>
      <c r="M35" s="3786"/>
      <c r="N35" s="1508"/>
      <c r="O35" s="3786"/>
      <c r="P35" s="3803"/>
      <c r="Q35" s="1509"/>
      <c r="R35" s="3786"/>
      <c r="S35" s="3786"/>
      <c r="T35" s="1510"/>
      <c r="U35" s="3786"/>
      <c r="V35" s="3803"/>
      <c r="W35" s="1511"/>
      <c r="X35" s="3786"/>
      <c r="Y35" s="3786"/>
      <c r="Z35" s="1508"/>
      <c r="AA35" s="3786"/>
      <c r="AB35" s="3803"/>
      <c r="AC35" s="1512"/>
      <c r="AD35" s="3786"/>
      <c r="AE35" s="3786"/>
      <c r="AF35" s="1428"/>
      <c r="AG35" s="1428"/>
      <c r="AH35" s="1513"/>
      <c r="AI35" s="1220"/>
      <c r="AJ35"/>
    </row>
    <row r="36" spans="4:64" ht="14.25" customHeight="1">
      <c r="D36" s="3846"/>
      <c r="E36" s="3842"/>
      <c r="F36" s="3842"/>
      <c r="G36" s="3834"/>
      <c r="H36" s="1524"/>
      <c r="I36" s="3845"/>
      <c r="J36" s="3804"/>
      <c r="K36" s="1507"/>
      <c r="L36" s="3787"/>
      <c r="M36" s="3787"/>
      <c r="N36" s="1514"/>
      <c r="O36" s="3787"/>
      <c r="P36" s="3804"/>
      <c r="Q36" s="1515"/>
      <c r="R36" s="3787"/>
      <c r="S36" s="3787"/>
      <c r="T36" s="1516"/>
      <c r="U36" s="3787"/>
      <c r="V36" s="3804"/>
      <c r="W36" s="1517"/>
      <c r="X36" s="3787"/>
      <c r="Y36" s="3787"/>
      <c r="Z36" s="1514"/>
      <c r="AA36" s="3787"/>
      <c r="AB36" s="3804"/>
      <c r="AC36" s="1518"/>
      <c r="AD36" s="3787"/>
      <c r="AE36" s="3787"/>
      <c r="AF36" s="1519"/>
      <c r="AG36" s="1519"/>
      <c r="AH36" s="3840"/>
      <c r="AI36" s="3841"/>
      <c r="AJ36"/>
    </row>
    <row r="37" spans="4:64" ht="14.25" customHeight="1">
      <c r="D37" s="3846"/>
      <c r="E37" s="3842"/>
      <c r="F37" s="3842"/>
      <c r="G37" s="3834"/>
      <c r="H37" s="1524"/>
      <c r="I37" s="3845"/>
      <c r="J37" s="3804"/>
      <c r="K37" s="1507"/>
      <c r="L37" s="3787"/>
      <c r="M37" s="3787"/>
      <c r="N37" s="1514"/>
      <c r="O37" s="3787"/>
      <c r="P37" s="3804"/>
      <c r="Q37" s="1515"/>
      <c r="R37" s="3787"/>
      <c r="S37" s="3787"/>
      <c r="T37" s="1516"/>
      <c r="U37" s="3787"/>
      <c r="V37" s="3804"/>
      <c r="W37" s="1517"/>
      <c r="X37" s="3787"/>
      <c r="Y37" s="3787"/>
      <c r="Z37" s="1427"/>
      <c r="AA37" s="1519"/>
      <c r="AB37" s="3840"/>
      <c r="AC37" s="3840"/>
      <c r="AD37" s="3840"/>
      <c r="AE37" s="3840"/>
      <c r="AF37" s="3840"/>
      <c r="AG37" s="3840"/>
      <c r="AH37" s="3840"/>
      <c r="AI37" s="3841"/>
      <c r="AJ37"/>
    </row>
    <row r="38" spans="4:64" ht="14.25" customHeight="1">
      <c r="D38" s="3846"/>
      <c r="E38" s="3842"/>
      <c r="F38" s="3842"/>
      <c r="G38" s="3834"/>
      <c r="H38" s="1524"/>
      <c r="I38" s="3845"/>
      <c r="J38" s="3804"/>
      <c r="K38" s="1507"/>
      <c r="L38" s="3787"/>
      <c r="M38" s="3787"/>
      <c r="N38" s="1514"/>
      <c r="O38" s="3787"/>
      <c r="P38" s="3804"/>
      <c r="Q38" s="1515"/>
      <c r="R38" s="3787"/>
      <c r="S38" s="3787"/>
      <c r="T38" s="1520"/>
      <c r="U38" s="1521"/>
      <c r="V38" s="3840"/>
      <c r="W38" s="3840"/>
      <c r="X38" s="3840"/>
      <c r="Y38" s="3840"/>
      <c r="Z38" s="3840"/>
      <c r="AA38" s="3840"/>
      <c r="AB38" s="3840"/>
      <c r="AC38" s="3840"/>
      <c r="AD38" s="3840"/>
      <c r="AE38" s="3840"/>
      <c r="AF38" s="3840"/>
      <c r="AG38" s="3840"/>
      <c r="AH38" s="3840"/>
      <c r="AI38" s="3841"/>
      <c r="AJ38"/>
    </row>
    <row r="39" spans="4:64" ht="11.25" customHeight="1">
      <c r="D39" s="3846"/>
      <c r="E39" s="3842"/>
      <c r="F39" s="3842"/>
      <c r="G39" s="3834"/>
      <c r="H39" s="1525"/>
      <c r="I39" s="3845"/>
      <c r="J39" s="3804"/>
      <c r="K39" s="1507"/>
      <c r="L39" s="3787"/>
      <c r="M39" s="3787"/>
      <c r="N39" s="1519"/>
      <c r="O39" s="1519"/>
      <c r="P39" s="3840"/>
      <c r="Q39" s="3840"/>
      <c r="R39" s="3840"/>
      <c r="S39" s="3840"/>
      <c r="T39" s="3840"/>
      <c r="U39" s="3840"/>
      <c r="V39" s="3840"/>
      <c r="W39" s="3840"/>
      <c r="X39" s="3840"/>
      <c r="Y39" s="3840"/>
      <c r="Z39" s="3840"/>
      <c r="AA39" s="3840"/>
      <c r="AB39" s="3840"/>
      <c r="AC39" s="3840"/>
      <c r="AD39" s="3840"/>
      <c r="AE39" s="3840"/>
      <c r="AF39" s="3840"/>
      <c r="AG39" s="3840"/>
      <c r="AH39" s="3840"/>
      <c r="AI39" s="3841"/>
      <c r="AJ39"/>
    </row>
    <row r="40" spans="4:64" s="1479" customFormat="1" ht="11.25" customHeight="1">
      <c r="D40" s="3846"/>
      <c r="E40" s="3842"/>
      <c r="F40" s="3847"/>
      <c r="G40" s="3764"/>
      <c r="H40" s="1522"/>
      <c r="I40" s="1526"/>
      <c r="J40" s="3848"/>
      <c r="K40" s="3848"/>
      <c r="L40" s="3848"/>
      <c r="M40" s="3848"/>
      <c r="N40" s="3848"/>
      <c r="O40" s="3848"/>
      <c r="P40" s="3848"/>
      <c r="Q40" s="3848"/>
      <c r="R40" s="3848"/>
      <c r="S40" s="3848"/>
      <c r="T40" s="3848"/>
      <c r="U40" s="3848"/>
      <c r="V40" s="3848"/>
      <c r="W40" s="3848"/>
      <c r="X40" s="3848"/>
      <c r="Y40" s="3848"/>
      <c r="Z40" s="3848"/>
      <c r="AA40" s="3848"/>
      <c r="AB40" s="3848"/>
      <c r="AC40" s="3848"/>
      <c r="AD40" s="3848"/>
      <c r="AE40" s="3848"/>
      <c r="AF40" s="3848"/>
      <c r="AG40" s="3848"/>
      <c r="AH40" s="3848"/>
      <c r="AI40" s="384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328</v>
      </c>
    </row>
    <row r="2" spans="1:9" ht="11.25" hidden="1" customHeight="1"/>
    <row r="3" spans="1:9" s="401" customFormat="1" ht="11.25" customHeight="1">
      <c r="A3" s="1606"/>
      <c r="B3" s="425"/>
      <c r="D3" s="402"/>
    </row>
    <row r="4" spans="1:9" ht="25.5" customHeight="1">
      <c r="D4" s="3813" t="str">
        <f>ORG_INFO_NAME_FORM</f>
        <v>Форма 1. Информация об организации, осуществляющей холодное водоснабжение (общая информация)</v>
      </c>
      <c r="E4" s="3814"/>
      <c r="F4" s="3815"/>
      <c r="I4" s="632"/>
    </row>
    <row r="5" spans="1:9" ht="17.25" customHeight="1">
      <c r="D5" s="3839" t="str">
        <f>IF(org=0,"Не определено",org)</f>
        <v>ГУП СК "Ставрополькрайводоканал"</v>
      </c>
      <c r="E5" s="3839"/>
      <c r="F5" s="3839"/>
      <c r="I5" s="632"/>
    </row>
    <row r="6" spans="1:9" s="401" customFormat="1" ht="11.25" customHeight="1">
      <c r="A6" s="1606"/>
      <c r="B6" s="425"/>
      <c r="D6" s="631"/>
      <c r="E6" s="631"/>
      <c r="F6" s="667"/>
      <c r="G6" s="631"/>
    </row>
    <row r="7" spans="1:9" ht="11.25" hidden="1" customHeight="1">
      <c r="A7" s="381"/>
      <c r="B7" s="426"/>
      <c r="C7" s="381"/>
      <c r="D7" s="387"/>
      <c r="E7" s="3866"/>
      <c r="F7" s="3866"/>
    </row>
    <row r="8" spans="1:9" ht="11.25" customHeight="1">
      <c r="A8" s="381"/>
      <c r="B8" s="426"/>
      <c r="C8" s="381"/>
      <c r="D8" s="3862" t="s">
        <v>329</v>
      </c>
      <c r="E8" s="3863"/>
      <c r="F8" s="3863"/>
      <c r="G8" s="3867" t="s">
        <v>330</v>
      </c>
    </row>
    <row r="9" spans="1:9" ht="11.25" customHeight="1">
      <c r="A9" s="381"/>
      <c r="B9" s="426"/>
      <c r="C9" s="381"/>
      <c r="D9" s="396" t="s">
        <v>86</v>
      </c>
      <c r="E9" s="372" t="s">
        <v>331</v>
      </c>
      <c r="F9" s="372" t="s">
        <v>332</v>
      </c>
      <c r="G9" s="3868"/>
    </row>
    <row r="10" spans="1:9" ht="12" hidden="1" customHeight="1">
      <c r="A10" s="381"/>
      <c r="B10" s="426"/>
      <c r="C10" s="381"/>
      <c r="D10" s="388"/>
      <c r="E10" s="388"/>
      <c r="F10" s="388"/>
      <c r="G10" s="388"/>
    </row>
    <row r="11" spans="1:9" ht="22.5" hidden="1" customHeight="1">
      <c r="A11" s="381"/>
      <c r="B11" s="426"/>
      <c r="C11" s="381"/>
      <c r="D11" s="920" t="s">
        <v>129</v>
      </c>
      <c r="E11" s="923" t="s">
        <v>333</v>
      </c>
      <c r="F11" s="922" t="str">
        <f>IF(region_name="","",region_name)</f>
        <v>Ставропольский край</v>
      </c>
      <c r="G11" s="923" t="s">
        <v>334</v>
      </c>
      <c r="H11" s="399"/>
    </row>
    <row r="12" spans="1:9" ht="22.5" hidden="1" customHeight="1">
      <c r="A12" s="381"/>
      <c r="B12" s="426"/>
      <c r="C12" s="381"/>
      <c r="D12" s="371" t="s">
        <v>129</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335</v>
      </c>
      <c r="G12" s="398"/>
      <c r="H12" s="399"/>
    </row>
    <row r="13" spans="1:9" ht="22.5" customHeight="1">
      <c r="A13" s="381"/>
      <c r="B13" s="426"/>
      <c r="C13" s="381"/>
      <c r="D13" s="371" t="s">
        <v>129</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336</v>
      </c>
      <c r="E14" s="921" t="s">
        <v>337</v>
      </c>
      <c r="F14" s="922" t="str">
        <f>IF(inn="","",inn)</f>
        <v>2635040105</v>
      </c>
      <c r="G14" s="923" t="s">
        <v>338</v>
      </c>
      <c r="H14" s="399"/>
    </row>
    <row r="15" spans="1:9" ht="22.5" hidden="1" customHeight="1">
      <c r="A15" s="381"/>
      <c r="B15" s="426"/>
      <c r="C15" s="381"/>
      <c r="D15" s="920" t="s">
        <v>339</v>
      </c>
      <c r="E15" s="921" t="s">
        <v>340</v>
      </c>
      <c r="F15" s="922" t="str">
        <f>IF(kpp="","",kpp)</f>
        <v>263501001</v>
      </c>
      <c r="G15" s="923" t="s">
        <v>341</v>
      </c>
      <c r="H15" s="399"/>
    </row>
    <row r="16" spans="1:9" ht="36.75" customHeight="1">
      <c r="A16" s="381"/>
      <c r="B16" s="426"/>
      <c r="C16" s="381"/>
      <c r="D16" s="371" t="s">
        <v>102</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3864">
        <v>1</v>
      </c>
      <c r="B19" s="426"/>
      <c r="C19" s="3869"/>
      <c r="D19" s="366">
        <v>5</v>
      </c>
      <c r="E19" s="368" t="s">
        <v>342</v>
      </c>
      <c r="F19" s="369" t="s">
        <v>335</v>
      </c>
      <c r="G19" s="370" t="s">
        <v>343</v>
      </c>
      <c r="H19" s="399"/>
      <c r="I19" s="766"/>
    </row>
    <row r="20" spans="1:9" ht="33.75" hidden="1" customHeight="1">
      <c r="A20" s="3864"/>
      <c r="B20" s="426"/>
      <c r="C20" s="3869"/>
      <c r="D20" s="371" t="s">
        <v>344</v>
      </c>
      <c r="E20" s="365" t="s">
        <v>345</v>
      </c>
      <c r="F20" s="795" t="s">
        <v>24</v>
      </c>
      <c r="G20" s="398"/>
      <c r="H20" s="399"/>
      <c r="I20" s="766"/>
    </row>
    <row r="21" spans="1:9" ht="22.5" hidden="1" customHeight="1">
      <c r="A21" s="3864"/>
      <c r="B21" s="426"/>
      <c r="C21" s="3869"/>
      <c r="D21" s="371" t="s">
        <v>346</v>
      </c>
      <c r="E21" s="365" t="s">
        <v>347</v>
      </c>
      <c r="F21" s="1652" t="s">
        <v>24</v>
      </c>
      <c r="G21" s="370" t="s">
        <v>348</v>
      </c>
      <c r="H21" s="399"/>
      <c r="I21" s="766"/>
    </row>
    <row r="22" spans="1:9" ht="22.5" hidden="1" customHeight="1">
      <c r="A22" s="3864"/>
      <c r="B22" s="426"/>
      <c r="C22" s="3869"/>
      <c r="D22" s="371" t="s">
        <v>349</v>
      </c>
      <c r="E22" s="365" t="s">
        <v>350</v>
      </c>
      <c r="F22" s="795" t="s">
        <v>24</v>
      </c>
      <c r="G22" s="398"/>
      <c r="H22" s="399"/>
      <c r="I22" s="766"/>
    </row>
    <row r="23" spans="1:9" ht="22.5" hidden="1" customHeight="1">
      <c r="A23" s="3864"/>
      <c r="B23" s="426"/>
      <c r="C23" s="3869"/>
      <c r="D23" s="371" t="s">
        <v>351</v>
      </c>
      <c r="E23" s="365" t="s">
        <v>352</v>
      </c>
      <c r="F23" s="795" t="s">
        <v>24</v>
      </c>
      <c r="G23" s="370" t="s">
        <v>353</v>
      </c>
      <c r="H23" s="399"/>
      <c r="I23" s="766"/>
    </row>
    <row r="24" spans="1:9" s="425" customFormat="1" ht="24.75" hidden="1" customHeight="1">
      <c r="A24" s="381"/>
      <c r="B24" s="426"/>
      <c r="C24" s="426"/>
      <c r="D24" s="917" t="s">
        <v>88</v>
      </c>
      <c r="E24" s="919" t="s">
        <v>354</v>
      </c>
      <c r="F24" s="924" t="s">
        <v>335</v>
      </c>
      <c r="G24" s="919"/>
    </row>
    <row r="25" spans="1:9" s="425" customFormat="1" ht="11.25" hidden="1" customHeight="1">
      <c r="A25" s="381"/>
      <c r="B25" s="426"/>
      <c r="C25" s="426"/>
      <c r="D25" s="917" t="s">
        <v>355</v>
      </c>
      <c r="E25" s="918" t="s">
        <v>356</v>
      </c>
      <c r="F25" s="924" t="s">
        <v>335</v>
      </c>
      <c r="G25" s="919"/>
    </row>
    <row r="26" spans="1:9" s="425" customFormat="1" ht="11.25" hidden="1" customHeight="1">
      <c r="A26" s="381"/>
      <c r="B26" s="426"/>
      <c r="C26" s="426"/>
      <c r="D26" s="917" t="s">
        <v>357</v>
      </c>
      <c r="E26" s="925" t="s">
        <v>358</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359</v>
      </c>
      <c r="E27" s="925" t="s">
        <v>360</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361</v>
      </c>
      <c r="E28" s="925" t="s">
        <v>362</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363</v>
      </c>
      <c r="E29" s="918" t="s">
        <v>364</v>
      </c>
      <c r="F29" s="926"/>
      <c r="G29" s="919"/>
    </row>
    <row r="30" spans="1:9" s="425" customFormat="1" ht="11.25" hidden="1" customHeight="1">
      <c r="A30" s="381"/>
      <c r="B30" s="426"/>
      <c r="C30" s="426"/>
      <c r="D30" s="917" t="s">
        <v>365</v>
      </c>
      <c r="E30" s="918" t="s">
        <v>366</v>
      </c>
      <c r="F30" s="926"/>
      <c r="G30" s="919"/>
    </row>
    <row r="31" spans="1:9" s="425" customFormat="1" ht="11.25" hidden="1" customHeight="1">
      <c r="A31" s="381"/>
      <c r="B31" s="426"/>
      <c r="C31" s="426"/>
      <c r="D31" s="917" t="s">
        <v>367</v>
      </c>
      <c r="E31" s="918" t="s">
        <v>368</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335</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369</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369</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335</v>
      </c>
      <c r="G38" s="38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3871"/>
      <c r="H39" s="399"/>
    </row>
    <row r="40" spans="1:8" ht="22.5" customHeight="1">
      <c r="A40" s="381"/>
      <c r="B40" s="381"/>
      <c r="C40" s="1608"/>
      <c r="D40" s="366" t="str">
        <f>D38&amp;".1"</f>
        <v>8.1</v>
      </c>
      <c r="E40" s="774"/>
      <c r="F40" s="775"/>
      <c r="G40" s="3871"/>
      <c r="H40" s="399"/>
    </row>
    <row r="41" spans="1:8" ht="15" customHeight="1">
      <c r="A41" s="381"/>
      <c r="B41" s="426"/>
      <c r="C41" s="381"/>
      <c r="D41" s="391"/>
      <c r="E41" s="344" t="s">
        <v>370</v>
      </c>
      <c r="F41" s="393"/>
      <c r="G41" s="3872"/>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371</v>
      </c>
      <c r="H43" s="399"/>
    </row>
    <row r="44" spans="1:8" ht="22.5" customHeight="1">
      <c r="A44" s="381"/>
      <c r="B44" s="426"/>
      <c r="C44" s="381"/>
      <c r="D44" s="366">
        <f>D43+1</f>
        <v>11</v>
      </c>
      <c r="E44" s="364" t="s">
        <v>372</v>
      </c>
      <c r="F44" s="369" t="s">
        <v>335</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373</v>
      </c>
      <c r="H45" s="399"/>
    </row>
    <row r="46" spans="1:8" ht="22.5" customHeight="1">
      <c r="A46" s="3860"/>
      <c r="B46" s="426"/>
      <c r="C46" s="416"/>
      <c r="D46" s="366" t="str">
        <f>D44&amp;".2"</f>
        <v>11.2</v>
      </c>
      <c r="E46" s="368" t="s">
        <v>374</v>
      </c>
      <c r="F46" s="414"/>
      <c r="G46" s="363" t="s">
        <v>375</v>
      </c>
      <c r="H46" s="399"/>
    </row>
    <row r="47" spans="1:8" ht="22.5" customHeight="1">
      <c r="A47" s="3860"/>
      <c r="B47" s="426"/>
      <c r="C47" s="416"/>
      <c r="D47" s="366" t="str">
        <f>D44&amp;".3"</f>
        <v>11.3</v>
      </c>
      <c r="E47" s="368" t="s">
        <v>376</v>
      </c>
      <c r="F47" s="414"/>
      <c r="G47" s="363" t="s">
        <v>377</v>
      </c>
      <c r="H47" s="399"/>
    </row>
    <row r="48" spans="1:8" ht="22.5" customHeight="1">
      <c r="A48" s="3860"/>
      <c r="B48" s="426"/>
      <c r="C48" s="416"/>
      <c r="D48" s="366" t="str">
        <f>IF(TEMPLATE_SPHERE="TKO",D44&amp;".0",D44&amp;".4")</f>
        <v>11.4</v>
      </c>
      <c r="E48" s="362" t="s">
        <v>378</v>
      </c>
      <c r="F48" s="1605"/>
      <c r="G48" s="1681" t="s">
        <v>379</v>
      </c>
      <c r="H48" s="399"/>
    </row>
    <row r="49" spans="1:9" ht="22.5" customHeight="1">
      <c r="A49" s="381"/>
      <c r="B49" s="426"/>
      <c r="C49" s="381"/>
      <c r="D49" s="391"/>
      <c r="E49" s="344" t="s">
        <v>380</v>
      </c>
      <c r="F49" s="392"/>
      <c r="G49" s="1681" t="s">
        <v>381</v>
      </c>
      <c r="H49" s="400"/>
    </row>
    <row r="50" spans="1:9" ht="22.5" customHeight="1">
      <c r="A50" s="772"/>
      <c r="B50" s="426"/>
      <c r="C50" s="416"/>
      <c r="D50" s="366">
        <f>D44+1</f>
        <v>12</v>
      </c>
      <c r="E50" s="452" t="s">
        <v>382</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3861"/>
      <c r="D52" s="38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865"/>
      <c r="F52" s="3865"/>
      <c r="G52" s="3865"/>
      <c r="H52" s="378"/>
      <c r="I52" s="378"/>
    </row>
    <row r="53" spans="1:9" s="384" customFormat="1" ht="39.75" customHeight="1">
      <c r="A53" s="381"/>
      <c r="B53" s="426"/>
      <c r="C53" s="3861"/>
      <c r="D53" s="386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865"/>
      <c r="F53" s="3865"/>
      <c r="G53" s="3865"/>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3756" t="s">
        <v>383</v>
      </c>
      <c r="I1" s="3756"/>
      <c r="J1" s="3756"/>
      <c r="K1" s="3756"/>
      <c r="L1" s="3756"/>
      <c r="M1" s="3756"/>
      <c r="N1" s="3756"/>
      <c r="O1" s="3756"/>
      <c r="P1" s="3756"/>
      <c r="Q1" s="3756"/>
      <c r="R1" s="3756"/>
      <c r="T1" s="3756" t="s">
        <v>384</v>
      </c>
      <c r="U1" s="3756"/>
      <c r="V1" s="3756"/>
      <c r="X1" s="3756" t="s">
        <v>385</v>
      </c>
      <c r="Y1" s="3756"/>
      <c r="Z1" s="3756"/>
      <c r="AB1" s="3756" t="s">
        <v>386</v>
      </c>
      <c r="AC1" s="3756"/>
    </row>
    <row r="2" spans="1:45" ht="14.25" hidden="1" customHeight="1"/>
    <row r="3" spans="1:45" s="1534" customFormat="1" ht="6" customHeight="1">
      <c r="C3" s="618"/>
      <c r="D3" s="619"/>
      <c r="E3" s="619"/>
      <c r="F3" s="619"/>
      <c r="G3" s="619"/>
      <c r="H3" s="619" t="s">
        <v>387</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3813" t="str">
        <f>ORG_VD_NAME_FORM</f>
        <v>Форма 1. Информация об организации, осуществляющей холодное водоснабжение (общая информация)</v>
      </c>
      <c r="E4" s="3814"/>
      <c r="F4" s="3814"/>
      <c r="G4" s="3814"/>
      <c r="H4" s="3814"/>
      <c r="I4" s="3814"/>
      <c r="J4" s="3814"/>
      <c r="K4" s="3814"/>
      <c r="L4" s="3814"/>
      <c r="M4" s="3814"/>
      <c r="N4" s="3814"/>
      <c r="O4" s="3814"/>
      <c r="P4" s="3814"/>
      <c r="Q4" s="3814"/>
      <c r="R4" s="3815"/>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3873" t="str">
        <f>IF(org=0,"Не определено",org)</f>
        <v>ГУП СК "Ставрополькрайводоканал"</v>
      </c>
      <c r="E5" s="3874"/>
      <c r="F5" s="3874"/>
      <c r="G5" s="3874"/>
      <c r="H5" s="3874"/>
      <c r="I5" s="3874"/>
      <c r="J5" s="3874"/>
      <c r="K5" s="3874"/>
      <c r="L5" s="3874"/>
      <c r="M5" s="3874"/>
      <c r="N5" s="3874"/>
      <c r="O5" s="3874"/>
      <c r="P5" s="3874"/>
      <c r="Q5" s="3874"/>
      <c r="R5" s="3875"/>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3876" t="s">
        <v>329</v>
      </c>
      <c r="E7" s="3877"/>
      <c r="F7" s="3877"/>
      <c r="G7" s="3877"/>
      <c r="H7" s="3877"/>
      <c r="I7" s="3877"/>
      <c r="J7" s="3877"/>
      <c r="K7" s="3877"/>
      <c r="L7" s="3877"/>
      <c r="M7" s="3877"/>
      <c r="N7" s="3877"/>
      <c r="O7" s="3877"/>
      <c r="P7" s="3877"/>
      <c r="Q7" s="3877"/>
      <c r="R7" s="3877"/>
      <c r="S7" s="3877"/>
      <c r="T7" s="3877"/>
      <c r="U7" s="3877"/>
      <c r="V7" s="3877"/>
      <c r="W7" s="3877"/>
      <c r="X7" s="3877"/>
      <c r="Y7" s="3877"/>
      <c r="Z7" s="3877"/>
      <c r="AA7" s="3877"/>
      <c r="AB7" s="3877"/>
      <c r="AC7" s="3877"/>
      <c r="AD7" s="3878"/>
      <c r="AE7" s="3806" t="s">
        <v>330</v>
      </c>
      <c r="AF7" s="3806" t="s">
        <v>330</v>
      </c>
      <c r="AG7" s="3806" t="s">
        <v>330</v>
      </c>
      <c r="AH7" s="3806" t="s">
        <v>330</v>
      </c>
    </row>
    <row r="8" spans="1:45" ht="25.5" customHeight="1">
      <c r="C8" s="375"/>
      <c r="D8" s="3778" t="s">
        <v>86</v>
      </c>
      <c r="E8" s="3806" t="str">
        <f>"Наименование "&amp;IF(TEMPLATE_SPHERE&lt;&gt;"HEAT","централизованной ","")&amp;"системы "&amp;TEMPLATE_SPHERE_RUS</f>
        <v>Наименование централизованной системы холодного водоснабжения</v>
      </c>
      <c r="F8" s="3806" t="str">
        <f>IF(TEMPLATE_SPHERE&lt;&gt;"HEAT","Регулируемый вид деятельности","Вид регулируемой деятельности")</f>
        <v>Регулируемый вид деятельности</v>
      </c>
      <c r="G8" s="742"/>
      <c r="H8" s="3881" t="s">
        <v>388</v>
      </c>
      <c r="I8" s="3883" t="s">
        <v>389</v>
      </c>
      <c r="J8" s="3806" t="s">
        <v>390</v>
      </c>
      <c r="K8" s="3806"/>
      <c r="L8" s="3806"/>
      <c r="M8" s="3876"/>
      <c r="N8" s="3806" t="s">
        <v>391</v>
      </c>
      <c r="O8" s="3806"/>
      <c r="P8" s="3806" t="s">
        <v>392</v>
      </c>
      <c r="Q8" s="3806"/>
      <c r="R8" s="3885" t="s">
        <v>393</v>
      </c>
      <c r="S8" s="738"/>
      <c r="T8" s="3881" t="s">
        <v>394</v>
      </c>
      <c r="U8" s="3881" t="s">
        <v>395</v>
      </c>
      <c r="V8" s="3881" t="s">
        <v>396</v>
      </c>
      <c r="W8" s="740"/>
      <c r="X8" s="3881" t="s">
        <v>397</v>
      </c>
      <c r="Y8" s="3881" t="s">
        <v>398</v>
      </c>
      <c r="Z8" s="3881" t="s">
        <v>399</v>
      </c>
      <c r="AA8" s="740"/>
      <c r="AB8" s="3881" t="s">
        <v>400</v>
      </c>
      <c r="AC8" s="3881" t="s">
        <v>393</v>
      </c>
      <c r="AD8" s="740"/>
      <c r="AE8" s="3806"/>
      <c r="AF8" s="3806"/>
      <c r="AG8" s="3806"/>
      <c r="AH8" s="3806"/>
    </row>
    <row r="9" spans="1:45" ht="43.5" customHeight="1">
      <c r="C9" s="375"/>
      <c r="D9" s="3778"/>
      <c r="E9" s="3806"/>
      <c r="F9" s="3806"/>
      <c r="G9" s="743"/>
      <c r="H9" s="3882"/>
      <c r="I9" s="3884"/>
      <c r="J9" s="352" t="s">
        <v>401</v>
      </c>
      <c r="K9" s="352" t="s">
        <v>402</v>
      </c>
      <c r="L9" s="352" t="s">
        <v>403</v>
      </c>
      <c r="M9" s="357" t="s">
        <v>404</v>
      </c>
      <c r="N9" s="352" t="s">
        <v>405</v>
      </c>
      <c r="O9" s="352" t="s">
        <v>404</v>
      </c>
      <c r="P9" s="352" t="s">
        <v>406</v>
      </c>
      <c r="Q9" s="352" t="s">
        <v>404</v>
      </c>
      <c r="R9" s="3886"/>
      <c r="S9" s="739"/>
      <c r="T9" s="3882"/>
      <c r="U9" s="3882"/>
      <c r="V9" s="3882"/>
      <c r="W9" s="741"/>
      <c r="X9" s="3882"/>
      <c r="Y9" s="3882"/>
      <c r="Z9" s="3882"/>
      <c r="AA9" s="741"/>
      <c r="AB9" s="3882"/>
      <c r="AC9" s="3882"/>
      <c r="AD9" s="741"/>
      <c r="AE9" s="3806"/>
      <c r="AF9" s="3806"/>
      <c r="AG9" s="3806"/>
      <c r="AH9" s="3806"/>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407</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129</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3879" t="s">
        <v>408</v>
      </c>
      <c r="AF12" s="3879" t="s">
        <v>409</v>
      </c>
      <c r="AG12" s="3879" t="s">
        <v>410</v>
      </c>
      <c r="AH12" s="3879" t="s">
        <v>411</v>
      </c>
      <c r="AI12" s="373"/>
      <c r="AM12" s="435"/>
      <c r="AP12" s="424" t="s">
        <v>412</v>
      </c>
      <c r="AQ12" s="424" t="s">
        <v>412</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3880"/>
      <c r="AF13" s="3880"/>
      <c r="AG13" s="3880"/>
      <c r="AH13" s="3880"/>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3756" t="s">
        <v>383</v>
      </c>
      <c r="I1" s="3756"/>
    </row>
    <row r="2" spans="1:21" s="1555" customFormat="1" ht="14.25" hidden="1" customHeight="1">
      <c r="C2" s="1539"/>
      <c r="D2" s="3888" t="s">
        <v>129</v>
      </c>
      <c r="E2" s="3890"/>
      <c r="F2" s="1545"/>
      <c r="G2" s="1540" t="s">
        <v>129</v>
      </c>
      <c r="H2" s="1543"/>
      <c r="I2" s="1541"/>
      <c r="L2" s="1542"/>
      <c r="M2" s="1542"/>
      <c r="N2" s="1542"/>
      <c r="O2" s="1542" t="s">
        <v>413</v>
      </c>
      <c r="P2" s="1542"/>
      <c r="Q2" s="1542"/>
      <c r="R2" s="1544" t="s">
        <v>412</v>
      </c>
      <c r="S2" s="1544" t="s">
        <v>412</v>
      </c>
      <c r="T2" s="1542"/>
      <c r="U2" s="1542"/>
    </row>
    <row r="3" spans="1:21" s="1555" customFormat="1" ht="14.25" hidden="1" customHeight="1">
      <c r="C3" s="1539"/>
      <c r="D3" s="3889"/>
      <c r="E3" s="3891"/>
      <c r="F3" s="334"/>
      <c r="G3" s="783"/>
      <c r="H3" s="783" t="s">
        <v>414</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387</v>
      </c>
      <c r="I5" s="619"/>
      <c r="J5" s="619"/>
      <c r="L5" s="1535"/>
      <c r="M5" s="1535"/>
      <c r="N5" s="1535"/>
      <c r="O5" s="1535"/>
      <c r="P5" s="1535"/>
      <c r="Q5" s="1535"/>
      <c r="R5" s="1535"/>
      <c r="S5" s="1535"/>
      <c r="T5" s="1535"/>
      <c r="U5" s="1535"/>
    </row>
    <row r="6" spans="1:21" ht="27.75" customHeight="1">
      <c r="C6" s="1431"/>
      <c r="D6" s="3892" t="s">
        <v>415</v>
      </c>
      <c r="E6" s="3892"/>
      <c r="F6" s="3892"/>
      <c r="G6" s="3892"/>
      <c r="H6" s="3892"/>
      <c r="I6" s="3892"/>
      <c r="J6" s="415"/>
      <c r="K6" s="1536"/>
    </row>
    <row r="7" spans="1:21" ht="17.25" customHeight="1">
      <c r="C7" s="1431"/>
      <c r="D7" s="3839" t="str">
        <f>IF(org=0,"Не определено",org)</f>
        <v>ГУП СК "Ставрополькрайводоканал"</v>
      </c>
      <c r="E7" s="3839"/>
      <c r="F7" s="3839"/>
      <c r="G7" s="3839"/>
      <c r="H7" s="3839"/>
      <c r="I7" s="3839"/>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3876" t="s">
        <v>329</v>
      </c>
      <c r="E10" s="3877"/>
      <c r="F10" s="3877"/>
      <c r="G10" s="3877"/>
      <c r="H10" s="3877"/>
      <c r="I10" s="3877"/>
      <c r="J10" s="3806" t="s">
        <v>330</v>
      </c>
    </row>
    <row r="11" spans="1:21" ht="25.5" customHeight="1">
      <c r="C11" s="1431"/>
      <c r="D11" s="3778" t="s">
        <v>86</v>
      </c>
      <c r="E11" s="3806" t="str">
        <f>IF(TEMPLATE_SPHERE&lt;&gt;"HEAT","Регулируемый вид деятельности","Вид регулируемой деятельности")</f>
        <v>Регулируемый вид деятельности</v>
      </c>
      <c r="F11" s="3853" t="s">
        <v>86</v>
      </c>
      <c r="G11" s="3854"/>
      <c r="H11" s="3838" t="s">
        <v>416</v>
      </c>
      <c r="I11" s="3838" t="s">
        <v>417</v>
      </c>
      <c r="J11" s="3806"/>
    </row>
    <row r="12" spans="1:21" ht="14.25" customHeight="1">
      <c r="C12" s="1431"/>
      <c r="D12" s="3778"/>
      <c r="E12" s="3806"/>
      <c r="F12" s="3858"/>
      <c r="G12" s="3859"/>
      <c r="H12" s="3887"/>
      <c r="I12" s="3887"/>
      <c r="J12" s="3806"/>
    </row>
    <row r="13" spans="1:21" s="1561" customFormat="1" ht="11.25" hidden="1" customHeight="1">
      <c r="C13" s="422"/>
      <c r="D13" s="423" t="s">
        <v>407</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3888" t="s">
        <v>129</v>
      </c>
      <c r="E14" s="3890"/>
      <c r="F14" s="1538"/>
      <c r="G14" s="1537" t="s">
        <v>129</v>
      </c>
      <c r="H14" s="1543"/>
      <c r="I14" s="1541"/>
      <c r="J14" s="3823" t="s">
        <v>418</v>
      </c>
      <c r="K14" s="1530"/>
      <c r="R14" s="424" t="s">
        <v>412</v>
      </c>
      <c r="S14" s="424" t="s">
        <v>412</v>
      </c>
    </row>
    <row r="15" spans="1:21" ht="14.25" customHeight="1">
      <c r="A15" s="1530"/>
      <c r="C15" s="1431"/>
      <c r="D15" s="3889"/>
      <c r="E15" s="3891"/>
      <c r="F15" s="334"/>
      <c r="G15" s="783"/>
      <c r="H15" s="783" t="s">
        <v>414</v>
      </c>
      <c r="I15" s="229"/>
      <c r="J15" s="3824"/>
      <c r="K15" s="1530"/>
      <c r="R15" s="424"/>
      <c r="S15" s="424"/>
    </row>
    <row r="16" spans="1:21" ht="14.25" customHeight="1">
      <c r="A16" s="1530"/>
      <c r="C16" s="1431"/>
      <c r="D16" s="334"/>
      <c r="E16" s="783" t="s">
        <v>139</v>
      </c>
      <c r="F16" s="229"/>
      <c r="G16" s="229"/>
      <c r="H16" s="335"/>
      <c r="I16" s="335"/>
      <c r="J16" s="3825"/>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3771" t="s">
        <v>419</v>
      </c>
      <c r="F4" s="3771"/>
      <c r="G4" s="3772"/>
      <c r="H4" s="3772"/>
      <c r="I4" s="3773"/>
      <c r="J4" s="415"/>
      <c r="K4" s="377"/>
      <c r="L4" s="377"/>
    </row>
    <row r="5" spans="1:22" s="1555" customFormat="1" ht="17.25" customHeight="1">
      <c r="A5" s="674"/>
      <c r="D5" s="736"/>
      <c r="E5" s="3873" t="str">
        <f>IF(org=0,"Не определено",org)</f>
        <v>ГУП СК "Ставрополькрайводоканал"</v>
      </c>
      <c r="F5" s="3873"/>
      <c r="G5" s="3874"/>
      <c r="H5" s="3874"/>
      <c r="I5" s="3875"/>
      <c r="J5" s="415"/>
      <c r="K5" s="377"/>
      <c r="L5" s="377"/>
      <c r="M5" s="431"/>
    </row>
    <row r="6" spans="1:22" s="1533" customFormat="1" ht="11.25" customHeight="1">
      <c r="A6" s="403"/>
      <c r="D6" s="410"/>
      <c r="E6" s="405"/>
      <c r="F6" s="405"/>
      <c r="G6" s="408"/>
      <c r="H6" s="408"/>
      <c r="I6" s="409"/>
      <c r="J6" s="409"/>
      <c r="K6" s="667"/>
      <c r="L6" s="409"/>
    </row>
    <row r="7" spans="1:22" ht="14.25" customHeight="1">
      <c r="D7" s="375"/>
      <c r="E7" s="3867" t="s">
        <v>329</v>
      </c>
      <c r="F7" s="3867"/>
      <c r="G7" s="3868"/>
      <c r="H7" s="3868"/>
      <c r="I7" s="3868"/>
      <c r="J7" s="3868"/>
      <c r="K7" s="3868"/>
      <c r="L7" s="3806" t="s">
        <v>330</v>
      </c>
    </row>
    <row r="8" spans="1:22" ht="45" customHeight="1">
      <c r="D8" s="375"/>
      <c r="E8" s="397" t="s">
        <v>86</v>
      </c>
      <c r="F8" s="737"/>
      <c r="G8" s="389" t="s">
        <v>84</v>
      </c>
      <c r="H8" s="389" t="s">
        <v>85</v>
      </c>
      <c r="I8" s="343" t="s">
        <v>83</v>
      </c>
      <c r="J8" s="343" t="s">
        <v>420</v>
      </c>
      <c r="K8" s="343" t="s">
        <v>421</v>
      </c>
      <c r="L8" s="3806"/>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3879" t="s">
        <v>422</v>
      </c>
      <c r="M10" s="431"/>
      <c r="N10" s="429"/>
      <c r="O10" s="429"/>
      <c r="P10" s="429"/>
      <c r="Q10" s="429"/>
      <c r="R10" s="429"/>
      <c r="S10" s="429"/>
      <c r="T10" s="429"/>
      <c r="U10" s="429"/>
      <c r="V10" s="429"/>
    </row>
    <row r="11" spans="1:22" ht="15" hidden="1" customHeight="1">
      <c r="A11" s="3752"/>
      <c r="B11" s="428"/>
      <c r="C11" s="428"/>
      <c r="D11" s="779"/>
      <c r="E11" s="437"/>
      <c r="F11" s="437"/>
      <c r="G11" s="437"/>
      <c r="H11" s="437"/>
      <c r="I11" s="438"/>
      <c r="J11" s="439"/>
      <c r="K11" s="630"/>
      <c r="L11" s="3893"/>
      <c r="M11" s="435"/>
      <c r="N11" s="435"/>
      <c r="O11" s="435"/>
      <c r="P11" s="440"/>
      <c r="Q11" s="440"/>
      <c r="R11" s="441"/>
      <c r="S11" s="435"/>
      <c r="T11" s="435"/>
      <c r="U11" s="435"/>
      <c r="V11" s="435"/>
    </row>
    <row r="12" spans="1:22" s="1533" customFormat="1" ht="14.25" customHeight="1">
      <c r="A12" s="3752"/>
      <c r="B12" s="428"/>
      <c r="C12" s="428"/>
      <c r="D12" s="780"/>
      <c r="E12" s="737">
        <v>1</v>
      </c>
      <c r="F12" s="778">
        <v>23</v>
      </c>
      <c r="G12" s="777"/>
      <c r="H12" s="707"/>
      <c r="I12" s="705"/>
      <c r="J12" s="444" t="s">
        <v>60</v>
      </c>
      <c r="K12" s="1069" t="s">
        <v>24</v>
      </c>
      <c r="L12" s="3893"/>
      <c r="M12" s="435"/>
      <c r="N12" s="435"/>
      <c r="O12" s="435"/>
      <c r="P12" s="440" t="s">
        <v>423</v>
      </c>
      <c r="Q12" s="440" t="s">
        <v>424</v>
      </c>
      <c r="R12" s="441" t="s">
        <v>425</v>
      </c>
      <c r="S12" s="435" t="s">
        <v>426</v>
      </c>
      <c r="T12" s="435"/>
      <c r="U12" s="435"/>
      <c r="V12" s="435"/>
    </row>
    <row r="13" spans="1:22" ht="15" customHeight="1">
      <c r="A13" s="3752"/>
      <c r="B13" s="429"/>
      <c r="D13" s="430"/>
      <c r="E13" s="334"/>
      <c r="F13" s="453"/>
      <c r="G13" s="345" t="s">
        <v>101</v>
      </c>
      <c r="H13" s="333"/>
      <c r="I13" s="333"/>
      <c r="J13" s="333"/>
      <c r="K13" s="332"/>
      <c r="L13" s="3880"/>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908">
        <v>1</v>
      </c>
      <c r="F2" s="1284"/>
      <c r="G2" s="1284"/>
      <c r="H2" s="1284"/>
      <c r="I2" s="1284"/>
      <c r="J2" s="1284"/>
      <c r="K2" s="1284"/>
      <c r="L2" s="1285"/>
      <c r="M2" s="1286"/>
      <c r="N2" s="1286"/>
      <c r="O2" s="1286"/>
      <c r="P2" s="282"/>
      <c r="Q2" s="281"/>
      <c r="R2" s="276"/>
      <c r="S2" s="1232" t="e">
        <f>INDEX(PT_DIFFERENTIATION_NUM_NTAR,MATCH(A2,PT_DIFFERENTIATION_NTAR_ID,0))</f>
        <v>#N/A</v>
      </c>
      <c r="T2" s="212" t="s">
        <v>141</v>
      </c>
      <c r="U2" s="214"/>
      <c r="V2" s="3894"/>
      <c r="W2" s="3895"/>
      <c r="X2" s="3895"/>
      <c r="Y2" s="3895"/>
      <c r="Z2" s="3895"/>
      <c r="AA2" s="3895"/>
      <c r="AB2" s="3895"/>
      <c r="AC2" s="3896"/>
      <c r="AD2" s="3894" t="e">
        <f>INDEX(PT_DIFFERENTIATION_NTAR,MATCH(A2,PT_DIFFERENTIATION_NTAR_ID,0))</f>
        <v>#N/A</v>
      </c>
      <c r="AE2" s="3895"/>
      <c r="AF2" s="3895"/>
      <c r="AG2" s="3895"/>
      <c r="AH2" s="3895"/>
      <c r="AI2" s="3895"/>
      <c r="AJ2" s="3895"/>
      <c r="AK2" s="3895"/>
      <c r="AL2" s="3896"/>
      <c r="AM2" s="1182" t="s">
        <v>427</v>
      </c>
      <c r="AO2" s="424"/>
      <c r="AP2" s="424" t="str">
        <f t="shared" ref="AP2:AP15" si="0">IF(T2="","",T2)</f>
        <v>Наименование тарифа</v>
      </c>
      <c r="AQ2" s="424"/>
      <c r="AR2" s="424"/>
    </row>
    <row r="3" spans="1:44" ht="21" hidden="1" customHeight="1">
      <c r="A3" s="1284"/>
      <c r="B3" s="1284"/>
      <c r="C3" s="1284"/>
      <c r="D3" s="1284"/>
      <c r="E3" s="3909"/>
      <c r="F3" s="3908">
        <v>1</v>
      </c>
      <c r="G3" s="1284"/>
      <c r="H3" s="1284"/>
      <c r="I3" s="1284"/>
      <c r="J3" s="1284"/>
      <c r="K3" s="1284"/>
      <c r="L3" s="1285"/>
      <c r="M3" s="1286"/>
      <c r="N3" s="1286"/>
      <c r="O3" s="1286"/>
      <c r="P3" s="1228"/>
      <c r="Q3" s="273"/>
      <c r="R3" s="274"/>
      <c r="S3" s="1232" t="e">
        <f>INDEX(PT_DIFFERENTIATION_NUM_TER,MATCH(B3,PT_DIFFERENTIATION_TER_ID,0))</f>
        <v>#N/A</v>
      </c>
      <c r="T3" s="224" t="s">
        <v>428</v>
      </c>
      <c r="U3" s="214"/>
      <c r="V3" s="3894"/>
      <c r="W3" s="3895"/>
      <c r="X3" s="3895"/>
      <c r="Y3" s="3895"/>
      <c r="Z3" s="3895"/>
      <c r="AA3" s="3895"/>
      <c r="AB3" s="3895"/>
      <c r="AC3" s="3896"/>
      <c r="AD3" s="3894" t="e">
        <f>INDEX(PT_DIFFERENTIATION_TER,MATCH(B3,PT_DIFFERENTIATION_TER_ID,0))</f>
        <v>#N/A</v>
      </c>
      <c r="AE3" s="3895"/>
      <c r="AF3" s="3895"/>
      <c r="AG3" s="3895"/>
      <c r="AH3" s="3895"/>
      <c r="AI3" s="3895"/>
      <c r="AJ3" s="3895"/>
      <c r="AK3" s="3895"/>
      <c r="AL3" s="3896"/>
      <c r="AM3" s="1182" t="s">
        <v>429</v>
      </c>
      <c r="AO3" s="424"/>
      <c r="AP3" s="424" t="str">
        <f t="shared" si="0"/>
        <v>Территория действия тарифа</v>
      </c>
      <c r="AQ3" s="424"/>
      <c r="AR3" s="424"/>
    </row>
    <row r="4" spans="1:44" ht="23.25" hidden="1" customHeight="1">
      <c r="A4" s="1284"/>
      <c r="B4" s="1284"/>
      <c r="C4" s="1284"/>
      <c r="D4" s="1284"/>
      <c r="E4" s="3909"/>
      <c r="F4" s="3909"/>
      <c r="G4" s="3908">
        <v>1</v>
      </c>
      <c r="H4" s="1284"/>
      <c r="I4" s="1284"/>
      <c r="J4" s="1284"/>
      <c r="K4" s="1284"/>
      <c r="L4" s="1285"/>
      <c r="M4" s="1286"/>
      <c r="N4" s="1286"/>
      <c r="O4" s="1286"/>
      <c r="P4" s="275"/>
      <c r="Q4" s="273"/>
      <c r="R4" s="274"/>
      <c r="S4" s="1232" t="e">
        <f>INDEX(PT_DIFFERENTIATION_NUM_CS,MATCH(C4,PT_DIFFERENTIATION_CS_ID,0))</f>
        <v>#N/A</v>
      </c>
      <c r="T4" s="225" t="s">
        <v>430</v>
      </c>
      <c r="U4" s="214"/>
      <c r="V4" s="3894"/>
      <c r="W4" s="3895"/>
      <c r="X4" s="3895"/>
      <c r="Y4" s="3895"/>
      <c r="Z4" s="3895"/>
      <c r="AA4" s="3895"/>
      <c r="AB4" s="3895"/>
      <c r="AC4" s="3896"/>
      <c r="AD4" s="3894" t="e">
        <f>INDEX(PT_DIFFERENTIATION_CS,MATCH(C4,PT_DIFFERENTIATION_CS_ID,0))</f>
        <v>#N/A</v>
      </c>
      <c r="AE4" s="3895"/>
      <c r="AF4" s="3895"/>
      <c r="AG4" s="3895"/>
      <c r="AH4" s="3895"/>
      <c r="AI4" s="3895"/>
      <c r="AJ4" s="3895"/>
      <c r="AK4" s="3895"/>
      <c r="AL4" s="3896"/>
      <c r="AM4" s="1182" t="s">
        <v>431</v>
      </c>
      <c r="AO4" s="424"/>
      <c r="AP4" s="424" t="str">
        <f t="shared" si="0"/>
        <v xml:space="preserve">Наименование системы теплоснабжения </v>
      </c>
      <c r="AQ4" s="424"/>
      <c r="AR4" s="424"/>
    </row>
    <row r="5" spans="1:44" ht="21" hidden="1" customHeight="1">
      <c r="A5" s="1284"/>
      <c r="B5" s="1284"/>
      <c r="C5" s="1284"/>
      <c r="D5" s="1284"/>
      <c r="E5" s="3909"/>
      <c r="F5" s="3909"/>
      <c r="G5" s="3909"/>
      <c r="H5" s="3908">
        <v>1</v>
      </c>
      <c r="I5" s="1284"/>
      <c r="J5" s="1284"/>
      <c r="K5" s="1284"/>
      <c r="L5" s="1285"/>
      <c r="M5" s="1286"/>
      <c r="N5" s="1286"/>
      <c r="O5" s="1286"/>
      <c r="P5" s="275"/>
      <c r="Q5" s="273"/>
      <c r="R5" s="274"/>
      <c r="S5" s="1232" t="e">
        <f>INDEX(PT_DIFFERENTIATION_NUM_IST_TE,MATCH(D5,PT_DIFFERENTIATION_IST_TE_ID,0))</f>
        <v>#N/A</v>
      </c>
      <c r="T5" s="226" t="s">
        <v>432</v>
      </c>
      <c r="U5" s="214"/>
      <c r="V5" s="3894"/>
      <c r="W5" s="3895"/>
      <c r="X5" s="3895"/>
      <c r="Y5" s="3895"/>
      <c r="Z5" s="3895"/>
      <c r="AA5" s="3895"/>
      <c r="AB5" s="3895"/>
      <c r="AC5" s="3896"/>
      <c r="AD5" s="3894" t="e">
        <f>INDEX(PT_DIFFERENTIATION_IST_TE,MATCH(D5,PT_DIFFERENTIATION_IST_TE_ID,0))</f>
        <v>#N/A</v>
      </c>
      <c r="AE5" s="3895"/>
      <c r="AF5" s="3895"/>
      <c r="AG5" s="3895"/>
      <c r="AH5" s="3895"/>
      <c r="AI5" s="3895"/>
      <c r="AJ5" s="3895"/>
      <c r="AK5" s="3895"/>
      <c r="AL5" s="3896"/>
      <c r="AM5" s="1182" t="s">
        <v>433</v>
      </c>
      <c r="AO5" s="424"/>
      <c r="AP5" s="424" t="str">
        <f t="shared" si="0"/>
        <v xml:space="preserve">Источник тепловой энергии  </v>
      </c>
      <c r="AQ5" s="424"/>
      <c r="AR5" s="424"/>
    </row>
    <row r="6" spans="1:44" ht="47.25" hidden="1" customHeight="1">
      <c r="A6" s="1284"/>
      <c r="B6" s="1284"/>
      <c r="C6" s="1284"/>
      <c r="D6" s="1284"/>
      <c r="E6" s="3909"/>
      <c r="F6" s="3909"/>
      <c r="G6" s="3909"/>
      <c r="H6" s="3909"/>
      <c r="I6" s="3906" t="e">
        <f>S5&amp;".1"</f>
        <v>#N/A</v>
      </c>
      <c r="J6" s="1284"/>
      <c r="K6" s="1284"/>
      <c r="L6" s="1285" t="s">
        <v>434</v>
      </c>
      <c r="M6" s="460"/>
      <c r="P6" s="3907">
        <v>1</v>
      </c>
      <c r="Q6" s="1229"/>
      <c r="R6" s="277"/>
      <c r="S6" s="1232" t="e">
        <f>$I6</f>
        <v>#N/A</v>
      </c>
      <c r="T6" s="200" t="s">
        <v>435</v>
      </c>
      <c r="U6" s="214"/>
      <c r="V6" s="3897"/>
      <c r="W6" s="3898"/>
      <c r="X6" s="3898"/>
      <c r="Y6" s="3898"/>
      <c r="Z6" s="3898"/>
      <c r="AA6" s="3898"/>
      <c r="AB6" s="3898"/>
      <c r="AC6" s="3899"/>
      <c r="AD6" s="3897"/>
      <c r="AE6" s="3898"/>
      <c r="AF6" s="3898"/>
      <c r="AG6" s="3898"/>
      <c r="AH6" s="3898"/>
      <c r="AI6" s="3898"/>
      <c r="AJ6" s="3898"/>
      <c r="AK6" s="3898"/>
      <c r="AL6" s="3899"/>
      <c r="AM6" s="1182" t="s">
        <v>436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909"/>
      <c r="F7" s="3909"/>
      <c r="G7" s="3909"/>
      <c r="H7" s="3909"/>
      <c r="I7" s="3929"/>
      <c r="J7" s="3906" t="e">
        <f>I6&amp;".1"</f>
        <v>#N/A</v>
      </c>
      <c r="K7" s="1284"/>
      <c r="L7" s="1285" t="s">
        <v>437</v>
      </c>
      <c r="M7" s="460"/>
      <c r="N7" s="1287"/>
      <c r="P7" s="3907"/>
      <c r="Q7" s="3907">
        <v>1</v>
      </c>
      <c r="R7" s="278"/>
      <c r="S7" s="1232" t="e">
        <f>$J7</f>
        <v>#N/A</v>
      </c>
      <c r="T7" s="201" t="s">
        <v>438</v>
      </c>
      <c r="U7" s="214"/>
      <c r="V7" s="3897"/>
      <c r="W7" s="3898"/>
      <c r="X7" s="3898"/>
      <c r="Y7" s="3898"/>
      <c r="Z7" s="3898"/>
      <c r="AA7" s="3898"/>
      <c r="AB7" s="3898"/>
      <c r="AC7" s="3899"/>
      <c r="AD7" s="3897"/>
      <c r="AE7" s="3898"/>
      <c r="AF7" s="3898"/>
      <c r="AG7" s="3898"/>
      <c r="AH7" s="3898"/>
      <c r="AI7" s="3898"/>
      <c r="AJ7" s="3898"/>
      <c r="AK7" s="3898"/>
      <c r="AL7" s="3899"/>
      <c r="AM7" s="1182" t="s">
        <v>439</v>
      </c>
      <c r="AO7" s="424"/>
      <c r="AP7" s="424" t="str">
        <f t="shared" si="0"/>
        <v>Группа потребителей</v>
      </c>
      <c r="AQ7" s="424"/>
      <c r="AR7" s="424"/>
    </row>
    <row r="8" spans="1:44" ht="21" hidden="1" customHeight="1">
      <c r="A8" s="1284"/>
      <c r="B8" s="1284"/>
      <c r="C8" s="1284"/>
      <c r="D8" s="1284"/>
      <c r="E8" s="3909"/>
      <c r="F8" s="3909"/>
      <c r="G8" s="3909"/>
      <c r="H8" s="3909"/>
      <c r="I8" s="3929"/>
      <c r="J8" s="3929"/>
      <c r="K8" s="3906" t="e">
        <f>J7&amp;".1"</f>
        <v>#N/A</v>
      </c>
      <c r="L8" s="1285" t="s">
        <v>440</v>
      </c>
      <c r="M8" s="460"/>
      <c r="N8" s="1287"/>
      <c r="O8" s="1287"/>
      <c r="P8" s="3907"/>
      <c r="Q8" s="3907"/>
      <c r="R8" s="278">
        <v>1</v>
      </c>
      <c r="S8" s="1232" t="e">
        <f>$K8</f>
        <v>#N/A</v>
      </c>
      <c r="T8" s="1269"/>
      <c r="U8" s="214"/>
      <c r="V8" s="666"/>
      <c r="W8" s="246"/>
      <c r="X8" s="666"/>
      <c r="Y8" s="1181"/>
      <c r="Z8" s="3911"/>
      <c r="AA8" s="3759" t="s">
        <v>60</v>
      </c>
      <c r="AB8" s="3911"/>
      <c r="AC8" s="3759" t="s">
        <v>60</v>
      </c>
      <c r="AD8" s="666"/>
      <c r="AE8" s="246"/>
      <c r="AF8" s="666"/>
      <c r="AG8" s="1181"/>
      <c r="AH8" s="3911"/>
      <c r="AI8" s="3759" t="s">
        <v>60</v>
      </c>
      <c r="AJ8" s="3911"/>
      <c r="AK8" s="3759" t="s">
        <v>60</v>
      </c>
      <c r="AL8" s="246"/>
      <c r="AM8" s="3903" t="s">
        <v>441</v>
      </c>
      <c r="AN8" s="435" t="e">
        <f ca="1">STRCHECKDATE(V9:AL9)</f>
        <v>#NAME?</v>
      </c>
      <c r="AO8" s="424"/>
      <c r="AP8" s="424" t="str">
        <f t="shared" si="0"/>
        <v/>
      </c>
      <c r="AQ8" s="424"/>
      <c r="AR8" s="424"/>
    </row>
    <row r="9" spans="1:44" ht="0.75" hidden="1" customHeight="1">
      <c r="A9" s="1284"/>
      <c r="B9" s="1284"/>
      <c r="C9" s="1284"/>
      <c r="D9" s="1284"/>
      <c r="E9" s="3909"/>
      <c r="F9" s="3909"/>
      <c r="G9" s="3909"/>
      <c r="H9" s="3909"/>
      <c r="I9" s="3929"/>
      <c r="J9" s="3929"/>
      <c r="K9" s="3906"/>
      <c r="L9" s="1285"/>
      <c r="M9" s="460"/>
      <c r="N9" s="1287"/>
      <c r="O9" s="1287"/>
      <c r="P9" s="3907"/>
      <c r="Q9" s="3907"/>
      <c r="R9" s="278"/>
      <c r="S9" s="1230"/>
      <c r="T9" s="214"/>
      <c r="U9" s="214"/>
      <c r="V9" s="246"/>
      <c r="W9" s="246"/>
      <c r="X9" s="246"/>
      <c r="Y9" s="250" t="str">
        <f>Z8&amp;"-"&amp;AB8</f>
        <v>-</v>
      </c>
      <c r="Z9" s="3912"/>
      <c r="AA9" s="3759"/>
      <c r="AB9" s="3912"/>
      <c r="AC9" s="3759"/>
      <c r="AD9" s="246"/>
      <c r="AE9" s="246"/>
      <c r="AF9" s="246"/>
      <c r="AG9" s="250" t="str">
        <f>AH8&amp;"-"&amp;AJ8</f>
        <v>-</v>
      </c>
      <c r="AH9" s="3912"/>
      <c r="AI9" s="3759"/>
      <c r="AJ9" s="3912"/>
      <c r="AK9" s="3759"/>
      <c r="AL9" s="246"/>
      <c r="AM9" s="3904"/>
      <c r="AO9" s="424"/>
      <c r="AP9" s="424" t="str">
        <f t="shared" si="0"/>
        <v/>
      </c>
      <c r="AQ9" s="424"/>
      <c r="AR9" s="424"/>
    </row>
    <row r="10" spans="1:44" ht="15" hidden="1" customHeight="1">
      <c r="A10" s="1284"/>
      <c r="B10" s="1284"/>
      <c r="C10" s="1284"/>
      <c r="D10" s="1284"/>
      <c r="E10" s="3909"/>
      <c r="F10" s="3909"/>
      <c r="G10" s="3909"/>
      <c r="H10" s="3909"/>
      <c r="I10" s="3929"/>
      <c r="J10" s="3906"/>
      <c r="K10" s="1284"/>
      <c r="L10" s="1285"/>
      <c r="M10" s="460"/>
      <c r="N10" s="1287"/>
      <c r="P10" s="3907"/>
      <c r="Q10" s="3907"/>
      <c r="R10" s="277"/>
      <c r="S10" s="1203"/>
      <c r="T10" s="203" t="s">
        <v>442</v>
      </c>
      <c r="U10" s="291"/>
      <c r="V10" s="291"/>
      <c r="W10" s="291"/>
      <c r="X10" s="291"/>
      <c r="Y10" s="291"/>
      <c r="Z10" s="291"/>
      <c r="AA10" s="291"/>
      <c r="AB10" s="291"/>
      <c r="AC10" s="291"/>
      <c r="AD10" s="291"/>
      <c r="AE10" s="291"/>
      <c r="AF10" s="291"/>
      <c r="AG10" s="291"/>
      <c r="AH10" s="291"/>
      <c r="AI10" s="291"/>
      <c r="AJ10" s="291"/>
      <c r="AK10" s="291"/>
      <c r="AL10" s="245"/>
      <c r="AM10" s="3905"/>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909"/>
      <c r="F11" s="3909"/>
      <c r="G11" s="3909"/>
      <c r="H11" s="3909"/>
      <c r="I11" s="3906"/>
      <c r="J11" s="1284"/>
      <c r="K11" s="1284"/>
      <c r="L11" s="1285"/>
      <c r="M11" s="460"/>
      <c r="P11" s="3907"/>
      <c r="Q11" s="1229"/>
      <c r="R11" s="277"/>
      <c r="S11" s="1203"/>
      <c r="T11" s="202" t="s">
        <v>443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909"/>
      <c r="F12" s="3909"/>
      <c r="G12" s="3909"/>
      <c r="H12" s="3908"/>
      <c r="I12" s="1284"/>
      <c r="J12" s="1284"/>
      <c r="K12" s="1284"/>
      <c r="L12" s="1285"/>
      <c r="M12" s="1286"/>
      <c r="N12" s="1286"/>
      <c r="O12" s="460"/>
      <c r="P12" s="281"/>
      <c r="Q12" s="299"/>
      <c r="R12" s="276"/>
      <c r="S12" s="1203"/>
      <c r="T12" s="288" t="s">
        <v>444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909"/>
      <c r="F13" s="3909"/>
      <c r="G13" s="3908"/>
      <c r="H13" s="1237"/>
      <c r="I13" s="1237"/>
      <c r="J13" s="1237"/>
      <c r="K13" s="1237"/>
      <c r="L13" s="1261"/>
      <c r="M13" s="1238"/>
      <c r="N13" s="1238"/>
      <c r="P13" s="1239"/>
      <c r="Q13" s="1240"/>
      <c r="R13" s="1239"/>
      <c r="S13" s="1241"/>
      <c r="T13" s="1242" t="s">
        <v>445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909"/>
      <c r="F14" s="3908"/>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908"/>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3913"/>
      <c r="AI17" s="3914" t="s">
        <v>60</v>
      </c>
      <c r="AJ17" s="3913"/>
      <c r="AK17" s="3914" t="s">
        <v>60</v>
      </c>
    </row>
    <row r="18" spans="1:44" ht="14.25" hidden="1" customHeight="1">
      <c r="P18" s="1234"/>
      <c r="AD18" s="1281"/>
      <c r="AE18" s="1281"/>
      <c r="AF18" s="1281"/>
      <c r="AG18" s="250" t="str">
        <f>AH17&amp;"-"&amp;AJ17</f>
        <v>-</v>
      </c>
      <c r="AH18" s="3914"/>
      <c r="AI18" s="3914"/>
      <c r="AJ18" s="3914"/>
      <c r="AK18" s="3914"/>
    </row>
    <row r="19" spans="1:44" ht="14.25" hidden="1" customHeight="1">
      <c r="P19" s="1234"/>
      <c r="AK19" s="249"/>
    </row>
    <row r="20" spans="1:44" s="1287" customFormat="1" ht="22.5" hidden="1" customHeight="1">
      <c r="L20" s="1251"/>
      <c r="M20" s="1283"/>
      <c r="N20" s="1283"/>
      <c r="O20" s="1288" t="s">
        <v>446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447</v>
      </c>
      <c r="P22" s="1283"/>
      <c r="Q22" s="1292"/>
      <c r="R22" s="1292"/>
      <c r="S22" s="646"/>
      <c r="T22" s="1065" t="s">
        <v>448</v>
      </c>
      <c r="AA22" s="104" t="s">
        <v>449</v>
      </c>
      <c r="AC22" s="104" t="s">
        <v>450</v>
      </c>
      <c r="AD22" s="1065" t="s">
        <v>448</v>
      </c>
      <c r="AI22" s="104" t="s">
        <v>451</v>
      </c>
      <c r="AK22" s="104" t="s">
        <v>450</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38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892"/>
      <c r="U26" s="3892"/>
      <c r="V26" s="3892"/>
      <c r="W26" s="3892"/>
      <c r="X26" s="3892"/>
      <c r="Y26" s="3892"/>
      <c r="Z26" s="3892"/>
      <c r="AA26" s="3892"/>
      <c r="AB26" s="3892"/>
      <c r="AC26" s="3892"/>
      <c r="AD26" s="3892"/>
      <c r="AE26" s="3892"/>
      <c r="AF26" s="3892"/>
      <c r="AG26" s="3892"/>
      <c r="AH26" s="3892"/>
      <c r="AI26" s="3892"/>
      <c r="AJ26" s="3892"/>
      <c r="AK26" s="1157"/>
    </row>
    <row r="27" spans="1:44" ht="14.25" customHeight="1">
      <c r="Q27" s="300"/>
      <c r="R27" s="300"/>
      <c r="S27" s="3839" t="str">
        <f>IF(org=0,"Не определено",org)</f>
        <v>ГУП СК "Ставрополькрайводоканал"</v>
      </c>
      <c r="T27" s="3839"/>
      <c r="U27" s="3839"/>
      <c r="V27" s="3839"/>
      <c r="W27" s="3839"/>
      <c r="X27" s="3839"/>
      <c r="Y27" s="3839"/>
      <c r="Z27" s="3839"/>
      <c r="AA27" s="3839"/>
      <c r="AB27" s="3839"/>
      <c r="AC27" s="3839"/>
      <c r="AD27" s="3839"/>
      <c r="AE27" s="3839"/>
      <c r="AF27" s="3839"/>
      <c r="AG27" s="3839"/>
      <c r="AH27" s="3839"/>
      <c r="AI27" s="3839"/>
      <c r="AJ27" s="383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900" t="s">
        <v>38</v>
      </c>
      <c r="T29" s="3900"/>
      <c r="U29" s="1293"/>
      <c r="V29" s="3901" t="str">
        <f>IF(TITLE_NAME_OR_PR_CHANGE="",IF(TITLE_NAME_OR_PR="","",TITLE_NAME_OR_PR),TITLE_NAME_OR_PR_CHANGE)</f>
        <v>Региональная тарифная комиссия Ставропольского края</v>
      </c>
      <c r="W29" s="3901"/>
      <c r="X29" s="3901"/>
      <c r="Y29" s="3901"/>
      <c r="Z29" s="3901"/>
      <c r="AA29" s="3901"/>
      <c r="AB29" s="3901"/>
      <c r="AC29" s="248"/>
      <c r="AD29" s="3901" t="str">
        <f>IF(TITLE_NAME_OR_PR_CHANGE="",IF(TITLE_NAME_OR_PR="","",TITLE_NAME_OR_PR),TITLE_NAME_OR_PR_CHANGE)</f>
        <v>Региональная тарифная комиссия Ставропольского края</v>
      </c>
      <c r="AE29" s="3901"/>
      <c r="AF29" s="3901"/>
      <c r="AG29" s="3901"/>
      <c r="AH29" s="3901"/>
      <c r="AI29" s="3901"/>
      <c r="AJ29" s="3901"/>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900" t="s">
        <v>452</v>
      </c>
      <c r="T30" s="3900"/>
      <c r="U30" s="1293"/>
      <c r="V30" s="3910">
        <f>IF(TITLE_DATE_PR_CHANGE="",IF(TITLE_DATE_PR="","",TITLE_DATE_PR),TITLE_DATE_PR_CHANGE)</f>
        <v>45278</v>
      </c>
      <c r="W30" s="3910"/>
      <c r="X30" s="3910"/>
      <c r="Y30" s="3910"/>
      <c r="Z30" s="3910"/>
      <c r="AA30" s="3910"/>
      <c r="AB30" s="3910"/>
      <c r="AC30" s="248"/>
      <c r="AD30" s="3910">
        <f>IF(TITLE_DATE_PR_CHANGE="",IF(TITLE_DATE_PR="","",TITLE_DATE_PR),TITLE_DATE_PR_CHANGE)</f>
        <v>45278</v>
      </c>
      <c r="AE30" s="3910"/>
      <c r="AF30" s="3910"/>
      <c r="AG30" s="3910"/>
      <c r="AH30" s="3910"/>
      <c r="AI30" s="3910"/>
      <c r="AJ30" s="3910"/>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900" t="s">
        <v>453</v>
      </c>
      <c r="T31" s="3900"/>
      <c r="U31" s="1293"/>
      <c r="V31" s="3901" t="str">
        <f>IF(TITLE_NUMBER_PR_CHANGE="",IF(TITLE_NUMBER_PR="","",TITLE_NUMBER_PR),TITLE_NUMBER_PR_CHANGE)</f>
        <v>79/2</v>
      </c>
      <c r="W31" s="3901"/>
      <c r="X31" s="3901"/>
      <c r="Y31" s="3901"/>
      <c r="Z31" s="3901"/>
      <c r="AA31" s="3901"/>
      <c r="AB31" s="3901"/>
      <c r="AC31" s="248"/>
      <c r="AD31" s="3901" t="str">
        <f>IF(TITLE_NUMBER_PR_CHANGE="",IF(TITLE_NUMBER_PR="","",TITLE_NUMBER_PR),TITLE_NUMBER_PR_CHANGE)</f>
        <v>79/2</v>
      </c>
      <c r="AE31" s="3901"/>
      <c r="AF31" s="3901"/>
      <c r="AG31" s="3901"/>
      <c r="AH31" s="3901"/>
      <c r="AI31" s="3901"/>
      <c r="AJ31" s="3901"/>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900" t="s">
        <v>40</v>
      </c>
      <c r="T32" s="3900"/>
      <c r="U32" s="1293"/>
      <c r="V32" s="3901" t="str">
        <f>IF(TITLE_IST_PUB_CHANGE="",IF(TITLE_IST_PUB="","",TITLE_IST_PUB),TITLE_IST_PUB_CHANGE)</f>
        <v>http://pravo.stavregion.ru/</v>
      </c>
      <c r="W32" s="3901"/>
      <c r="X32" s="3901"/>
      <c r="Y32" s="3901"/>
      <c r="Z32" s="3901"/>
      <c r="AA32" s="3901"/>
      <c r="AB32" s="3901"/>
      <c r="AC32" s="248"/>
      <c r="AD32" s="3901" t="str">
        <f>IF(TITLE_IST_PUB_CHANGE="",IF(TITLE_IST_PUB="","",TITLE_IST_PUB),TITLE_IST_PUB_CHANGE)</f>
        <v>http://pravo.stavregion.ru/</v>
      </c>
      <c r="AE32" s="3901"/>
      <c r="AF32" s="3901"/>
      <c r="AG32" s="3901"/>
      <c r="AH32" s="3901"/>
      <c r="AI32" s="3901"/>
      <c r="AJ32" s="3901"/>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900" t="s">
        <v>454</v>
      </c>
      <c r="T34" s="3900"/>
      <c r="U34" s="1293"/>
      <c r="V34" s="3910">
        <f>IF(TITLE_DATE_PR_CHANGE="",IF(TITLE_DATE_PR="","",TITLE_DATE_PR),TITLE_DATE_PR_CHANGE)</f>
        <v>45278</v>
      </c>
      <c r="W34" s="3910"/>
      <c r="X34" s="3910"/>
      <c r="Y34" s="3910"/>
      <c r="Z34" s="3910"/>
      <c r="AA34" s="3910"/>
      <c r="AB34" s="3910"/>
      <c r="AC34" s="248"/>
      <c r="AD34" s="3910">
        <f>IF(TITLE_DATE_PR_CHANGE="",IF(TITLE_DATE_PR="","",TITLE_DATE_PR),TITLE_DATE_PR_CHANGE)</f>
        <v>45278</v>
      </c>
      <c r="AE34" s="3910"/>
      <c r="AF34" s="3910"/>
      <c r="AG34" s="3910"/>
      <c r="AH34" s="3910"/>
      <c r="AI34" s="3910"/>
      <c r="AJ34" s="3910"/>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900" t="s">
        <v>455</v>
      </c>
      <c r="T35" s="3900"/>
      <c r="U35" s="1293"/>
      <c r="V35" s="3901" t="str">
        <f>IF(TITLE_NUMBER_PR_CHANGE="",IF(TITLE_NUMBER_PR="","",TITLE_NUMBER_PR),TITLE_NUMBER_PR_CHANGE)</f>
        <v>79/2</v>
      </c>
      <c r="W35" s="3901"/>
      <c r="X35" s="3901"/>
      <c r="Y35" s="3901"/>
      <c r="Z35" s="3901"/>
      <c r="AA35" s="3901"/>
      <c r="AB35" s="3901"/>
      <c r="AC35" s="248"/>
      <c r="AD35" s="3901" t="str">
        <f>IF(TITLE_NUMBER_PR_CHANGE="",IF(TITLE_NUMBER_PR="","",TITLE_NUMBER_PR),TITLE_NUMBER_PR_CHANGE)</f>
        <v>79/2</v>
      </c>
      <c r="AE35" s="3901"/>
      <c r="AF35" s="3901"/>
      <c r="AG35" s="3901"/>
      <c r="AH35" s="3901"/>
      <c r="AI35" s="3901"/>
      <c r="AJ35" s="3901"/>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456</v>
      </c>
      <c r="AD36" s="248"/>
      <c r="AE36" s="248"/>
      <c r="AF36" s="248"/>
      <c r="AG36" s="248"/>
      <c r="AH36" s="248"/>
      <c r="AI36" s="248"/>
      <c r="AJ36" s="248"/>
      <c r="AK36" s="194" t="s">
        <v>456</v>
      </c>
      <c r="AN36" s="292"/>
      <c r="AO36" s="292"/>
      <c r="AP36" s="292"/>
      <c r="AQ36" s="292"/>
      <c r="AR36" s="292"/>
    </row>
    <row r="37" spans="1:44" ht="14.25" customHeight="1">
      <c r="Q37" s="300"/>
      <c r="R37" s="300"/>
      <c r="S37" s="1200"/>
      <c r="T37" s="286"/>
      <c r="U37" s="1158"/>
      <c r="V37" s="3902"/>
      <c r="W37" s="3902"/>
      <c r="X37" s="3902"/>
      <c r="Y37" s="3902"/>
      <c r="Z37" s="3902"/>
      <c r="AA37" s="3902"/>
      <c r="AB37" s="3902"/>
      <c r="AC37" s="3902"/>
      <c r="AD37" s="3902"/>
      <c r="AE37" s="3902"/>
      <c r="AF37" s="3902"/>
      <c r="AG37" s="3902"/>
      <c r="AH37" s="3902"/>
      <c r="AI37" s="3902"/>
      <c r="AJ37" s="3902"/>
      <c r="AK37" s="3902"/>
    </row>
    <row r="38" spans="1:44" ht="14.25" customHeight="1">
      <c r="Q38" s="300"/>
      <c r="R38" s="300"/>
      <c r="S38" s="3778" t="s">
        <v>329</v>
      </c>
      <c r="T38" s="3778"/>
      <c r="U38" s="3778"/>
      <c r="V38" s="3778"/>
      <c r="W38" s="3778"/>
      <c r="X38" s="3778"/>
      <c r="Y38" s="3778"/>
      <c r="Z38" s="3778"/>
      <c r="AA38" s="3778"/>
      <c r="AB38" s="3778"/>
      <c r="AC38" s="3778"/>
      <c r="AD38" s="3778"/>
      <c r="AE38" s="3778"/>
      <c r="AF38" s="3778"/>
      <c r="AG38" s="3778"/>
      <c r="AH38" s="3778"/>
      <c r="AI38" s="3778"/>
      <c r="AJ38" s="3778"/>
      <c r="AK38" s="3778"/>
      <c r="AL38" s="3778"/>
      <c r="AM38" s="3778" t="s">
        <v>330</v>
      </c>
    </row>
    <row r="39" spans="1:44" ht="14.25" customHeight="1">
      <c r="Q39" s="300"/>
      <c r="R39" s="300"/>
      <c r="S39" s="3916" t="s">
        <v>86</v>
      </c>
      <c r="T39" s="3868" t="s">
        <v>457</v>
      </c>
      <c r="U39" s="215"/>
      <c r="V39" s="3917" t="s">
        <v>458</v>
      </c>
      <c r="W39" s="3918"/>
      <c r="X39" s="3918"/>
      <c r="Y39" s="3918"/>
      <c r="Z39" s="3918"/>
      <c r="AA39" s="3918"/>
      <c r="AB39" s="3919"/>
      <c r="AC39" s="3920" t="s">
        <v>459</v>
      </c>
      <c r="AD39" s="3917" t="s">
        <v>458</v>
      </c>
      <c r="AE39" s="3918"/>
      <c r="AF39" s="3918"/>
      <c r="AG39" s="3918"/>
      <c r="AH39" s="3918"/>
      <c r="AI39" s="3918"/>
      <c r="AJ39" s="3919"/>
      <c r="AK39" s="3920" t="s">
        <v>460</v>
      </c>
      <c r="AL39" s="3923" t="s">
        <v>461</v>
      </c>
      <c r="AM39" s="3778"/>
    </row>
    <row r="40" spans="1:44" ht="33.75" customHeight="1">
      <c r="Q40" s="300"/>
      <c r="R40" s="300"/>
      <c r="S40" s="3916"/>
      <c r="T40" s="3868"/>
      <c r="U40" s="942"/>
      <c r="V40" s="3838" t="s">
        <v>462</v>
      </c>
      <c r="W40" s="3926" t="s">
        <v>463</v>
      </c>
      <c r="X40" s="3749" t="s">
        <v>464</v>
      </c>
      <c r="Y40" s="3748"/>
      <c r="Z40" s="3749" t="s">
        <v>465</v>
      </c>
      <c r="AA40" s="3754"/>
      <c r="AB40" s="3748"/>
      <c r="AC40" s="3921"/>
      <c r="AD40" s="3838" t="s">
        <v>462</v>
      </c>
      <c r="AE40" s="3926" t="s">
        <v>463</v>
      </c>
      <c r="AF40" s="3749" t="s">
        <v>464</v>
      </c>
      <c r="AG40" s="3748"/>
      <c r="AH40" s="3749" t="s">
        <v>465</v>
      </c>
      <c r="AI40" s="3754"/>
      <c r="AJ40" s="3748"/>
      <c r="AK40" s="3921"/>
      <c r="AL40" s="3924"/>
      <c r="AM40" s="3778"/>
    </row>
    <row r="41" spans="1:44" ht="33.75" customHeight="1">
      <c r="A41" s="1291"/>
      <c r="B41" s="1291" t="s">
        <v>153</v>
      </c>
      <c r="C41" s="1291" t="s">
        <v>154</v>
      </c>
      <c r="D41" s="1291" t="s">
        <v>155</v>
      </c>
      <c r="E41" s="1285" t="s">
        <v>466</v>
      </c>
      <c r="F41" s="1285" t="s">
        <v>467</v>
      </c>
      <c r="G41" s="1285" t="s">
        <v>468</v>
      </c>
      <c r="H41" s="1285" t="s">
        <v>469</v>
      </c>
      <c r="I41" s="1285" t="s">
        <v>470</v>
      </c>
      <c r="J41" s="1285" t="s">
        <v>471</v>
      </c>
      <c r="K41" s="1285" t="s">
        <v>472</v>
      </c>
      <c r="L41" s="1285" t="s">
        <v>447</v>
      </c>
      <c r="Q41" s="300"/>
      <c r="R41" s="300"/>
      <c r="S41" s="3916"/>
      <c r="T41" s="3868"/>
      <c r="U41" s="216"/>
      <c r="V41" s="3887"/>
      <c r="W41" s="3927"/>
      <c r="X41" s="1133" t="s">
        <v>473</v>
      </c>
      <c r="Y41" s="1133" t="s">
        <v>474</v>
      </c>
      <c r="Z41" s="1132" t="s">
        <v>475</v>
      </c>
      <c r="AA41" s="3876" t="s">
        <v>476</v>
      </c>
      <c r="AB41" s="3878"/>
      <c r="AC41" s="3922"/>
      <c r="AD41" s="3887"/>
      <c r="AE41" s="3927"/>
      <c r="AF41" s="1133" t="s">
        <v>473</v>
      </c>
      <c r="AG41" s="1133" t="s">
        <v>474</v>
      </c>
      <c r="AH41" s="1236" t="s">
        <v>475</v>
      </c>
      <c r="AI41" s="3876" t="s">
        <v>476</v>
      </c>
      <c r="AJ41" s="3878"/>
      <c r="AK41" s="3922"/>
      <c r="AL41" s="3925"/>
      <c r="AM41" s="377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129</v>
      </c>
      <c r="T42" s="1177" t="s">
        <v>102</v>
      </c>
      <c r="U42" s="1159" t="str">
        <f ca="1">OFFSET(U42,0,-1)</f>
        <v>2</v>
      </c>
      <c r="V42" s="1178">
        <f ca="1">OFFSET(V42,0,-1)+1</f>
        <v>3</v>
      </c>
      <c r="W42" s="1178"/>
      <c r="X42" s="1178">
        <f ca="1">OFFSET(X42,0,-1)+1</f>
        <v>1</v>
      </c>
      <c r="Y42" s="1178">
        <f ca="1">OFFSET(Y42,0,-1)+1</f>
        <v>2</v>
      </c>
      <c r="Z42" s="1178">
        <f ca="1">OFFSET(Z42,0,-1)+1</f>
        <v>3</v>
      </c>
      <c r="AA42" s="3915">
        <f ca="1">OFFSET(AA42,0,-1)+1</f>
        <v>4</v>
      </c>
      <c r="AB42" s="3915"/>
      <c r="AC42" s="1178">
        <f ca="1">OFFSET(AC42,0,-2)+1</f>
        <v>5</v>
      </c>
      <c r="AD42" s="1235">
        <f ca="1">OFFSET(AD42,0,-1)+1</f>
        <v>6</v>
      </c>
      <c r="AE42" s="1235"/>
      <c r="AF42" s="1235">
        <f ca="1">OFFSET(AF42,0,-1)+1</f>
        <v>1</v>
      </c>
      <c r="AG42" s="1235">
        <f ca="1">OFFSET(AG42,0,-1)+1</f>
        <v>2</v>
      </c>
      <c r="AH42" s="1235">
        <f ca="1">OFFSET(AH42,0,-1)+1</f>
        <v>3</v>
      </c>
      <c r="AI42" s="3915">
        <f ca="1">OFFSET(AI42,0,-1)+1</f>
        <v>4</v>
      </c>
      <c r="AJ42" s="3915"/>
      <c r="AK42" s="1235">
        <f ca="1">OFFSET(AK42,0,-2)+1</f>
        <v>5</v>
      </c>
      <c r="AL42" s="1159">
        <f ca="1">OFFSET(AL42,0,-1)</f>
        <v>5</v>
      </c>
      <c r="AM42" s="1178">
        <f ca="1">OFFSET(AM42,0,-1)+1</f>
        <v>6</v>
      </c>
      <c r="AN42" s="435"/>
      <c r="AO42" s="435"/>
      <c r="AP42" s="435"/>
      <c r="AQ42" s="435"/>
      <c r="AR42" s="435"/>
    </row>
    <row r="43" spans="1:44" ht="23.25" customHeight="1">
      <c r="A43" s="1284" t="s">
        <v>174</v>
      </c>
      <c r="B43" s="1284"/>
      <c r="C43" s="1284"/>
      <c r="D43" s="1284"/>
      <c r="E43" s="3908">
        <v>1</v>
      </c>
      <c r="F43" s="1284"/>
      <c r="G43" s="1284"/>
      <c r="H43" s="1284"/>
      <c r="I43" s="1284"/>
      <c r="J43" s="1284"/>
      <c r="K43" s="1284"/>
      <c r="L43" s="1285"/>
      <c r="M43" s="1286"/>
      <c r="N43" s="1286"/>
      <c r="O43" s="1286"/>
      <c r="P43" s="282"/>
      <c r="Q43" s="281"/>
      <c r="R43" s="276"/>
      <c r="S43" s="1137">
        <f>INDEX(PT_DIFFERENTIATION_NUM_NTAR,MATCH(A43,PT_DIFFERENTIATION_NTAR_ID,0))</f>
        <v>0</v>
      </c>
      <c r="T43" s="212" t="s">
        <v>141</v>
      </c>
      <c r="U43" s="214"/>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174</v>
      </c>
      <c r="B44" s="1284" t="s">
        <v>175</v>
      </c>
      <c r="C44" s="1284"/>
      <c r="D44" s="1284"/>
      <c r="E44" s="3909"/>
      <c r="F44" s="3908">
        <v>1</v>
      </c>
      <c r="G44" s="1284"/>
      <c r="H44" s="1284"/>
      <c r="I44" s="1284"/>
      <c r="J44" s="1284"/>
      <c r="K44" s="1284"/>
      <c r="L44" s="1285"/>
      <c r="M44" s="1286"/>
      <c r="N44" s="1286"/>
      <c r="O44" s="1286"/>
      <c r="P44" s="446"/>
      <c r="Q44" s="273"/>
      <c r="R44" s="274"/>
      <c r="S44" s="1137" t="str">
        <f>INDEX(PT_DIFFERENTIATION_NUM_TER,MATCH(B44,PT_DIFFERENTIATION_TER_ID,0))</f>
        <v>.</v>
      </c>
      <c r="T44" s="224" t="s">
        <v>428</v>
      </c>
      <c r="U44" s="214"/>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182" t="s">
        <v>429</v>
      </c>
      <c r="AO44" s="424"/>
      <c r="AP44" s="424" t="str">
        <f t="shared" si="1"/>
        <v>Территория действия тарифа</v>
      </c>
      <c r="AQ44" s="424"/>
      <c r="AR44" s="424"/>
    </row>
    <row r="45" spans="1:44" ht="23.25" customHeight="1">
      <c r="A45" s="1284" t="s">
        <v>174</v>
      </c>
      <c r="B45" s="1284" t="s">
        <v>175</v>
      </c>
      <c r="C45" s="1284" t="s">
        <v>176</v>
      </c>
      <c r="D45" s="1284"/>
      <c r="E45" s="3909"/>
      <c r="F45" s="3909"/>
      <c r="G45" s="3908">
        <v>1</v>
      </c>
      <c r="H45" s="1284"/>
      <c r="I45" s="1284"/>
      <c r="J45" s="1284"/>
      <c r="K45" s="1284"/>
      <c r="L45" s="1285"/>
      <c r="M45" s="1286"/>
      <c r="N45" s="1286"/>
      <c r="O45" s="1286"/>
      <c r="P45" s="275"/>
      <c r="Q45" s="273"/>
      <c r="R45" s="274"/>
      <c r="S45" s="1137" t="str">
        <f>INDEX(PT_DIFFERENTIATION_NUM_CS,MATCH(C45,PT_DIFFERENTIATION_CS_ID,0))</f>
        <v>..</v>
      </c>
      <c r="T45" s="225" t="s">
        <v>430</v>
      </c>
      <c r="U45" s="214"/>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182" t="s">
        <v>431</v>
      </c>
      <c r="AO45" s="424"/>
      <c r="AP45" s="424" t="str">
        <f t="shared" si="1"/>
        <v xml:space="preserve">Наименование системы теплоснабжения </v>
      </c>
      <c r="AQ45" s="424"/>
      <c r="AR45" s="424"/>
    </row>
    <row r="46" spans="1:44" ht="23.25" customHeight="1">
      <c r="A46" s="1284" t="s">
        <v>174</v>
      </c>
      <c r="B46" s="1284" t="s">
        <v>175</v>
      </c>
      <c r="C46" s="1284" t="s">
        <v>176</v>
      </c>
      <c r="D46" s="1284" t="s">
        <v>177</v>
      </c>
      <c r="E46" s="3909"/>
      <c r="F46" s="3909"/>
      <c r="G46" s="3909"/>
      <c r="H46" s="3908">
        <v>1</v>
      </c>
      <c r="I46" s="1284"/>
      <c r="J46" s="1284"/>
      <c r="K46" s="1284"/>
      <c r="L46" s="1285"/>
      <c r="M46" s="1286"/>
      <c r="N46" s="1286"/>
      <c r="O46" s="1286"/>
      <c r="P46" s="275"/>
      <c r="Q46" s="273"/>
      <c r="R46" s="274"/>
      <c r="S46" s="1137" t="str">
        <f>INDEX(PT_DIFFERENTIATION_NUM_IST_TE,MATCH(D46,PT_DIFFERENTIATION_IST_TE_ID,0))</f>
        <v>...</v>
      </c>
      <c r="T46" s="226" t="s">
        <v>432</v>
      </c>
      <c r="U46" s="214"/>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182" t="s">
        <v>433</v>
      </c>
      <c r="AO46" s="424"/>
      <c r="AP46" s="424" t="str">
        <f t="shared" si="1"/>
        <v xml:space="preserve">Источник тепловой энергии  </v>
      </c>
      <c r="AQ46" s="424"/>
      <c r="AR46" s="424"/>
    </row>
    <row r="47" spans="1:44" ht="47.25" customHeight="1">
      <c r="A47" s="1284" t="s">
        <v>174</v>
      </c>
      <c r="B47" s="1284" t="s">
        <v>175</v>
      </c>
      <c r="C47" s="1284" t="s">
        <v>176</v>
      </c>
      <c r="D47" s="1284" t="s">
        <v>177</v>
      </c>
      <c r="E47" s="3909"/>
      <c r="F47" s="3909"/>
      <c r="G47" s="3909"/>
      <c r="H47" s="3909"/>
      <c r="I47" s="3906" t="str">
        <f>S46&amp;".1"</f>
        <v>....1</v>
      </c>
      <c r="J47" s="1284"/>
      <c r="K47" s="1284"/>
      <c r="L47" s="1285" t="s">
        <v>434</v>
      </c>
      <c r="P47" s="3907">
        <v>1</v>
      </c>
      <c r="Q47" s="1131"/>
      <c r="R47" s="277"/>
      <c r="S47" s="1137" t="str">
        <f>$I47</f>
        <v>....1</v>
      </c>
      <c r="T47" s="200" t="s">
        <v>435</v>
      </c>
      <c r="U47" s="214"/>
      <c r="V47" s="3897"/>
      <c r="W47" s="3898"/>
      <c r="X47" s="3898"/>
      <c r="Y47" s="3898"/>
      <c r="Z47" s="3898"/>
      <c r="AA47" s="3898"/>
      <c r="AB47" s="3898"/>
      <c r="AC47" s="3899"/>
      <c r="AD47" s="3897"/>
      <c r="AE47" s="3898"/>
      <c r="AF47" s="3898"/>
      <c r="AG47" s="3898"/>
      <c r="AH47" s="3898"/>
      <c r="AI47" s="3898"/>
      <c r="AJ47" s="3898"/>
      <c r="AK47" s="3898"/>
      <c r="AL47" s="3899"/>
      <c r="AM47" s="1182" t="s">
        <v>436</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174</v>
      </c>
      <c r="B48" s="1284" t="s">
        <v>175</v>
      </c>
      <c r="C48" s="1284" t="s">
        <v>176</v>
      </c>
      <c r="D48" s="1284" t="s">
        <v>177</v>
      </c>
      <c r="E48" s="3909"/>
      <c r="F48" s="3909"/>
      <c r="G48" s="3909"/>
      <c r="H48" s="3909"/>
      <c r="I48" s="3929"/>
      <c r="J48" s="3906" t="str">
        <f>I47&amp;".1"</f>
        <v>....1.1</v>
      </c>
      <c r="K48" s="1284"/>
      <c r="L48" s="1285" t="s">
        <v>437</v>
      </c>
      <c r="P48" s="3907"/>
      <c r="Q48" s="3907">
        <v>1</v>
      </c>
      <c r="R48" s="278"/>
      <c r="S48" s="1137" t="str">
        <f>$J48</f>
        <v>....1.1</v>
      </c>
      <c r="T48" s="201" t="s">
        <v>438</v>
      </c>
      <c r="U48" s="214"/>
      <c r="V48" s="3897"/>
      <c r="W48" s="3898"/>
      <c r="X48" s="3898"/>
      <c r="Y48" s="3898"/>
      <c r="Z48" s="3898"/>
      <c r="AA48" s="3898"/>
      <c r="AB48" s="3898"/>
      <c r="AC48" s="3899"/>
      <c r="AD48" s="3897"/>
      <c r="AE48" s="3898"/>
      <c r="AF48" s="3898"/>
      <c r="AG48" s="3898"/>
      <c r="AH48" s="3898"/>
      <c r="AI48" s="3898"/>
      <c r="AJ48" s="3898"/>
      <c r="AK48" s="3898"/>
      <c r="AL48" s="3899"/>
      <c r="AM48" s="1182" t="s">
        <v>439</v>
      </c>
      <c r="AO48" s="424"/>
      <c r="AP48" s="424" t="str">
        <f t="shared" si="1"/>
        <v>Группа потребителей</v>
      </c>
      <c r="AQ48" s="424"/>
      <c r="AR48" s="424"/>
    </row>
    <row r="49" spans="1:44" ht="23.25" customHeight="1">
      <c r="A49" s="1284" t="s">
        <v>174</v>
      </c>
      <c r="B49" s="1284" t="s">
        <v>175</v>
      </c>
      <c r="C49" s="1284" t="s">
        <v>176</v>
      </c>
      <c r="D49" s="1284" t="s">
        <v>177</v>
      </c>
      <c r="E49" s="3909"/>
      <c r="F49" s="3909"/>
      <c r="G49" s="3909"/>
      <c r="H49" s="3909"/>
      <c r="I49" s="3929"/>
      <c r="J49" s="3929"/>
      <c r="K49" s="3906" t="str">
        <f>J48&amp;".1"</f>
        <v>....1.1.1</v>
      </c>
      <c r="L49" s="1285" t="s">
        <v>440</v>
      </c>
      <c r="P49" s="3907"/>
      <c r="Q49" s="3907"/>
      <c r="R49" s="278">
        <v>1</v>
      </c>
      <c r="S49" s="1137" t="str">
        <f>$K49</f>
        <v>....1.1.1</v>
      </c>
      <c r="T49" s="1269"/>
      <c r="U49" s="214"/>
      <c r="V49" s="666"/>
      <c r="W49" s="246"/>
      <c r="X49" s="666"/>
      <c r="Y49" s="1181"/>
      <c r="Z49" s="3911"/>
      <c r="AA49" s="3759" t="s">
        <v>60</v>
      </c>
      <c r="AB49" s="3911"/>
      <c r="AC49" s="3759" t="s">
        <v>60</v>
      </c>
      <c r="AD49" s="666"/>
      <c r="AE49" s="246"/>
      <c r="AF49" s="666"/>
      <c r="AG49" s="1181"/>
      <c r="AH49" s="3911"/>
      <c r="AI49" s="3759" t="s">
        <v>60</v>
      </c>
      <c r="AJ49" s="3930"/>
      <c r="AK49" s="3759" t="s">
        <v>60</v>
      </c>
      <c r="AL49" s="1270"/>
      <c r="AM49" s="3903" t="s">
        <v>441</v>
      </c>
      <c r="AN49" s="435" t="e">
        <f ca="1">STRCHECKDATE(V50:AL50)</f>
        <v>#NAME?</v>
      </c>
      <c r="AO49" s="424"/>
      <c r="AP49" s="424" t="str">
        <f t="shared" si="1"/>
        <v/>
      </c>
      <c r="AQ49" s="424"/>
      <c r="AR49" s="424"/>
    </row>
    <row r="50" spans="1:44" ht="0.75" customHeight="1">
      <c r="A50" s="1284" t="s">
        <v>174</v>
      </c>
      <c r="B50" s="1284" t="s">
        <v>175</v>
      </c>
      <c r="C50" s="1284" t="s">
        <v>176</v>
      </c>
      <c r="D50" s="1284" t="s">
        <v>177</v>
      </c>
      <c r="E50" s="3909"/>
      <c r="F50" s="3909"/>
      <c r="G50" s="3909"/>
      <c r="H50" s="3909"/>
      <c r="I50" s="3929"/>
      <c r="J50" s="3929"/>
      <c r="K50" s="3906"/>
      <c r="L50" s="1285"/>
      <c r="P50" s="3907"/>
      <c r="Q50" s="3907"/>
      <c r="R50" s="278"/>
      <c r="S50" s="1135"/>
      <c r="T50" s="214"/>
      <c r="U50" s="214"/>
      <c r="V50" s="246"/>
      <c r="W50" s="246"/>
      <c r="X50" s="246"/>
      <c r="Y50" s="250" t="str">
        <f>Z49&amp;"-"&amp;AB49</f>
        <v>-</v>
      </c>
      <c r="Z50" s="3912"/>
      <c r="AA50" s="3759"/>
      <c r="AB50" s="3912"/>
      <c r="AC50" s="3759"/>
      <c r="AD50" s="246"/>
      <c r="AE50" s="246"/>
      <c r="AF50" s="246"/>
      <c r="AG50" s="250" t="str">
        <f>AH49&amp;"-"&amp;AJ49</f>
        <v>-</v>
      </c>
      <c r="AH50" s="3912"/>
      <c r="AI50" s="3759"/>
      <c r="AJ50" s="3931"/>
      <c r="AK50" s="3759"/>
      <c r="AL50" s="1271"/>
      <c r="AM50" s="3904"/>
      <c r="AO50" s="424"/>
      <c r="AP50" s="424" t="str">
        <f t="shared" si="1"/>
        <v/>
      </c>
      <c r="AQ50" s="424"/>
      <c r="AR50" s="424"/>
    </row>
    <row r="51" spans="1:44" ht="11.25" customHeight="1">
      <c r="A51" s="1284" t="s">
        <v>174</v>
      </c>
      <c r="B51" s="1284" t="s">
        <v>175</v>
      </c>
      <c r="C51" s="1284" t="s">
        <v>176</v>
      </c>
      <c r="D51" s="1284" t="s">
        <v>177</v>
      </c>
      <c r="E51" s="3909"/>
      <c r="F51" s="3909"/>
      <c r="G51" s="3909"/>
      <c r="H51" s="3909"/>
      <c r="I51" s="3929"/>
      <c r="J51" s="3906"/>
      <c r="K51" s="1284"/>
      <c r="L51" s="1285"/>
      <c r="P51" s="3907"/>
      <c r="Q51" s="3907"/>
      <c r="R51" s="277"/>
      <c r="S51" s="1203"/>
      <c r="T51" s="203" t="s">
        <v>442</v>
      </c>
      <c r="U51" s="291"/>
      <c r="V51" s="291"/>
      <c r="W51" s="291"/>
      <c r="X51" s="291"/>
      <c r="Y51" s="291"/>
      <c r="Z51" s="291"/>
      <c r="AA51" s="291"/>
      <c r="AB51" s="291"/>
      <c r="AC51" s="291"/>
      <c r="AD51" s="291"/>
      <c r="AE51" s="291"/>
      <c r="AF51" s="291"/>
      <c r="AG51" s="291"/>
      <c r="AH51" s="291"/>
      <c r="AI51" s="291"/>
      <c r="AJ51" s="291"/>
      <c r="AK51" s="291"/>
      <c r="AL51" s="245"/>
      <c r="AM51" s="3905"/>
      <c r="AO51" s="424"/>
      <c r="AP51" s="424" t="str">
        <f t="shared" si="1"/>
        <v>Добавить вид теплоносителя (параметры теплоносителя)</v>
      </c>
      <c r="AQ51" s="424"/>
      <c r="AR51" s="424"/>
    </row>
    <row r="52" spans="1:44" ht="11.25" customHeight="1">
      <c r="A52" s="1284" t="s">
        <v>174</v>
      </c>
      <c r="B52" s="1284" t="s">
        <v>175</v>
      </c>
      <c r="C52" s="1284" t="s">
        <v>176</v>
      </c>
      <c r="D52" s="1284" t="s">
        <v>177</v>
      </c>
      <c r="E52" s="3909"/>
      <c r="F52" s="3909"/>
      <c r="G52" s="3909"/>
      <c r="H52" s="3909"/>
      <c r="I52" s="3906"/>
      <c r="J52" s="1284"/>
      <c r="K52" s="1284"/>
      <c r="L52" s="1285"/>
      <c r="P52" s="3907"/>
      <c r="Q52" s="1131"/>
      <c r="R52" s="277"/>
      <c r="S52" s="1203"/>
      <c r="T52" s="202" t="s">
        <v>443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174</v>
      </c>
      <c r="B53" s="1284" t="s">
        <v>175</v>
      </c>
      <c r="C53" s="1284" t="s">
        <v>176</v>
      </c>
      <c r="D53" s="1284" t="s">
        <v>177</v>
      </c>
      <c r="E53" s="3909"/>
      <c r="F53" s="3909"/>
      <c r="G53" s="3909"/>
      <c r="H53" s="3908"/>
      <c r="I53" s="1284"/>
      <c r="J53" s="1284"/>
      <c r="K53" s="1284"/>
      <c r="L53" s="1285"/>
      <c r="M53" s="1286"/>
      <c r="N53" s="1286"/>
      <c r="O53" s="460"/>
      <c r="P53" s="281"/>
      <c r="Q53" s="299"/>
      <c r="R53" s="276"/>
      <c r="S53" s="1203"/>
      <c r="T53" s="288" t="s">
        <v>444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174</v>
      </c>
      <c r="B54" s="1265" t="s">
        <v>175</v>
      </c>
      <c r="C54" s="1265" t="s">
        <v>176</v>
      </c>
      <c r="D54" s="1237"/>
      <c r="E54" s="3909"/>
      <c r="F54" s="3909"/>
      <c r="G54" s="3908"/>
      <c r="H54" s="1237"/>
      <c r="I54" s="1237"/>
      <c r="J54" s="1237"/>
      <c r="K54" s="1237"/>
      <c r="L54" s="1261"/>
      <c r="M54" s="1238"/>
      <c r="N54" s="1238"/>
      <c r="P54" s="1239"/>
      <c r="Q54" s="1240"/>
      <c r="R54" s="1239"/>
      <c r="S54" s="1245"/>
      <c r="T54" s="1248" t="s">
        <v>445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174</v>
      </c>
      <c r="B55" s="1265" t="s">
        <v>175</v>
      </c>
      <c r="C55" s="1237"/>
      <c r="D55" s="1237"/>
      <c r="E55" s="3909"/>
      <c r="F55" s="3908"/>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174</v>
      </c>
      <c r="B56" s="1265"/>
      <c r="C56" s="1265"/>
      <c r="D56" s="1265"/>
      <c r="E56" s="3908"/>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262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928"/>
      <c r="U59" s="3928"/>
      <c r="V59" s="3928"/>
      <c r="W59" s="3928"/>
      <c r="X59" s="3928"/>
      <c r="Y59" s="3928"/>
      <c r="Z59" s="3928"/>
      <c r="AA59" s="3928"/>
      <c r="AB59" s="3928"/>
      <c r="AC59" s="3928"/>
      <c r="AD59" s="3928"/>
      <c r="AE59" s="3928"/>
      <c r="AF59" s="3928"/>
      <c r="AG59" s="3928"/>
      <c r="AH59" s="3928"/>
      <c r="AI59" s="3928"/>
      <c r="AJ59" s="3928"/>
      <c r="AK59" s="3928"/>
      <c r="AL59" s="3928"/>
      <c r="AM59" s="3928"/>
    </row>
    <row r="60" spans="1:44" ht="64.5" customHeight="1">
      <c r="O60" s="460"/>
      <c r="P60" s="1227"/>
      <c r="T60" s="3928"/>
      <c r="U60" s="3928"/>
      <c r="V60" s="3928"/>
      <c r="W60" s="3928"/>
      <c r="X60" s="3928"/>
      <c r="Y60" s="3928"/>
      <c r="Z60" s="3928"/>
      <c r="AA60" s="3928"/>
      <c r="AB60" s="3928"/>
      <c r="AC60" s="3928"/>
      <c r="AD60" s="3928"/>
      <c r="AE60" s="3928"/>
      <c r="AF60" s="3928"/>
      <c r="AG60" s="3928"/>
      <c r="AH60" s="3928"/>
      <c r="AI60" s="3928"/>
      <c r="AJ60" s="3928"/>
      <c r="AK60" s="3928"/>
      <c r="AL60" s="3928"/>
      <c r="AM60" s="3928"/>
    </row>
    <row r="61" spans="1:44" ht="14.25" customHeight="1">
      <c r="O61" s="460"/>
    </row>
    <row r="62" spans="1:44" ht="18" customHeight="1">
      <c r="O62" s="460"/>
      <c r="P62" s="1250"/>
      <c r="S62" s="1169"/>
      <c r="T62" s="3928"/>
      <c r="U62" s="3928"/>
      <c r="V62" s="3928"/>
      <c r="W62" s="3928"/>
      <c r="X62" s="3928"/>
      <c r="Y62" s="3928"/>
      <c r="Z62" s="3928"/>
      <c r="AA62" s="3928"/>
      <c r="AB62" s="3928"/>
      <c r="AC62" s="3928"/>
      <c r="AD62" s="3928"/>
      <c r="AE62" s="3928"/>
      <c r="AF62" s="3928"/>
      <c r="AG62" s="3928"/>
      <c r="AH62" s="3928"/>
      <c r="AI62" s="3928"/>
      <c r="AJ62" s="3928"/>
      <c r="AK62" s="3928"/>
      <c r="AL62" s="3928"/>
      <c r="AM62" s="3928"/>
    </row>
    <row r="63" spans="1:44" ht="18" customHeight="1">
      <c r="O63" s="460"/>
      <c r="P63" s="1250"/>
      <c r="T63" s="3928"/>
      <c r="U63" s="3928"/>
      <c r="V63" s="3928"/>
      <c r="W63" s="3928"/>
      <c r="X63" s="3928"/>
      <c r="Y63" s="3928"/>
      <c r="Z63" s="3928"/>
      <c r="AA63" s="3928"/>
      <c r="AB63" s="3928"/>
      <c r="AC63" s="3928"/>
      <c r="AD63" s="3928"/>
      <c r="AE63" s="3928"/>
      <c r="AF63" s="3928"/>
      <c r="AG63" s="3928"/>
      <c r="AH63" s="3928"/>
      <c r="AI63" s="3928"/>
      <c r="AJ63" s="3928"/>
      <c r="AK63" s="3928"/>
      <c r="AL63" s="3928"/>
      <c r="AM63" s="3928"/>
    </row>
    <row r="64" spans="1:44" ht="27.75" customHeight="1">
      <c r="O64" s="460"/>
      <c r="P64" s="1250"/>
      <c r="S64" s="1169"/>
      <c r="T64" s="3928"/>
      <c r="U64" s="3928"/>
      <c r="V64" s="3928"/>
      <c r="W64" s="3928"/>
      <c r="X64" s="3928"/>
      <c r="Y64" s="3928"/>
      <c r="Z64" s="3928"/>
      <c r="AA64" s="3928"/>
      <c r="AB64" s="3928"/>
      <c r="AC64" s="3928"/>
      <c r="AD64" s="3928"/>
      <c r="AE64" s="3928"/>
      <c r="AF64" s="3928"/>
      <c r="AG64" s="3928"/>
      <c r="AH64" s="3928"/>
      <c r="AI64" s="3928"/>
      <c r="AJ64" s="3928"/>
      <c r="AK64" s="3928"/>
      <c r="AL64" s="3928"/>
      <c r="AM64" s="39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908">
        <v>1</v>
      </c>
      <c r="F2" s="1284"/>
      <c r="G2" s="1284"/>
      <c r="H2" s="1284"/>
      <c r="I2" s="1284"/>
      <c r="J2" s="1284"/>
      <c r="K2" s="1284"/>
      <c r="L2" s="1285"/>
      <c r="M2" s="1286"/>
      <c r="N2" s="1286"/>
      <c r="O2" s="1286"/>
      <c r="P2" s="282"/>
      <c r="Q2" s="281"/>
      <c r="R2" s="276"/>
      <c r="S2" s="1258" t="e">
        <f>INDEX(PT_DIFFERENTIATION_NUM_NTAR,MATCH(A2,PT_DIFFERENTIATION_NTAR_ID,0))</f>
        <v>#N/A</v>
      </c>
      <c r="T2" s="212" t="s">
        <v>141</v>
      </c>
      <c r="U2" s="214"/>
      <c r="V2" s="3894"/>
      <c r="W2" s="3895"/>
      <c r="X2" s="3895"/>
      <c r="Y2" s="3895"/>
      <c r="Z2" s="3895"/>
      <c r="AA2" s="3895"/>
      <c r="AB2" s="3895"/>
      <c r="AC2" s="3896"/>
      <c r="AD2" s="3894" t="e">
        <f>INDEX(PT_DIFFERENTIATION_NTAR,MATCH(A2,PT_DIFFERENTIATION_NTAR_ID,0))</f>
        <v>#N/A</v>
      </c>
      <c r="AE2" s="3895"/>
      <c r="AF2" s="3895"/>
      <c r="AG2" s="3895"/>
      <c r="AH2" s="3895"/>
      <c r="AI2" s="3895"/>
      <c r="AJ2" s="3895"/>
      <c r="AK2" s="3895"/>
      <c r="AL2" s="3896"/>
      <c r="AM2" s="1182" t="s">
        <v>427</v>
      </c>
      <c r="AO2" s="424"/>
      <c r="AP2" s="424" t="str">
        <f t="shared" ref="AP2:AP15" si="0">IF(T2="","",T2)</f>
        <v>Наименование тарифа</v>
      </c>
      <c r="AQ2" s="424"/>
      <c r="AR2" s="424"/>
    </row>
    <row r="3" spans="1:44" ht="21" hidden="1" customHeight="1">
      <c r="A3" s="1284"/>
      <c r="B3" s="1284"/>
      <c r="C3" s="1284"/>
      <c r="D3" s="1284"/>
      <c r="E3" s="3909"/>
      <c r="F3" s="3908">
        <v>1</v>
      </c>
      <c r="G3" s="1284"/>
      <c r="H3" s="1284"/>
      <c r="I3" s="1284"/>
      <c r="J3" s="1284"/>
      <c r="K3" s="1284"/>
      <c r="L3" s="1285"/>
      <c r="M3" s="1286"/>
      <c r="N3" s="1286"/>
      <c r="O3" s="1286"/>
      <c r="P3" s="1254"/>
      <c r="Q3" s="273"/>
      <c r="R3" s="274"/>
      <c r="S3" s="1258" t="e">
        <f>INDEX(PT_DIFFERENTIATION_NUM_TER,MATCH(B3,PT_DIFFERENTIATION_TER_ID,0))</f>
        <v>#N/A</v>
      </c>
      <c r="T3" s="224" t="s">
        <v>428</v>
      </c>
      <c r="U3" s="214"/>
      <c r="V3" s="3894"/>
      <c r="W3" s="3895"/>
      <c r="X3" s="3895"/>
      <c r="Y3" s="3895"/>
      <c r="Z3" s="3895"/>
      <c r="AA3" s="3895"/>
      <c r="AB3" s="3895"/>
      <c r="AC3" s="3896"/>
      <c r="AD3" s="3894" t="e">
        <f>INDEX(PT_DIFFERENTIATION_TER,MATCH(B3,PT_DIFFERENTIATION_TER_ID,0))</f>
        <v>#N/A</v>
      </c>
      <c r="AE3" s="3895"/>
      <c r="AF3" s="3895"/>
      <c r="AG3" s="3895"/>
      <c r="AH3" s="3895"/>
      <c r="AI3" s="3895"/>
      <c r="AJ3" s="3895"/>
      <c r="AK3" s="3895"/>
      <c r="AL3" s="3896"/>
      <c r="AM3" s="1182" t="s">
        <v>429</v>
      </c>
      <c r="AO3" s="424"/>
      <c r="AP3" s="424" t="str">
        <f t="shared" si="0"/>
        <v>Территория действия тарифа</v>
      </c>
      <c r="AQ3" s="424"/>
      <c r="AR3" s="424"/>
    </row>
    <row r="4" spans="1:44" ht="23.25" hidden="1" customHeight="1">
      <c r="A4" s="1284"/>
      <c r="B4" s="1284"/>
      <c r="C4" s="1284"/>
      <c r="D4" s="1284"/>
      <c r="E4" s="3909"/>
      <c r="F4" s="3909"/>
      <c r="G4" s="3908">
        <v>1</v>
      </c>
      <c r="H4" s="1284"/>
      <c r="I4" s="1284"/>
      <c r="J4" s="1284"/>
      <c r="K4" s="1284"/>
      <c r="L4" s="1285"/>
      <c r="M4" s="1286"/>
      <c r="N4" s="1286"/>
      <c r="O4" s="1286"/>
      <c r="P4" s="275"/>
      <c r="Q4" s="273"/>
      <c r="R4" s="274"/>
      <c r="S4" s="1258" t="e">
        <f>INDEX(PT_DIFFERENTIATION_NUM_CS,MATCH(C4,PT_DIFFERENTIATION_CS_ID,0))</f>
        <v>#N/A</v>
      </c>
      <c r="T4" s="225" t="s">
        <v>430</v>
      </c>
      <c r="U4" s="214"/>
      <c r="V4" s="3894"/>
      <c r="W4" s="3895"/>
      <c r="X4" s="3895"/>
      <c r="Y4" s="3895"/>
      <c r="Z4" s="3895"/>
      <c r="AA4" s="3895"/>
      <c r="AB4" s="3895"/>
      <c r="AC4" s="3896"/>
      <c r="AD4" s="3894" t="e">
        <f>INDEX(PT_DIFFERENTIATION_CS,MATCH(C4,PT_DIFFERENTIATION_CS_ID,0))</f>
        <v>#N/A</v>
      </c>
      <c r="AE4" s="3895"/>
      <c r="AF4" s="3895"/>
      <c r="AG4" s="3895"/>
      <c r="AH4" s="3895"/>
      <c r="AI4" s="3895"/>
      <c r="AJ4" s="3895"/>
      <c r="AK4" s="3895"/>
      <c r="AL4" s="3896"/>
      <c r="AM4" s="1182" t="s">
        <v>431</v>
      </c>
      <c r="AO4" s="424"/>
      <c r="AP4" s="424" t="str">
        <f t="shared" si="0"/>
        <v xml:space="preserve">Наименование системы теплоснабжения </v>
      </c>
      <c r="AQ4" s="424"/>
      <c r="AR4" s="424"/>
    </row>
    <row r="5" spans="1:44" ht="21" hidden="1" customHeight="1">
      <c r="A5" s="1284"/>
      <c r="B5" s="1284"/>
      <c r="C5" s="1284"/>
      <c r="D5" s="1284"/>
      <c r="E5" s="3909"/>
      <c r="F5" s="3909"/>
      <c r="G5" s="3909"/>
      <c r="H5" s="3908">
        <v>1</v>
      </c>
      <c r="I5" s="1284"/>
      <c r="J5" s="1284"/>
      <c r="K5" s="1284"/>
      <c r="L5" s="1285"/>
      <c r="M5" s="1286"/>
      <c r="N5" s="1286"/>
      <c r="O5" s="1286"/>
      <c r="P5" s="275"/>
      <c r="Q5" s="273"/>
      <c r="R5" s="274"/>
      <c r="S5" s="1258" t="e">
        <f>INDEX(PT_DIFFERENTIATION_NUM_IST_TE,MATCH(D5,PT_DIFFERENTIATION_IST_TE_ID,0))</f>
        <v>#N/A</v>
      </c>
      <c r="T5" s="226" t="s">
        <v>432</v>
      </c>
      <c r="U5" s="214"/>
      <c r="V5" s="3894"/>
      <c r="W5" s="3895"/>
      <c r="X5" s="3895"/>
      <c r="Y5" s="3895"/>
      <c r="Z5" s="3895"/>
      <c r="AA5" s="3895"/>
      <c r="AB5" s="3895"/>
      <c r="AC5" s="3896"/>
      <c r="AD5" s="3894" t="e">
        <f>INDEX(PT_DIFFERENTIATION_IST_TE,MATCH(D5,PT_DIFFERENTIATION_IST_TE_ID,0))</f>
        <v>#N/A</v>
      </c>
      <c r="AE5" s="3895"/>
      <c r="AF5" s="3895"/>
      <c r="AG5" s="3895"/>
      <c r="AH5" s="3895"/>
      <c r="AI5" s="3895"/>
      <c r="AJ5" s="3895"/>
      <c r="AK5" s="3895"/>
      <c r="AL5" s="3896"/>
      <c r="AM5" s="1182" t="s">
        <v>433</v>
      </c>
      <c r="AO5" s="424"/>
      <c r="AP5" s="424" t="str">
        <f t="shared" si="0"/>
        <v xml:space="preserve">Источник тепловой энергии  </v>
      </c>
      <c r="AQ5" s="424"/>
      <c r="AR5" s="424"/>
    </row>
    <row r="6" spans="1:44" ht="47.25" hidden="1" customHeight="1">
      <c r="A6" s="1284"/>
      <c r="B6" s="1284"/>
      <c r="C6" s="1284"/>
      <c r="D6" s="1284"/>
      <c r="E6" s="3909"/>
      <c r="F6" s="3909"/>
      <c r="G6" s="3909"/>
      <c r="H6" s="3909"/>
      <c r="I6" s="3906" t="e">
        <f>S5&amp;".1"</f>
        <v>#N/A</v>
      </c>
      <c r="J6" s="1284"/>
      <c r="K6" s="1284"/>
      <c r="L6" s="1285" t="s">
        <v>434</v>
      </c>
      <c r="M6" s="460"/>
      <c r="P6" s="3907">
        <v>1</v>
      </c>
      <c r="Q6" s="1253"/>
      <c r="R6" s="277"/>
      <c r="S6" s="1258" t="e">
        <f>$I6</f>
        <v>#N/A</v>
      </c>
      <c r="T6" s="200" t="s">
        <v>435</v>
      </c>
      <c r="U6" s="214"/>
      <c r="V6" s="3897"/>
      <c r="W6" s="3898"/>
      <c r="X6" s="3898"/>
      <c r="Y6" s="3898"/>
      <c r="Z6" s="3898"/>
      <c r="AA6" s="3898"/>
      <c r="AB6" s="3898"/>
      <c r="AC6" s="3899"/>
      <c r="AD6" s="3897"/>
      <c r="AE6" s="3898"/>
      <c r="AF6" s="3898"/>
      <c r="AG6" s="3898"/>
      <c r="AH6" s="3898"/>
      <c r="AI6" s="3898"/>
      <c r="AJ6" s="3898"/>
      <c r="AK6" s="3898"/>
      <c r="AL6" s="3899"/>
      <c r="AM6" s="1182" t="s">
        <v>436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909"/>
      <c r="F7" s="3909"/>
      <c r="G7" s="3909"/>
      <c r="H7" s="3909"/>
      <c r="I7" s="3929"/>
      <c r="J7" s="3906" t="e">
        <f>I6&amp;".1"</f>
        <v>#N/A</v>
      </c>
      <c r="K7" s="1284"/>
      <c r="L7" s="1285" t="s">
        <v>437</v>
      </c>
      <c r="M7" s="460"/>
      <c r="N7" s="1287"/>
      <c r="P7" s="3907"/>
      <c r="Q7" s="3907">
        <v>1</v>
      </c>
      <c r="R7" s="278"/>
      <c r="S7" s="1258" t="e">
        <f>$J7</f>
        <v>#N/A</v>
      </c>
      <c r="T7" s="201" t="s">
        <v>438</v>
      </c>
      <c r="U7" s="214"/>
      <c r="V7" s="3897"/>
      <c r="W7" s="3898"/>
      <c r="X7" s="3898"/>
      <c r="Y7" s="3898"/>
      <c r="Z7" s="3898"/>
      <c r="AA7" s="3898"/>
      <c r="AB7" s="3898"/>
      <c r="AC7" s="3899"/>
      <c r="AD7" s="3897"/>
      <c r="AE7" s="3898"/>
      <c r="AF7" s="3898"/>
      <c r="AG7" s="3898"/>
      <c r="AH7" s="3898"/>
      <c r="AI7" s="3898"/>
      <c r="AJ7" s="3898"/>
      <c r="AK7" s="3898"/>
      <c r="AL7" s="3899"/>
      <c r="AM7" s="1182" t="s">
        <v>439</v>
      </c>
      <c r="AO7" s="424"/>
      <c r="AP7" s="424" t="str">
        <f t="shared" si="0"/>
        <v>Группа потребителей</v>
      </c>
      <c r="AQ7" s="424"/>
      <c r="AR7" s="424"/>
    </row>
    <row r="8" spans="1:44" ht="21" hidden="1" customHeight="1">
      <c r="A8" s="1284"/>
      <c r="B8" s="1284"/>
      <c r="C8" s="1284"/>
      <c r="D8" s="1284"/>
      <c r="E8" s="3909"/>
      <c r="F8" s="3909"/>
      <c r="G8" s="3909"/>
      <c r="H8" s="3909"/>
      <c r="I8" s="3929"/>
      <c r="J8" s="3929"/>
      <c r="K8" s="3906" t="e">
        <f>J7&amp;".1"</f>
        <v>#N/A</v>
      </c>
      <c r="L8" s="1285" t="s">
        <v>440</v>
      </c>
      <c r="M8" s="460"/>
      <c r="N8" s="1287"/>
      <c r="O8" s="1287"/>
      <c r="P8" s="3907"/>
      <c r="Q8" s="3907"/>
      <c r="R8" s="278">
        <v>1</v>
      </c>
      <c r="S8" s="1258" t="e">
        <f>$K8</f>
        <v>#N/A</v>
      </c>
      <c r="T8" s="1269"/>
      <c r="U8" s="214"/>
      <c r="V8" s="666"/>
      <c r="W8" s="246"/>
      <c r="X8" s="666"/>
      <c r="Y8" s="1181"/>
      <c r="Z8" s="3911"/>
      <c r="AA8" s="3759" t="s">
        <v>60</v>
      </c>
      <c r="AB8" s="3911"/>
      <c r="AC8" s="3759" t="s">
        <v>60</v>
      </c>
      <c r="AD8" s="666"/>
      <c r="AE8" s="246"/>
      <c r="AF8" s="666"/>
      <c r="AG8" s="1181"/>
      <c r="AH8" s="3911"/>
      <c r="AI8" s="3759" t="s">
        <v>60</v>
      </c>
      <c r="AJ8" s="3911"/>
      <c r="AK8" s="3759" t="s">
        <v>60</v>
      </c>
      <c r="AL8" s="246"/>
      <c r="AM8" s="3903" t="s">
        <v>441</v>
      </c>
      <c r="AN8" s="435" t="e">
        <f ca="1">STRCHECKDATE(V9:AL9)</f>
        <v>#NAME?</v>
      </c>
      <c r="AO8" s="424"/>
      <c r="AP8" s="424" t="str">
        <f t="shared" si="0"/>
        <v/>
      </c>
      <c r="AQ8" s="424"/>
      <c r="AR8" s="424"/>
    </row>
    <row r="9" spans="1:44" ht="0.75" hidden="1" customHeight="1">
      <c r="A9" s="1284"/>
      <c r="B9" s="1284"/>
      <c r="C9" s="1284"/>
      <c r="D9" s="1284"/>
      <c r="E9" s="3909"/>
      <c r="F9" s="3909"/>
      <c r="G9" s="3909"/>
      <c r="H9" s="3909"/>
      <c r="I9" s="3929"/>
      <c r="J9" s="3929"/>
      <c r="K9" s="3906"/>
      <c r="L9" s="1285"/>
      <c r="M9" s="460"/>
      <c r="N9" s="1287"/>
      <c r="O9" s="1287"/>
      <c r="P9" s="3907"/>
      <c r="Q9" s="3907"/>
      <c r="R9" s="278"/>
      <c r="S9" s="1264"/>
      <c r="T9" s="214"/>
      <c r="U9" s="214"/>
      <c r="V9" s="246"/>
      <c r="W9" s="246"/>
      <c r="X9" s="246"/>
      <c r="Y9" s="250" t="str">
        <f>Z8&amp;"-"&amp;AB8</f>
        <v>-</v>
      </c>
      <c r="Z9" s="3912"/>
      <c r="AA9" s="3759"/>
      <c r="AB9" s="3912"/>
      <c r="AC9" s="3759"/>
      <c r="AD9" s="246"/>
      <c r="AE9" s="246"/>
      <c r="AF9" s="246"/>
      <c r="AG9" s="250" t="str">
        <f>AH8&amp;"-"&amp;AJ8</f>
        <v>-</v>
      </c>
      <c r="AH9" s="3912"/>
      <c r="AI9" s="3759"/>
      <c r="AJ9" s="3912"/>
      <c r="AK9" s="3759"/>
      <c r="AL9" s="246"/>
      <c r="AM9" s="3904"/>
      <c r="AO9" s="424"/>
      <c r="AP9" s="424" t="str">
        <f t="shared" si="0"/>
        <v/>
      </c>
      <c r="AQ9" s="424"/>
      <c r="AR9" s="424"/>
    </row>
    <row r="10" spans="1:44" ht="15" hidden="1" customHeight="1">
      <c r="A10" s="1284"/>
      <c r="B10" s="1284"/>
      <c r="C10" s="1284"/>
      <c r="D10" s="1284"/>
      <c r="E10" s="3909"/>
      <c r="F10" s="3909"/>
      <c r="G10" s="3909"/>
      <c r="H10" s="3909"/>
      <c r="I10" s="3929"/>
      <c r="J10" s="3906"/>
      <c r="K10" s="1284"/>
      <c r="L10" s="1285"/>
      <c r="M10" s="460"/>
      <c r="N10" s="1287"/>
      <c r="P10" s="3907"/>
      <c r="Q10" s="3907"/>
      <c r="R10" s="277"/>
      <c r="S10" s="1203"/>
      <c r="T10" s="203" t="s">
        <v>442</v>
      </c>
      <c r="U10" s="291"/>
      <c r="V10" s="291"/>
      <c r="W10" s="291"/>
      <c r="X10" s="291"/>
      <c r="Y10" s="291"/>
      <c r="Z10" s="291"/>
      <c r="AA10" s="291"/>
      <c r="AB10" s="291"/>
      <c r="AC10" s="291"/>
      <c r="AD10" s="291"/>
      <c r="AE10" s="291"/>
      <c r="AF10" s="291"/>
      <c r="AG10" s="291"/>
      <c r="AH10" s="291"/>
      <c r="AI10" s="291"/>
      <c r="AJ10" s="291"/>
      <c r="AK10" s="291"/>
      <c r="AL10" s="245"/>
      <c r="AM10" s="3905"/>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909"/>
      <c r="F11" s="3909"/>
      <c r="G11" s="3909"/>
      <c r="H11" s="3909"/>
      <c r="I11" s="3906"/>
      <c r="J11" s="1284"/>
      <c r="K11" s="1284"/>
      <c r="L11" s="1285"/>
      <c r="M11" s="460"/>
      <c r="P11" s="3907"/>
      <c r="Q11" s="1253"/>
      <c r="R11" s="277"/>
      <c r="S11" s="1203"/>
      <c r="T11" s="202" t="s">
        <v>443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909"/>
      <c r="F12" s="3909"/>
      <c r="G12" s="3909"/>
      <c r="H12" s="3908"/>
      <c r="I12" s="1284"/>
      <c r="J12" s="1284"/>
      <c r="K12" s="1284"/>
      <c r="L12" s="1285"/>
      <c r="M12" s="1286"/>
      <c r="N12" s="1286"/>
      <c r="O12" s="460"/>
      <c r="P12" s="281"/>
      <c r="Q12" s="299"/>
      <c r="R12" s="276"/>
      <c r="S12" s="1203"/>
      <c r="T12" s="288" t="s">
        <v>444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909"/>
      <c r="F13" s="3909"/>
      <c r="G13" s="3908"/>
      <c r="H13" s="1237"/>
      <c r="I13" s="1237"/>
      <c r="J13" s="1237"/>
      <c r="K13" s="1237"/>
      <c r="L13" s="1261"/>
      <c r="M13" s="1238"/>
      <c r="N13" s="1238"/>
      <c r="P13" s="1239"/>
      <c r="Q13" s="1240"/>
      <c r="R13" s="1239"/>
      <c r="S13" s="1241"/>
      <c r="T13" s="1242" t="s">
        <v>445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909"/>
      <c r="F14" s="3908"/>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908"/>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913"/>
      <c r="AI17" s="3914" t="s">
        <v>60</v>
      </c>
      <c r="AJ17" s="3913"/>
      <c r="AK17" s="3914" t="s">
        <v>60</v>
      </c>
    </row>
    <row r="18" spans="1:44" ht="14.25" hidden="1" customHeight="1">
      <c r="AD18" s="1281"/>
      <c r="AE18" s="1281"/>
      <c r="AF18" s="1281"/>
      <c r="AG18" s="250" t="str">
        <f>AH17&amp;"-"&amp;AJ17</f>
        <v>-</v>
      </c>
      <c r="AH18" s="3914"/>
      <c r="AI18" s="3914"/>
      <c r="AJ18" s="3914"/>
      <c r="AK18" s="3914"/>
    </row>
    <row r="19" spans="1:44" ht="14.25" hidden="1" customHeight="1">
      <c r="AK19" s="249"/>
    </row>
    <row r="20" spans="1:44" s="1287" customFormat="1" ht="22.5" hidden="1" customHeight="1">
      <c r="L20" s="1251"/>
      <c r="M20" s="1283"/>
      <c r="N20" s="1283"/>
      <c r="O20" s="1288" t="s">
        <v>446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447</v>
      </c>
      <c r="P22" s="1283"/>
      <c r="Q22" s="1292"/>
      <c r="R22" s="1292"/>
      <c r="S22" s="646"/>
      <c r="T22" s="1065" t="s">
        <v>448</v>
      </c>
      <c r="AA22" s="104" t="s">
        <v>449</v>
      </c>
      <c r="AC22" s="104" t="s">
        <v>450</v>
      </c>
      <c r="AD22" s="1065" t="s">
        <v>448</v>
      </c>
      <c r="AI22" s="104" t="s">
        <v>451</v>
      </c>
      <c r="AK22" s="104" t="s">
        <v>450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38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892"/>
      <c r="U26" s="3892"/>
      <c r="V26" s="3892"/>
      <c r="W26" s="3892"/>
      <c r="X26" s="3892"/>
      <c r="Y26" s="3892"/>
      <c r="Z26" s="3892"/>
      <c r="AA26" s="3892"/>
      <c r="AB26" s="3892"/>
      <c r="AC26" s="3892"/>
      <c r="AD26" s="3892"/>
      <c r="AE26" s="3892"/>
      <c r="AF26" s="3892"/>
      <c r="AG26" s="3892"/>
      <c r="AH26" s="3892"/>
      <c r="AI26" s="3892"/>
      <c r="AJ26" s="3892"/>
      <c r="AK26" s="1157"/>
    </row>
    <row r="27" spans="1:44" ht="14.25" customHeight="1">
      <c r="Q27" s="300"/>
      <c r="R27" s="300"/>
      <c r="S27" s="3839" t="str">
        <f>IF(org=0,"Не определено",org)</f>
        <v>ГУП СК "Ставрополькрайводоканал"</v>
      </c>
      <c r="T27" s="3839"/>
      <c r="U27" s="3839"/>
      <c r="V27" s="3839"/>
      <c r="W27" s="3839"/>
      <c r="X27" s="3839"/>
      <c r="Y27" s="3839"/>
      <c r="Z27" s="3839"/>
      <c r="AA27" s="3839"/>
      <c r="AB27" s="3839"/>
      <c r="AC27" s="3839"/>
      <c r="AD27" s="3839"/>
      <c r="AE27" s="3839"/>
      <c r="AF27" s="3839"/>
      <c r="AG27" s="3839"/>
      <c r="AH27" s="3839"/>
      <c r="AI27" s="3839"/>
      <c r="AJ27" s="383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900" t="s">
        <v>38</v>
      </c>
      <c r="T29" s="3900"/>
      <c r="U29" s="1293"/>
      <c r="V29" s="3901" t="str">
        <f>IF(TITLE_NAME_OR_PR_CHANGE="",IF(TITLE_NAME_OR_PR="","",TITLE_NAME_OR_PR),TITLE_NAME_OR_PR_CHANGE)</f>
        <v>Региональная тарифная комиссия Ставропольского края</v>
      </c>
      <c r="W29" s="3901"/>
      <c r="X29" s="3901"/>
      <c r="Y29" s="3901"/>
      <c r="Z29" s="3901"/>
      <c r="AA29" s="3901"/>
      <c r="AB29" s="3901"/>
      <c r="AC29" s="248"/>
      <c r="AD29" s="3901" t="str">
        <f>IF(TITLE_NAME_OR_PR_CHANGE="",IF(TITLE_NAME_OR_PR="","",TITLE_NAME_OR_PR),TITLE_NAME_OR_PR_CHANGE)</f>
        <v>Региональная тарифная комиссия Ставропольского края</v>
      </c>
      <c r="AE29" s="3901"/>
      <c r="AF29" s="3901"/>
      <c r="AG29" s="3901"/>
      <c r="AH29" s="3901"/>
      <c r="AI29" s="3901"/>
      <c r="AJ29" s="3901"/>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900" t="s">
        <v>452</v>
      </c>
      <c r="T30" s="3900"/>
      <c r="U30" s="1293"/>
      <c r="V30" s="3910">
        <f>IF(TITLE_DATE_PR_CHANGE="",IF(TITLE_DATE_PR="","",TITLE_DATE_PR),TITLE_DATE_PR_CHANGE)</f>
        <v>45278</v>
      </c>
      <c r="W30" s="3910"/>
      <c r="X30" s="3910"/>
      <c r="Y30" s="3910"/>
      <c r="Z30" s="3910"/>
      <c r="AA30" s="3910"/>
      <c r="AB30" s="3910"/>
      <c r="AC30" s="248"/>
      <c r="AD30" s="3910">
        <f>IF(TITLE_DATE_PR_CHANGE="",IF(TITLE_DATE_PR="","",TITLE_DATE_PR),TITLE_DATE_PR_CHANGE)</f>
        <v>45278</v>
      </c>
      <c r="AE30" s="3910"/>
      <c r="AF30" s="3910"/>
      <c r="AG30" s="3910"/>
      <c r="AH30" s="3910"/>
      <c r="AI30" s="3910"/>
      <c r="AJ30" s="3910"/>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900" t="s">
        <v>453</v>
      </c>
      <c r="T31" s="3900"/>
      <c r="U31" s="1293"/>
      <c r="V31" s="3901" t="str">
        <f>IF(TITLE_NUMBER_PR_CHANGE="",IF(TITLE_NUMBER_PR="","",TITLE_NUMBER_PR),TITLE_NUMBER_PR_CHANGE)</f>
        <v>79/2</v>
      </c>
      <c r="W31" s="3901"/>
      <c r="X31" s="3901"/>
      <c r="Y31" s="3901"/>
      <c r="Z31" s="3901"/>
      <c r="AA31" s="3901"/>
      <c r="AB31" s="3901"/>
      <c r="AC31" s="248"/>
      <c r="AD31" s="3901" t="str">
        <f>IF(TITLE_NUMBER_PR_CHANGE="",IF(TITLE_NUMBER_PR="","",TITLE_NUMBER_PR),TITLE_NUMBER_PR_CHANGE)</f>
        <v>79/2</v>
      </c>
      <c r="AE31" s="3901"/>
      <c r="AF31" s="3901"/>
      <c r="AG31" s="3901"/>
      <c r="AH31" s="3901"/>
      <c r="AI31" s="3901"/>
      <c r="AJ31" s="3901"/>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900" t="s">
        <v>40</v>
      </c>
      <c r="T32" s="3900"/>
      <c r="U32" s="1293"/>
      <c r="V32" s="3901" t="str">
        <f>IF(TITLE_IST_PUB_CHANGE="",IF(TITLE_IST_PUB="","",TITLE_IST_PUB),TITLE_IST_PUB_CHANGE)</f>
        <v>http://pravo.stavregion.ru/</v>
      </c>
      <c r="W32" s="3901"/>
      <c r="X32" s="3901"/>
      <c r="Y32" s="3901"/>
      <c r="Z32" s="3901"/>
      <c r="AA32" s="3901"/>
      <c r="AB32" s="3901"/>
      <c r="AC32" s="248"/>
      <c r="AD32" s="3901" t="str">
        <f>IF(TITLE_IST_PUB_CHANGE="",IF(TITLE_IST_PUB="","",TITLE_IST_PUB),TITLE_IST_PUB_CHANGE)</f>
        <v>http://pravo.stavregion.ru/</v>
      </c>
      <c r="AE32" s="3901"/>
      <c r="AF32" s="3901"/>
      <c r="AG32" s="3901"/>
      <c r="AH32" s="3901"/>
      <c r="AI32" s="3901"/>
      <c r="AJ32" s="3901"/>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900" t="s">
        <v>454</v>
      </c>
      <c r="T34" s="3900"/>
      <c r="U34" s="1293"/>
      <c r="V34" s="3910">
        <f>IF(TITLE_DATE_PR_CHANGE="",IF(TITLE_DATE_PR="","",TITLE_DATE_PR),TITLE_DATE_PR_CHANGE)</f>
        <v>45278</v>
      </c>
      <c r="W34" s="3910"/>
      <c r="X34" s="3910"/>
      <c r="Y34" s="3910"/>
      <c r="Z34" s="3910"/>
      <c r="AA34" s="3910"/>
      <c r="AB34" s="3910"/>
      <c r="AC34" s="248"/>
      <c r="AD34" s="3910">
        <f>IF(TITLE_DATE_PR_CHANGE="",IF(TITLE_DATE_PR="","",TITLE_DATE_PR),TITLE_DATE_PR_CHANGE)</f>
        <v>45278</v>
      </c>
      <c r="AE34" s="3910"/>
      <c r="AF34" s="3910"/>
      <c r="AG34" s="3910"/>
      <c r="AH34" s="3910"/>
      <c r="AI34" s="3910"/>
      <c r="AJ34" s="3910"/>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900" t="s">
        <v>455</v>
      </c>
      <c r="T35" s="3900"/>
      <c r="U35" s="1293"/>
      <c r="V35" s="3901" t="str">
        <f>IF(TITLE_NUMBER_PR_CHANGE="",IF(TITLE_NUMBER_PR="","",TITLE_NUMBER_PR),TITLE_NUMBER_PR_CHANGE)</f>
        <v>79/2</v>
      </c>
      <c r="W35" s="3901"/>
      <c r="X35" s="3901"/>
      <c r="Y35" s="3901"/>
      <c r="Z35" s="3901"/>
      <c r="AA35" s="3901"/>
      <c r="AB35" s="3901"/>
      <c r="AC35" s="248"/>
      <c r="AD35" s="3901" t="str">
        <f>IF(TITLE_NUMBER_PR_CHANGE="",IF(TITLE_NUMBER_PR="","",TITLE_NUMBER_PR),TITLE_NUMBER_PR_CHANGE)</f>
        <v>79/2</v>
      </c>
      <c r="AE35" s="3901"/>
      <c r="AF35" s="3901"/>
      <c r="AG35" s="3901"/>
      <c r="AH35" s="3901"/>
      <c r="AI35" s="3901"/>
      <c r="AJ35" s="3901"/>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456</v>
      </c>
      <c r="AD36" s="248"/>
      <c r="AE36" s="248"/>
      <c r="AF36" s="248"/>
      <c r="AG36" s="248"/>
      <c r="AH36" s="248"/>
      <c r="AI36" s="248"/>
      <c r="AJ36" s="248"/>
      <c r="AK36" s="194" t="s">
        <v>456</v>
      </c>
      <c r="AN36" s="292"/>
      <c r="AO36" s="292"/>
      <c r="AP36" s="292"/>
      <c r="AQ36" s="292"/>
      <c r="AR36" s="292"/>
    </row>
    <row r="37" spans="1:44" ht="14.25" customHeight="1">
      <c r="Q37" s="300"/>
      <c r="R37" s="300"/>
      <c r="S37" s="1200"/>
      <c r="T37" s="286"/>
      <c r="U37" s="1158"/>
      <c r="V37" s="3902"/>
      <c r="W37" s="3902"/>
      <c r="X37" s="3902"/>
      <c r="Y37" s="3902"/>
      <c r="Z37" s="3902"/>
      <c r="AA37" s="3902"/>
      <c r="AB37" s="3902"/>
      <c r="AC37" s="3902"/>
      <c r="AD37" s="3902"/>
      <c r="AE37" s="3902"/>
      <c r="AF37" s="3902"/>
      <c r="AG37" s="3902"/>
      <c r="AH37" s="3902"/>
      <c r="AI37" s="3902"/>
      <c r="AJ37" s="3902"/>
      <c r="AK37" s="3902"/>
    </row>
    <row r="38" spans="1:44" ht="14.25" customHeight="1">
      <c r="Q38" s="300"/>
      <c r="R38" s="300"/>
      <c r="S38" s="3778" t="s">
        <v>329</v>
      </c>
      <c r="T38" s="3778"/>
      <c r="U38" s="3778"/>
      <c r="V38" s="3778"/>
      <c r="W38" s="3778"/>
      <c r="X38" s="3778"/>
      <c r="Y38" s="3778"/>
      <c r="Z38" s="3778"/>
      <c r="AA38" s="3778"/>
      <c r="AB38" s="3778"/>
      <c r="AC38" s="3778"/>
      <c r="AD38" s="3778"/>
      <c r="AE38" s="3778"/>
      <c r="AF38" s="3778"/>
      <c r="AG38" s="3778"/>
      <c r="AH38" s="3778"/>
      <c r="AI38" s="3778"/>
      <c r="AJ38" s="3778"/>
      <c r="AK38" s="3778"/>
      <c r="AL38" s="3778"/>
      <c r="AM38" s="3778" t="s">
        <v>330</v>
      </c>
    </row>
    <row r="39" spans="1:44" ht="14.25" customHeight="1">
      <c r="Q39" s="300"/>
      <c r="R39" s="300"/>
      <c r="S39" s="3916" t="s">
        <v>86</v>
      </c>
      <c r="T39" s="3868" t="s">
        <v>457</v>
      </c>
      <c r="U39" s="215"/>
      <c r="V39" s="3917" t="s">
        <v>458</v>
      </c>
      <c r="W39" s="3918"/>
      <c r="X39" s="3918"/>
      <c r="Y39" s="3918"/>
      <c r="Z39" s="3918"/>
      <c r="AA39" s="3918"/>
      <c r="AB39" s="3919"/>
      <c r="AC39" s="3920" t="s">
        <v>459</v>
      </c>
      <c r="AD39" s="3917" t="s">
        <v>458</v>
      </c>
      <c r="AE39" s="3918"/>
      <c r="AF39" s="3918"/>
      <c r="AG39" s="3918"/>
      <c r="AH39" s="3918"/>
      <c r="AI39" s="3918"/>
      <c r="AJ39" s="3919"/>
      <c r="AK39" s="3920" t="s">
        <v>460</v>
      </c>
      <c r="AL39" s="3923" t="s">
        <v>461</v>
      </c>
      <c r="AM39" s="3778"/>
    </row>
    <row r="40" spans="1:44" ht="33.75" customHeight="1">
      <c r="Q40" s="300"/>
      <c r="R40" s="300"/>
      <c r="S40" s="3916"/>
      <c r="T40" s="3868"/>
      <c r="U40" s="942"/>
      <c r="V40" s="3838" t="s">
        <v>462</v>
      </c>
      <c r="W40" s="3926" t="s">
        <v>463</v>
      </c>
      <c r="X40" s="3749" t="s">
        <v>464</v>
      </c>
      <c r="Y40" s="3748"/>
      <c r="Z40" s="3749" t="s">
        <v>477</v>
      </c>
      <c r="AA40" s="3754"/>
      <c r="AB40" s="3748"/>
      <c r="AC40" s="3921"/>
      <c r="AD40" s="3838" t="s">
        <v>462</v>
      </c>
      <c r="AE40" s="3926" t="s">
        <v>463</v>
      </c>
      <c r="AF40" s="3749" t="s">
        <v>464</v>
      </c>
      <c r="AG40" s="3748"/>
      <c r="AH40" s="3749" t="s">
        <v>465</v>
      </c>
      <c r="AI40" s="3754"/>
      <c r="AJ40" s="3748"/>
      <c r="AK40" s="3921"/>
      <c r="AL40" s="3924"/>
      <c r="AM40" s="3778"/>
    </row>
    <row r="41" spans="1:44" ht="33.75" customHeight="1">
      <c r="A41" s="1291"/>
      <c r="B41" s="1291" t="s">
        <v>153</v>
      </c>
      <c r="C41" s="1291" t="s">
        <v>154</v>
      </c>
      <c r="D41" s="1291" t="s">
        <v>155</v>
      </c>
      <c r="E41" s="1285" t="s">
        <v>466</v>
      </c>
      <c r="F41" s="1285" t="s">
        <v>467</v>
      </c>
      <c r="G41" s="1285" t="s">
        <v>468</v>
      </c>
      <c r="H41" s="1285" t="s">
        <v>469</v>
      </c>
      <c r="I41" s="1285" t="s">
        <v>470</v>
      </c>
      <c r="J41" s="1285" t="s">
        <v>471</v>
      </c>
      <c r="K41" s="1285" t="s">
        <v>472</v>
      </c>
      <c r="L41" s="1285" t="s">
        <v>447</v>
      </c>
      <c r="Q41" s="300"/>
      <c r="R41" s="300"/>
      <c r="S41" s="3916"/>
      <c r="T41" s="3868"/>
      <c r="U41" s="216"/>
      <c r="V41" s="3887"/>
      <c r="W41" s="3927"/>
      <c r="X41" s="1133" t="s">
        <v>473</v>
      </c>
      <c r="Y41" s="1133" t="s">
        <v>474</v>
      </c>
      <c r="Z41" s="1260" t="s">
        <v>475</v>
      </c>
      <c r="AA41" s="3876" t="s">
        <v>476</v>
      </c>
      <c r="AB41" s="3878"/>
      <c r="AC41" s="3922"/>
      <c r="AD41" s="3887"/>
      <c r="AE41" s="3927"/>
      <c r="AF41" s="1133" t="s">
        <v>473</v>
      </c>
      <c r="AG41" s="1133" t="s">
        <v>474</v>
      </c>
      <c r="AH41" s="1260" t="s">
        <v>475</v>
      </c>
      <c r="AI41" s="3876" t="s">
        <v>476</v>
      </c>
      <c r="AJ41" s="3878"/>
      <c r="AK41" s="3922"/>
      <c r="AL41" s="3925"/>
      <c r="AM41" s="377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129</v>
      </c>
      <c r="T42" s="1177" t="s">
        <v>102</v>
      </c>
      <c r="U42" s="1159" t="str">
        <f ca="1">OFFSET(U42,0,-1)</f>
        <v>2</v>
      </c>
      <c r="V42" s="1257">
        <f ca="1">OFFSET(V42,0,-1)+1</f>
        <v>3</v>
      </c>
      <c r="W42" s="1257"/>
      <c r="X42" s="1257">
        <f ca="1">OFFSET(X42,0,-1)+1</f>
        <v>1</v>
      </c>
      <c r="Y42" s="1257">
        <f ca="1">OFFSET(Y42,0,-1)+1</f>
        <v>2</v>
      </c>
      <c r="Z42" s="1257">
        <f ca="1">OFFSET(Z42,0,-1)+1</f>
        <v>3</v>
      </c>
      <c r="AA42" s="3915">
        <f ca="1">OFFSET(AA42,0,-1)+1</f>
        <v>4</v>
      </c>
      <c r="AB42" s="3915"/>
      <c r="AC42" s="1257">
        <f ca="1">OFFSET(AC42,0,-2)+1</f>
        <v>5</v>
      </c>
      <c r="AD42" s="1257">
        <f ca="1">OFFSET(AD42,0,-1)+1</f>
        <v>6</v>
      </c>
      <c r="AE42" s="1257"/>
      <c r="AF42" s="1257">
        <f ca="1">OFFSET(AF42,0,-1)+1</f>
        <v>1</v>
      </c>
      <c r="AG42" s="1257">
        <f ca="1">OFFSET(AG42,0,-1)+1</f>
        <v>2</v>
      </c>
      <c r="AH42" s="1257">
        <f ca="1">OFFSET(AH42,0,-1)+1</f>
        <v>3</v>
      </c>
      <c r="AI42" s="3915">
        <f ca="1">OFFSET(AI42,0,-1)+1</f>
        <v>4</v>
      </c>
      <c r="AJ42" s="3915"/>
      <c r="AK42" s="1257">
        <f ca="1">OFFSET(AK42,0,-2)+1</f>
        <v>5</v>
      </c>
      <c r="AL42" s="1159">
        <f ca="1">OFFSET(AL42,0,-1)</f>
        <v>5</v>
      </c>
      <c r="AM42" s="1257">
        <f ca="1">OFFSET(AM42,0,-1)+1</f>
        <v>6</v>
      </c>
      <c r="AN42" s="435"/>
      <c r="AO42" s="435"/>
      <c r="AP42" s="435"/>
      <c r="AQ42" s="435"/>
      <c r="AR42" s="435"/>
    </row>
    <row r="43" spans="1:44" ht="21" customHeight="1">
      <c r="A43" s="1284" t="s">
        <v>180</v>
      </c>
      <c r="B43" s="1284"/>
      <c r="C43" s="1284"/>
      <c r="D43" s="1284"/>
      <c r="E43" s="3908">
        <v>1</v>
      </c>
      <c r="F43" s="1284"/>
      <c r="G43" s="1284"/>
      <c r="H43" s="1284"/>
      <c r="I43" s="1284"/>
      <c r="J43" s="1284"/>
      <c r="K43" s="1284"/>
      <c r="L43" s="1285"/>
      <c r="M43" s="1286"/>
      <c r="N43" s="1286"/>
      <c r="O43" s="1286"/>
      <c r="P43" s="282"/>
      <c r="Q43" s="281"/>
      <c r="R43" s="276"/>
      <c r="S43" s="1258">
        <f>INDEX(PT_DIFFERENTIATION_NUM_NTAR,MATCH(A43,PT_DIFFERENTIATION_NTAR_ID,0))</f>
        <v>0</v>
      </c>
      <c r="T43" s="212" t="s">
        <v>141</v>
      </c>
      <c r="U43" s="214"/>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180</v>
      </c>
      <c r="B44" s="1284" t="s">
        <v>181</v>
      </c>
      <c r="C44" s="1284"/>
      <c r="D44" s="1284"/>
      <c r="E44" s="3909"/>
      <c r="F44" s="3908">
        <v>1</v>
      </c>
      <c r="G44" s="1284"/>
      <c r="H44" s="1284"/>
      <c r="I44" s="1284"/>
      <c r="J44" s="1284"/>
      <c r="K44" s="1284"/>
      <c r="L44" s="1285"/>
      <c r="M44" s="1286"/>
      <c r="N44" s="1286"/>
      <c r="O44" s="1286"/>
      <c r="P44" s="1254"/>
      <c r="Q44" s="273"/>
      <c r="R44" s="274"/>
      <c r="S44" s="1258" t="str">
        <f>INDEX(PT_DIFFERENTIATION_NUM_TER,MATCH(B44,PT_DIFFERENTIATION_TER_ID,0))</f>
        <v>.</v>
      </c>
      <c r="T44" s="224" t="s">
        <v>428</v>
      </c>
      <c r="U44" s="214"/>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182" t="s">
        <v>429</v>
      </c>
      <c r="AO44" s="424"/>
      <c r="AP44" s="424" t="str">
        <f t="shared" si="1"/>
        <v>Территория действия тарифа</v>
      </c>
      <c r="AQ44" s="424"/>
      <c r="AR44" s="424"/>
    </row>
    <row r="45" spans="1:44" ht="23.25" customHeight="1">
      <c r="A45" s="1284" t="s">
        <v>180</v>
      </c>
      <c r="B45" s="1284" t="s">
        <v>181</v>
      </c>
      <c r="C45" s="1284" t="s">
        <v>182</v>
      </c>
      <c r="D45" s="1284"/>
      <c r="E45" s="3909"/>
      <c r="F45" s="3909"/>
      <c r="G45" s="3908">
        <v>1</v>
      </c>
      <c r="H45" s="1284"/>
      <c r="I45" s="1284"/>
      <c r="J45" s="1284"/>
      <c r="K45" s="1284"/>
      <c r="L45" s="1285"/>
      <c r="M45" s="1286"/>
      <c r="N45" s="1286"/>
      <c r="O45" s="1286"/>
      <c r="P45" s="275"/>
      <c r="Q45" s="273"/>
      <c r="R45" s="274"/>
      <c r="S45" s="1258" t="str">
        <f>INDEX(PT_DIFFERENTIATION_NUM_CS,MATCH(C45,PT_DIFFERENTIATION_CS_ID,0))</f>
        <v>..</v>
      </c>
      <c r="T45" s="225" t="s">
        <v>430</v>
      </c>
      <c r="U45" s="214"/>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182" t="s">
        <v>431</v>
      </c>
      <c r="AO45" s="424"/>
      <c r="AP45" s="424" t="str">
        <f t="shared" si="1"/>
        <v xml:space="preserve">Наименование системы теплоснабжения </v>
      </c>
      <c r="AQ45" s="424"/>
      <c r="AR45" s="424"/>
    </row>
    <row r="46" spans="1:44" ht="21" customHeight="1">
      <c r="A46" s="1284" t="s">
        <v>180</v>
      </c>
      <c r="B46" s="1284" t="s">
        <v>181</v>
      </c>
      <c r="C46" s="1284" t="s">
        <v>182</v>
      </c>
      <c r="D46" s="1284" t="s">
        <v>183</v>
      </c>
      <c r="E46" s="3909"/>
      <c r="F46" s="3909"/>
      <c r="G46" s="3909"/>
      <c r="H46" s="3908">
        <v>1</v>
      </c>
      <c r="I46" s="1284"/>
      <c r="J46" s="1284"/>
      <c r="K46" s="1284"/>
      <c r="L46" s="1285"/>
      <c r="M46" s="1286"/>
      <c r="N46" s="1286"/>
      <c r="O46" s="1286"/>
      <c r="P46" s="275"/>
      <c r="Q46" s="273"/>
      <c r="R46" s="274"/>
      <c r="S46" s="1258" t="str">
        <f>INDEX(PT_DIFFERENTIATION_NUM_IST_TE,MATCH(D46,PT_DIFFERENTIATION_IST_TE_ID,0))</f>
        <v>...</v>
      </c>
      <c r="T46" s="226" t="s">
        <v>432</v>
      </c>
      <c r="U46" s="214"/>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182" t="s">
        <v>433</v>
      </c>
      <c r="AO46" s="424"/>
      <c r="AP46" s="424" t="str">
        <f t="shared" si="1"/>
        <v xml:space="preserve">Источник тепловой энергии  </v>
      </c>
      <c r="AQ46" s="424"/>
      <c r="AR46" s="424"/>
    </row>
    <row r="47" spans="1:44" ht="47.25" customHeight="1">
      <c r="A47" s="1284" t="s">
        <v>180</v>
      </c>
      <c r="B47" s="1284" t="s">
        <v>181</v>
      </c>
      <c r="C47" s="1284" t="s">
        <v>182</v>
      </c>
      <c r="D47" s="1284" t="s">
        <v>183</v>
      </c>
      <c r="E47" s="3909"/>
      <c r="F47" s="3909"/>
      <c r="G47" s="3909"/>
      <c r="H47" s="3909"/>
      <c r="I47" s="3906" t="str">
        <f>S46&amp;".1"</f>
        <v>....1</v>
      </c>
      <c r="J47" s="1284"/>
      <c r="K47" s="1284"/>
      <c r="L47" s="1285" t="s">
        <v>434</v>
      </c>
      <c r="P47" s="3907">
        <v>1</v>
      </c>
      <c r="Q47" s="1253"/>
      <c r="R47" s="277"/>
      <c r="S47" s="1258" t="str">
        <f>$I47</f>
        <v>....1</v>
      </c>
      <c r="T47" s="200" t="s">
        <v>435</v>
      </c>
      <c r="U47" s="214"/>
      <c r="V47" s="3897"/>
      <c r="W47" s="3898"/>
      <c r="X47" s="3898"/>
      <c r="Y47" s="3898"/>
      <c r="Z47" s="3898"/>
      <c r="AA47" s="3898"/>
      <c r="AB47" s="3898"/>
      <c r="AC47" s="3899"/>
      <c r="AD47" s="3897"/>
      <c r="AE47" s="3898"/>
      <c r="AF47" s="3898"/>
      <c r="AG47" s="3898"/>
      <c r="AH47" s="3898"/>
      <c r="AI47" s="3898"/>
      <c r="AJ47" s="3898"/>
      <c r="AK47" s="3898"/>
      <c r="AL47" s="3899"/>
      <c r="AM47" s="1182" t="s">
        <v>436</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180</v>
      </c>
      <c r="B48" s="1284" t="s">
        <v>181</v>
      </c>
      <c r="C48" s="1284" t="s">
        <v>182</v>
      </c>
      <c r="D48" s="1284" t="s">
        <v>183</v>
      </c>
      <c r="E48" s="3909"/>
      <c r="F48" s="3909"/>
      <c r="G48" s="3909"/>
      <c r="H48" s="3909"/>
      <c r="I48" s="3929"/>
      <c r="J48" s="3906" t="str">
        <f>I47&amp;".1"</f>
        <v>....1.1</v>
      </c>
      <c r="K48" s="1284"/>
      <c r="L48" s="1285" t="s">
        <v>437</v>
      </c>
      <c r="P48" s="3907"/>
      <c r="Q48" s="3907">
        <v>1</v>
      </c>
      <c r="R48" s="278"/>
      <c r="S48" s="1258" t="str">
        <f>$J48</f>
        <v>....1.1</v>
      </c>
      <c r="T48" s="201" t="s">
        <v>438</v>
      </c>
      <c r="U48" s="214"/>
      <c r="V48" s="3897"/>
      <c r="W48" s="3898"/>
      <c r="X48" s="3898"/>
      <c r="Y48" s="3898"/>
      <c r="Z48" s="3898"/>
      <c r="AA48" s="3898"/>
      <c r="AB48" s="3898"/>
      <c r="AC48" s="3899"/>
      <c r="AD48" s="3897"/>
      <c r="AE48" s="3898"/>
      <c r="AF48" s="3898"/>
      <c r="AG48" s="3898"/>
      <c r="AH48" s="3898"/>
      <c r="AI48" s="3898"/>
      <c r="AJ48" s="3898"/>
      <c r="AK48" s="3898"/>
      <c r="AL48" s="3899"/>
      <c r="AM48" s="1182" t="s">
        <v>439</v>
      </c>
      <c r="AO48" s="424"/>
      <c r="AP48" s="424" t="str">
        <f t="shared" si="1"/>
        <v>Группа потребителей</v>
      </c>
      <c r="AQ48" s="424"/>
      <c r="AR48" s="424"/>
    </row>
    <row r="49" spans="1:44" ht="21" customHeight="1">
      <c r="A49" s="1284" t="s">
        <v>180</v>
      </c>
      <c r="B49" s="1284" t="s">
        <v>181</v>
      </c>
      <c r="C49" s="1284" t="s">
        <v>182</v>
      </c>
      <c r="D49" s="1284" t="s">
        <v>183</v>
      </c>
      <c r="E49" s="3909"/>
      <c r="F49" s="3909"/>
      <c r="G49" s="3909"/>
      <c r="H49" s="3909"/>
      <c r="I49" s="3929"/>
      <c r="J49" s="3929"/>
      <c r="K49" s="3906" t="str">
        <f>J48&amp;".1"</f>
        <v>....1.1.1</v>
      </c>
      <c r="L49" s="1285" t="s">
        <v>440</v>
      </c>
      <c r="P49" s="3907"/>
      <c r="Q49" s="3907"/>
      <c r="R49" s="278">
        <v>1</v>
      </c>
      <c r="S49" s="1258" t="str">
        <f>$K49</f>
        <v>....1.1.1</v>
      </c>
      <c r="T49" s="1269"/>
      <c r="U49" s="214"/>
      <c r="V49" s="666"/>
      <c r="W49" s="246"/>
      <c r="X49" s="666"/>
      <c r="Y49" s="1181"/>
      <c r="Z49" s="3911"/>
      <c r="AA49" s="3759" t="s">
        <v>60</v>
      </c>
      <c r="AB49" s="3911"/>
      <c r="AC49" s="3759" t="s">
        <v>60</v>
      </c>
      <c r="AD49" s="666"/>
      <c r="AE49" s="246"/>
      <c r="AF49" s="666"/>
      <c r="AG49" s="1181"/>
      <c r="AH49" s="3911"/>
      <c r="AI49" s="3759" t="s">
        <v>60</v>
      </c>
      <c r="AJ49" s="3930"/>
      <c r="AK49" s="3759" t="s">
        <v>60</v>
      </c>
      <c r="AL49" s="1270"/>
      <c r="AM49" s="3903" t="s">
        <v>441</v>
      </c>
      <c r="AN49" s="435" t="e">
        <f ca="1">STRCHECKDATE(V50:AL50)</f>
        <v>#NAME?</v>
      </c>
      <c r="AO49" s="424"/>
      <c r="AP49" s="424" t="str">
        <f t="shared" si="1"/>
        <v/>
      </c>
      <c r="AQ49" s="424"/>
      <c r="AR49" s="424"/>
    </row>
    <row r="50" spans="1:44" ht="0.75" customHeight="1">
      <c r="A50" s="1284" t="s">
        <v>180</v>
      </c>
      <c r="B50" s="1284" t="s">
        <v>181</v>
      </c>
      <c r="C50" s="1284" t="s">
        <v>182</v>
      </c>
      <c r="D50" s="1284" t="s">
        <v>183</v>
      </c>
      <c r="E50" s="3909"/>
      <c r="F50" s="3909"/>
      <c r="G50" s="3909"/>
      <c r="H50" s="3909"/>
      <c r="I50" s="3929"/>
      <c r="J50" s="3929"/>
      <c r="K50" s="3906"/>
      <c r="L50" s="1285"/>
      <c r="P50" s="3907"/>
      <c r="Q50" s="3907"/>
      <c r="R50" s="278"/>
      <c r="S50" s="1264"/>
      <c r="T50" s="214"/>
      <c r="U50" s="214"/>
      <c r="V50" s="246"/>
      <c r="W50" s="246"/>
      <c r="X50" s="246"/>
      <c r="Y50" s="250" t="str">
        <f>Z49&amp;"-"&amp;AB49</f>
        <v>-</v>
      </c>
      <c r="Z50" s="3912"/>
      <c r="AA50" s="3759"/>
      <c r="AB50" s="3912"/>
      <c r="AC50" s="3759"/>
      <c r="AD50" s="246"/>
      <c r="AE50" s="246"/>
      <c r="AF50" s="246"/>
      <c r="AG50" s="250" t="str">
        <f>AH49&amp;"-"&amp;AJ49</f>
        <v>-</v>
      </c>
      <c r="AH50" s="3912"/>
      <c r="AI50" s="3759"/>
      <c r="AJ50" s="3931"/>
      <c r="AK50" s="3759"/>
      <c r="AL50" s="1271"/>
      <c r="AM50" s="3904"/>
      <c r="AO50" s="424"/>
      <c r="AP50" s="424" t="str">
        <f t="shared" si="1"/>
        <v/>
      </c>
      <c r="AQ50" s="424"/>
      <c r="AR50" s="424"/>
    </row>
    <row r="51" spans="1:44" ht="11.25" customHeight="1">
      <c r="A51" s="1284" t="s">
        <v>180</v>
      </c>
      <c r="B51" s="1284" t="s">
        <v>181</v>
      </c>
      <c r="C51" s="1284" t="s">
        <v>182</v>
      </c>
      <c r="D51" s="1284" t="s">
        <v>183</v>
      </c>
      <c r="E51" s="3909"/>
      <c r="F51" s="3909"/>
      <c r="G51" s="3909"/>
      <c r="H51" s="3909"/>
      <c r="I51" s="3929"/>
      <c r="J51" s="3906"/>
      <c r="K51" s="1284"/>
      <c r="L51" s="1285"/>
      <c r="P51" s="3907"/>
      <c r="Q51" s="3907"/>
      <c r="R51" s="277"/>
      <c r="S51" s="1203"/>
      <c r="T51" s="203" t="s">
        <v>442</v>
      </c>
      <c r="U51" s="291"/>
      <c r="V51" s="291"/>
      <c r="W51" s="291"/>
      <c r="X51" s="291"/>
      <c r="Y51" s="291"/>
      <c r="Z51" s="291"/>
      <c r="AA51" s="291"/>
      <c r="AB51" s="291"/>
      <c r="AC51" s="291"/>
      <c r="AD51" s="291"/>
      <c r="AE51" s="291"/>
      <c r="AF51" s="291"/>
      <c r="AG51" s="291"/>
      <c r="AH51" s="291"/>
      <c r="AI51" s="291"/>
      <c r="AJ51" s="291"/>
      <c r="AK51" s="291"/>
      <c r="AL51" s="245"/>
      <c r="AM51" s="3905"/>
      <c r="AO51" s="424"/>
      <c r="AP51" s="424" t="str">
        <f t="shared" si="1"/>
        <v>Добавить вид теплоносителя (параметры теплоносителя)</v>
      </c>
      <c r="AQ51" s="424"/>
      <c r="AR51" s="424"/>
    </row>
    <row r="52" spans="1:44" ht="11.25" customHeight="1">
      <c r="A52" s="1284" t="s">
        <v>180</v>
      </c>
      <c r="B52" s="1284" t="s">
        <v>181</v>
      </c>
      <c r="C52" s="1284" t="s">
        <v>182</v>
      </c>
      <c r="D52" s="1284" t="s">
        <v>183</v>
      </c>
      <c r="E52" s="3909"/>
      <c r="F52" s="3909"/>
      <c r="G52" s="3909"/>
      <c r="H52" s="3909"/>
      <c r="I52" s="3906"/>
      <c r="J52" s="1284"/>
      <c r="K52" s="1284"/>
      <c r="L52" s="1285"/>
      <c r="P52" s="3907"/>
      <c r="Q52" s="1253"/>
      <c r="R52" s="277"/>
      <c r="S52" s="1203"/>
      <c r="T52" s="202" t="s">
        <v>443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180</v>
      </c>
      <c r="B53" s="1284" t="s">
        <v>181</v>
      </c>
      <c r="C53" s="1284" t="s">
        <v>182</v>
      </c>
      <c r="D53" s="1284" t="s">
        <v>183</v>
      </c>
      <c r="E53" s="3909"/>
      <c r="F53" s="3909"/>
      <c r="G53" s="3909"/>
      <c r="H53" s="3908"/>
      <c r="I53" s="1284"/>
      <c r="J53" s="1284"/>
      <c r="K53" s="1284"/>
      <c r="L53" s="1285"/>
      <c r="M53" s="1286"/>
      <c r="N53" s="1286"/>
      <c r="O53" s="460"/>
      <c r="P53" s="281"/>
      <c r="Q53" s="299"/>
      <c r="R53" s="276"/>
      <c r="S53" s="1203"/>
      <c r="T53" s="288" t="s">
        <v>444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180</v>
      </c>
      <c r="B54" s="1265" t="s">
        <v>181</v>
      </c>
      <c r="C54" s="1265" t="s">
        <v>182</v>
      </c>
      <c r="D54" s="1237"/>
      <c r="E54" s="3909"/>
      <c r="F54" s="3909"/>
      <c r="G54" s="3908"/>
      <c r="H54" s="1237"/>
      <c r="I54" s="1237"/>
      <c r="J54" s="1237"/>
      <c r="K54" s="1237"/>
      <c r="L54" s="1261"/>
      <c r="M54" s="1238"/>
      <c r="N54" s="1238"/>
      <c r="P54" s="1239"/>
      <c r="Q54" s="1240"/>
      <c r="R54" s="1239"/>
      <c r="S54" s="1245"/>
      <c r="T54" s="1248" t="s">
        <v>445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180</v>
      </c>
      <c r="B55" s="1265" t="s">
        <v>181</v>
      </c>
      <c r="C55" s="1237"/>
      <c r="D55" s="1237"/>
      <c r="E55" s="3909"/>
      <c r="F55" s="3908"/>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180</v>
      </c>
      <c r="B56" s="1265"/>
      <c r="C56" s="1265"/>
      <c r="D56" s="1265"/>
      <c r="E56" s="3908"/>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262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928"/>
      <c r="U59" s="3928"/>
      <c r="V59" s="3928"/>
      <c r="W59" s="3928"/>
      <c r="X59" s="3928"/>
      <c r="Y59" s="3928"/>
      <c r="Z59" s="3928"/>
      <c r="AA59" s="3928"/>
      <c r="AB59" s="3928"/>
      <c r="AC59" s="3928"/>
      <c r="AD59" s="3928"/>
      <c r="AE59" s="3928"/>
      <c r="AF59" s="3928"/>
      <c r="AG59" s="3928"/>
      <c r="AH59" s="3928"/>
      <c r="AI59" s="3928"/>
      <c r="AJ59" s="3928"/>
      <c r="AK59" s="3928"/>
      <c r="AL59" s="3928"/>
      <c r="AM59" s="3928"/>
    </row>
    <row r="60" spans="1:44" ht="62.25" customHeight="1">
      <c r="O60" s="460"/>
      <c r="T60" s="3928"/>
      <c r="U60" s="3928"/>
      <c r="V60" s="3928"/>
      <c r="W60" s="3928"/>
      <c r="X60" s="3928"/>
      <c r="Y60" s="3928"/>
      <c r="Z60" s="3928"/>
      <c r="AA60" s="3928"/>
      <c r="AB60" s="3928"/>
      <c r="AC60" s="3928"/>
      <c r="AD60" s="3928"/>
      <c r="AE60" s="3928"/>
      <c r="AF60" s="3928"/>
      <c r="AG60" s="3928"/>
      <c r="AH60" s="3928"/>
      <c r="AI60" s="3928"/>
      <c r="AJ60" s="3928"/>
      <c r="AK60" s="3928"/>
      <c r="AL60" s="3928"/>
      <c r="AM60" s="3928"/>
    </row>
    <row r="61" spans="1:44" ht="14.25" customHeight="1">
      <c r="O61" s="460"/>
    </row>
    <row r="62" spans="1:44" ht="18" customHeight="1">
      <c r="O62" s="460"/>
      <c r="S62" s="1169"/>
      <c r="T62" s="3928"/>
      <c r="U62" s="3928"/>
      <c r="V62" s="3928"/>
      <c r="W62" s="3928"/>
      <c r="X62" s="3928"/>
      <c r="Y62" s="3928"/>
      <c r="Z62" s="3928"/>
      <c r="AA62" s="3928"/>
      <c r="AB62" s="3928"/>
      <c r="AC62" s="3928"/>
      <c r="AD62" s="3928"/>
      <c r="AE62" s="3928"/>
      <c r="AF62" s="3928"/>
      <c r="AG62" s="3928"/>
      <c r="AH62" s="3928"/>
      <c r="AI62" s="3928"/>
      <c r="AJ62" s="3928"/>
      <c r="AK62" s="3928"/>
      <c r="AL62" s="3928"/>
      <c r="AM62" s="3928"/>
    </row>
    <row r="63" spans="1:44" ht="18" customHeight="1">
      <c r="O63" s="460"/>
      <c r="T63" s="3928"/>
      <c r="U63" s="3928"/>
      <c r="V63" s="3928"/>
      <c r="W63" s="3928"/>
      <c r="X63" s="3928"/>
      <c r="Y63" s="3928"/>
      <c r="Z63" s="3928"/>
      <c r="AA63" s="3928"/>
      <c r="AB63" s="3928"/>
      <c r="AC63" s="3928"/>
      <c r="AD63" s="3928"/>
      <c r="AE63" s="3928"/>
      <c r="AF63" s="3928"/>
      <c r="AG63" s="3928"/>
      <c r="AH63" s="3928"/>
      <c r="AI63" s="3928"/>
      <c r="AJ63" s="3928"/>
      <c r="AK63" s="3928"/>
      <c r="AL63" s="3928"/>
      <c r="AM63" s="3928"/>
    </row>
    <row r="64" spans="1:44" ht="27.75" customHeight="1">
      <c r="O64" s="460"/>
      <c r="S64" s="1169"/>
      <c r="T64" s="3928"/>
      <c r="U64" s="3928"/>
      <c r="V64" s="3928"/>
      <c r="W64" s="3928"/>
      <c r="X64" s="3928"/>
      <c r="Y64" s="3928"/>
      <c r="Z64" s="3928"/>
      <c r="AA64" s="3928"/>
      <c r="AB64" s="3928"/>
      <c r="AC64" s="3928"/>
      <c r="AD64" s="3928"/>
      <c r="AE64" s="3928"/>
      <c r="AF64" s="3928"/>
      <c r="AG64" s="3928"/>
      <c r="AH64" s="3928"/>
      <c r="AI64" s="3928"/>
      <c r="AJ64" s="3928"/>
      <c r="AK64" s="3928"/>
      <c r="AL64" s="3928"/>
      <c r="AM64" s="39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908">
        <v>1</v>
      </c>
      <c r="F2" s="1284"/>
      <c r="G2" s="1284"/>
      <c r="H2" s="1284"/>
      <c r="I2" s="1284"/>
      <c r="J2" s="1284"/>
      <c r="K2" s="1284"/>
      <c r="L2" s="1285"/>
      <c r="M2" s="1286"/>
      <c r="N2" s="1286"/>
      <c r="O2" s="1286"/>
      <c r="P2" s="282"/>
      <c r="Q2" s="281"/>
      <c r="R2" s="276"/>
      <c r="S2" s="1258" t="e">
        <f>INDEX(PT_DIFFERENTIATION_NUM_NTAR,MATCH(A2,PT_DIFFERENTIATION_NTAR_ID,0))</f>
        <v>#N/A</v>
      </c>
      <c r="T2" s="212" t="s">
        <v>141</v>
      </c>
      <c r="U2" s="214"/>
      <c r="V2" s="3894"/>
      <c r="W2" s="3895"/>
      <c r="X2" s="3895"/>
      <c r="Y2" s="3895"/>
      <c r="Z2" s="3895"/>
      <c r="AA2" s="3895"/>
      <c r="AB2" s="3895"/>
      <c r="AC2" s="3896"/>
      <c r="AD2" s="3894" t="e">
        <f>INDEX(PT_DIFFERENTIATION_NTAR,MATCH(A2,PT_DIFFERENTIATION_NTAR_ID,0))</f>
        <v>#N/A</v>
      </c>
      <c r="AE2" s="3895"/>
      <c r="AF2" s="3895"/>
      <c r="AG2" s="3895"/>
      <c r="AH2" s="3895"/>
      <c r="AI2" s="3895"/>
      <c r="AJ2" s="3895"/>
      <c r="AK2" s="3895"/>
      <c r="AL2" s="3896"/>
      <c r="AM2" s="1182" t="s">
        <v>427</v>
      </c>
      <c r="AO2" s="424"/>
      <c r="AP2" s="424" t="str">
        <f t="shared" ref="AP2:AP15" si="0">IF(T2="","",T2)</f>
        <v>Наименование тарифа</v>
      </c>
      <c r="AQ2" s="424"/>
      <c r="AR2" s="424"/>
    </row>
    <row r="3" spans="1:44" ht="21" hidden="1" customHeight="1">
      <c r="A3" s="1284"/>
      <c r="B3" s="1284"/>
      <c r="C3" s="1284"/>
      <c r="D3" s="1284"/>
      <c r="E3" s="3909"/>
      <c r="F3" s="3908">
        <v>1</v>
      </c>
      <c r="G3" s="1284"/>
      <c r="H3" s="1284"/>
      <c r="I3" s="1284"/>
      <c r="J3" s="1284"/>
      <c r="K3" s="1284"/>
      <c r="L3" s="1285"/>
      <c r="M3" s="1286"/>
      <c r="N3" s="1286"/>
      <c r="O3" s="1286"/>
      <c r="P3" s="1254"/>
      <c r="Q3" s="273"/>
      <c r="R3" s="274"/>
      <c r="S3" s="1258" t="e">
        <f>INDEX(PT_DIFFERENTIATION_NUM_TER,MATCH(B3,PT_DIFFERENTIATION_TER_ID,0))</f>
        <v>#N/A</v>
      </c>
      <c r="T3" s="224" t="s">
        <v>428</v>
      </c>
      <c r="U3" s="214"/>
      <c r="V3" s="3894"/>
      <c r="W3" s="3895"/>
      <c r="X3" s="3895"/>
      <c r="Y3" s="3895"/>
      <c r="Z3" s="3895"/>
      <c r="AA3" s="3895"/>
      <c r="AB3" s="3895"/>
      <c r="AC3" s="3896"/>
      <c r="AD3" s="3894" t="e">
        <f>INDEX(PT_DIFFERENTIATION_TER,MATCH(B3,PT_DIFFERENTIATION_TER_ID,0))</f>
        <v>#N/A</v>
      </c>
      <c r="AE3" s="3895"/>
      <c r="AF3" s="3895"/>
      <c r="AG3" s="3895"/>
      <c r="AH3" s="3895"/>
      <c r="AI3" s="3895"/>
      <c r="AJ3" s="3895"/>
      <c r="AK3" s="3895"/>
      <c r="AL3" s="3896"/>
      <c r="AM3" s="1182" t="s">
        <v>429</v>
      </c>
      <c r="AO3" s="424"/>
      <c r="AP3" s="424" t="str">
        <f t="shared" si="0"/>
        <v>Территория действия тарифа</v>
      </c>
      <c r="AQ3" s="424"/>
      <c r="AR3" s="424"/>
    </row>
    <row r="4" spans="1:44" ht="23.25" hidden="1" customHeight="1">
      <c r="A4" s="1284"/>
      <c r="B4" s="1284"/>
      <c r="C4" s="1284"/>
      <c r="D4" s="1284"/>
      <c r="E4" s="3909"/>
      <c r="F4" s="3909"/>
      <c r="G4" s="3908">
        <v>1</v>
      </c>
      <c r="H4" s="1284"/>
      <c r="I4" s="1284"/>
      <c r="J4" s="1284"/>
      <c r="K4" s="1284"/>
      <c r="L4" s="1285"/>
      <c r="M4" s="1286"/>
      <c r="N4" s="1286"/>
      <c r="O4" s="1286"/>
      <c r="P4" s="275"/>
      <c r="Q4" s="273"/>
      <c r="R4" s="274"/>
      <c r="S4" s="1258" t="e">
        <f>INDEX(PT_DIFFERENTIATION_NUM_CS,MATCH(C4,PT_DIFFERENTIATION_CS_ID,0))</f>
        <v>#N/A</v>
      </c>
      <c r="T4" s="225" t="s">
        <v>430</v>
      </c>
      <c r="U4" s="214"/>
      <c r="V4" s="3894"/>
      <c r="W4" s="3895"/>
      <c r="X4" s="3895"/>
      <c r="Y4" s="3895"/>
      <c r="Z4" s="3895"/>
      <c r="AA4" s="3895"/>
      <c r="AB4" s="3895"/>
      <c r="AC4" s="3896"/>
      <c r="AD4" s="3894" t="e">
        <f>INDEX(PT_DIFFERENTIATION_CS,MATCH(C4,PT_DIFFERENTIATION_CS_ID,0))</f>
        <v>#N/A</v>
      </c>
      <c r="AE4" s="3895"/>
      <c r="AF4" s="3895"/>
      <c r="AG4" s="3895"/>
      <c r="AH4" s="3895"/>
      <c r="AI4" s="3895"/>
      <c r="AJ4" s="3895"/>
      <c r="AK4" s="3895"/>
      <c r="AL4" s="3896"/>
      <c r="AM4" s="1182" t="s">
        <v>431</v>
      </c>
      <c r="AO4" s="424"/>
      <c r="AP4" s="424" t="str">
        <f t="shared" si="0"/>
        <v xml:space="preserve">Наименование системы теплоснабжения </v>
      </c>
      <c r="AQ4" s="424"/>
      <c r="AR4" s="424"/>
    </row>
    <row r="5" spans="1:44" ht="21" hidden="1" customHeight="1">
      <c r="A5" s="1284"/>
      <c r="B5" s="1284"/>
      <c r="C5" s="1284"/>
      <c r="D5" s="1284"/>
      <c r="E5" s="3909"/>
      <c r="F5" s="3909"/>
      <c r="G5" s="3909"/>
      <c r="H5" s="3908">
        <v>1</v>
      </c>
      <c r="I5" s="1284"/>
      <c r="J5" s="1284"/>
      <c r="K5" s="1284"/>
      <c r="L5" s="1285"/>
      <c r="M5" s="1286"/>
      <c r="N5" s="1286"/>
      <c r="O5" s="1286"/>
      <c r="P5" s="275"/>
      <c r="Q5" s="273"/>
      <c r="R5" s="274"/>
      <c r="S5" s="1258" t="e">
        <f>INDEX(PT_DIFFERENTIATION_NUM_IST_TE,MATCH(D5,PT_DIFFERENTIATION_IST_TE_ID,0))</f>
        <v>#N/A</v>
      </c>
      <c r="T5" s="226" t="s">
        <v>432</v>
      </c>
      <c r="U5" s="214"/>
      <c r="V5" s="3894"/>
      <c r="W5" s="3895"/>
      <c r="X5" s="3895"/>
      <c r="Y5" s="3895"/>
      <c r="Z5" s="3895"/>
      <c r="AA5" s="3895"/>
      <c r="AB5" s="3895"/>
      <c r="AC5" s="3896"/>
      <c r="AD5" s="3894" t="e">
        <f>INDEX(PT_DIFFERENTIATION_IST_TE,MATCH(D5,PT_DIFFERENTIATION_IST_TE_ID,0))</f>
        <v>#N/A</v>
      </c>
      <c r="AE5" s="3895"/>
      <c r="AF5" s="3895"/>
      <c r="AG5" s="3895"/>
      <c r="AH5" s="3895"/>
      <c r="AI5" s="3895"/>
      <c r="AJ5" s="3895"/>
      <c r="AK5" s="3895"/>
      <c r="AL5" s="3896"/>
      <c r="AM5" s="1182" t="s">
        <v>433</v>
      </c>
      <c r="AO5" s="424"/>
      <c r="AP5" s="424" t="str">
        <f t="shared" si="0"/>
        <v xml:space="preserve">Источник тепловой энергии  </v>
      </c>
      <c r="AQ5" s="424"/>
      <c r="AR5" s="424"/>
    </row>
    <row r="6" spans="1:44" ht="47.25" hidden="1" customHeight="1">
      <c r="A6" s="1284"/>
      <c r="B6" s="1284"/>
      <c r="C6" s="1284"/>
      <c r="D6" s="1284"/>
      <c r="E6" s="3909"/>
      <c r="F6" s="3909"/>
      <c r="G6" s="3909"/>
      <c r="H6" s="3909"/>
      <c r="I6" s="3906" t="e">
        <f>S5&amp;".1"</f>
        <v>#N/A</v>
      </c>
      <c r="J6" s="1284"/>
      <c r="K6" s="1284"/>
      <c r="L6" s="1285" t="s">
        <v>434</v>
      </c>
      <c r="M6" s="460"/>
      <c r="P6" s="3907">
        <v>1</v>
      </c>
      <c r="Q6" s="1253"/>
      <c r="R6" s="277"/>
      <c r="S6" s="1258" t="e">
        <f>$I6</f>
        <v>#N/A</v>
      </c>
      <c r="T6" s="200" t="s">
        <v>435</v>
      </c>
      <c r="U6" s="214"/>
      <c r="V6" s="3897"/>
      <c r="W6" s="3898"/>
      <c r="X6" s="3898"/>
      <c r="Y6" s="3898"/>
      <c r="Z6" s="3898"/>
      <c r="AA6" s="3898"/>
      <c r="AB6" s="3898"/>
      <c r="AC6" s="3899"/>
      <c r="AD6" s="3897"/>
      <c r="AE6" s="3898"/>
      <c r="AF6" s="3898"/>
      <c r="AG6" s="3898"/>
      <c r="AH6" s="3898"/>
      <c r="AI6" s="3898"/>
      <c r="AJ6" s="3898"/>
      <c r="AK6" s="3898"/>
      <c r="AL6" s="3899"/>
      <c r="AM6" s="1182" t="s">
        <v>436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3909"/>
      <c r="F7" s="3909"/>
      <c r="G7" s="3909"/>
      <c r="H7" s="3909"/>
      <c r="I7" s="3929"/>
      <c r="J7" s="3906" t="e">
        <f>I6&amp;".1"</f>
        <v>#N/A</v>
      </c>
      <c r="K7" s="1284"/>
      <c r="L7" s="1285" t="s">
        <v>437</v>
      </c>
      <c r="M7" s="460"/>
      <c r="N7" s="1287"/>
      <c r="P7" s="3907"/>
      <c r="Q7" s="3907">
        <v>1</v>
      </c>
      <c r="R7" s="278"/>
      <c r="S7" s="1258" t="e">
        <f>$J7</f>
        <v>#N/A</v>
      </c>
      <c r="T7" s="201" t="s">
        <v>438</v>
      </c>
      <c r="U7" s="214"/>
      <c r="V7" s="3897"/>
      <c r="W7" s="3898"/>
      <c r="X7" s="3898"/>
      <c r="Y7" s="3898"/>
      <c r="Z7" s="3898"/>
      <c r="AA7" s="3898"/>
      <c r="AB7" s="3898"/>
      <c r="AC7" s="3899"/>
      <c r="AD7" s="3897"/>
      <c r="AE7" s="3898"/>
      <c r="AF7" s="3898"/>
      <c r="AG7" s="3898"/>
      <c r="AH7" s="3898"/>
      <c r="AI7" s="3898"/>
      <c r="AJ7" s="3898"/>
      <c r="AK7" s="3898"/>
      <c r="AL7" s="3899"/>
      <c r="AM7" s="1182" t="s">
        <v>439</v>
      </c>
      <c r="AO7" s="424"/>
      <c r="AP7" s="424" t="str">
        <f t="shared" si="0"/>
        <v>Группа потребителей</v>
      </c>
      <c r="AQ7" s="424"/>
      <c r="AR7" s="424"/>
    </row>
    <row r="8" spans="1:44" ht="21" hidden="1" customHeight="1">
      <c r="A8" s="1284"/>
      <c r="B8" s="1284"/>
      <c r="C8" s="1284"/>
      <c r="D8" s="1284"/>
      <c r="E8" s="3909"/>
      <c r="F8" s="3909"/>
      <c r="G8" s="3909"/>
      <c r="H8" s="3909"/>
      <c r="I8" s="3929"/>
      <c r="J8" s="3929"/>
      <c r="K8" s="3906" t="e">
        <f>J7&amp;".1"</f>
        <v>#N/A</v>
      </c>
      <c r="L8" s="1285" t="s">
        <v>440</v>
      </c>
      <c r="M8" s="460"/>
      <c r="N8" s="1287"/>
      <c r="O8" s="1287"/>
      <c r="P8" s="3907"/>
      <c r="Q8" s="3907"/>
      <c r="R8" s="278">
        <v>1</v>
      </c>
      <c r="S8" s="1258" t="e">
        <f>$K8</f>
        <v>#N/A</v>
      </c>
      <c r="T8" s="1269"/>
      <c r="U8" s="214"/>
      <c r="V8" s="246"/>
      <c r="W8" s="666"/>
      <c r="X8" s="246"/>
      <c r="Y8" s="313"/>
      <c r="Z8" s="3911"/>
      <c r="AA8" s="3759" t="s">
        <v>60</v>
      </c>
      <c r="AB8" s="3911"/>
      <c r="AC8" s="3759" t="s">
        <v>60</v>
      </c>
      <c r="AD8" s="246"/>
      <c r="AE8" s="666"/>
      <c r="AF8" s="246"/>
      <c r="AG8" s="313"/>
      <c r="AH8" s="3911"/>
      <c r="AI8" s="3759" t="s">
        <v>60</v>
      </c>
      <c r="AJ8" s="3911"/>
      <c r="AK8" s="3759" t="s">
        <v>60</v>
      </c>
      <c r="AL8" s="246"/>
      <c r="AM8" s="3903" t="s">
        <v>441</v>
      </c>
      <c r="AN8" s="435" t="e">
        <f ca="1">STRCHECKDATE(V9:AL9)</f>
        <v>#NAME?</v>
      </c>
      <c r="AO8" s="424"/>
      <c r="AP8" s="424" t="str">
        <f t="shared" si="0"/>
        <v/>
      </c>
      <c r="AQ8" s="424"/>
      <c r="AR8" s="424"/>
    </row>
    <row r="9" spans="1:44" ht="0.75" hidden="1" customHeight="1">
      <c r="A9" s="1284"/>
      <c r="B9" s="1284"/>
      <c r="C9" s="1284"/>
      <c r="D9" s="1284"/>
      <c r="E9" s="3909"/>
      <c r="F9" s="3909"/>
      <c r="G9" s="3909"/>
      <c r="H9" s="3909"/>
      <c r="I9" s="3929"/>
      <c r="J9" s="3929"/>
      <c r="K9" s="3906"/>
      <c r="L9" s="1285"/>
      <c r="M9" s="460"/>
      <c r="N9" s="1287"/>
      <c r="O9" s="1287"/>
      <c r="P9" s="3907"/>
      <c r="Q9" s="3907"/>
      <c r="R9" s="278"/>
      <c r="S9" s="1264"/>
      <c r="T9" s="214"/>
      <c r="U9" s="214"/>
      <c r="V9" s="246"/>
      <c r="W9" s="246"/>
      <c r="X9" s="246"/>
      <c r="Y9" s="250" t="str">
        <f>Z8&amp;"-"&amp;AB8</f>
        <v>-</v>
      </c>
      <c r="Z9" s="3912"/>
      <c r="AA9" s="3759"/>
      <c r="AB9" s="3912"/>
      <c r="AC9" s="3759"/>
      <c r="AD9" s="246"/>
      <c r="AE9" s="246"/>
      <c r="AF9" s="246"/>
      <c r="AG9" s="250" t="str">
        <f>AH8&amp;"-"&amp;AJ8</f>
        <v>-</v>
      </c>
      <c r="AH9" s="3912"/>
      <c r="AI9" s="3759"/>
      <c r="AJ9" s="3912"/>
      <c r="AK9" s="3759"/>
      <c r="AL9" s="246"/>
      <c r="AM9" s="3904"/>
      <c r="AO9" s="424"/>
      <c r="AP9" s="424" t="str">
        <f t="shared" si="0"/>
        <v/>
      </c>
      <c r="AQ9" s="424"/>
      <c r="AR9" s="424"/>
    </row>
    <row r="10" spans="1:44" ht="15" hidden="1" customHeight="1">
      <c r="A10" s="1284"/>
      <c r="B10" s="1284"/>
      <c r="C10" s="1284"/>
      <c r="D10" s="1284"/>
      <c r="E10" s="3909"/>
      <c r="F10" s="3909"/>
      <c r="G10" s="3909"/>
      <c r="H10" s="3909"/>
      <c r="I10" s="3929"/>
      <c r="J10" s="3906"/>
      <c r="K10" s="1284"/>
      <c r="L10" s="1285"/>
      <c r="M10" s="460"/>
      <c r="N10" s="1287"/>
      <c r="P10" s="3907"/>
      <c r="Q10" s="3907"/>
      <c r="R10" s="277"/>
      <c r="S10" s="1203"/>
      <c r="T10" s="203" t="s">
        <v>442</v>
      </c>
      <c r="U10" s="291"/>
      <c r="V10" s="291"/>
      <c r="W10" s="291"/>
      <c r="X10" s="291"/>
      <c r="Y10" s="291"/>
      <c r="Z10" s="291"/>
      <c r="AA10" s="291"/>
      <c r="AB10" s="291"/>
      <c r="AC10" s="291"/>
      <c r="AD10" s="291"/>
      <c r="AE10" s="291"/>
      <c r="AF10" s="291"/>
      <c r="AG10" s="291"/>
      <c r="AH10" s="291"/>
      <c r="AI10" s="291"/>
      <c r="AJ10" s="291"/>
      <c r="AK10" s="291"/>
      <c r="AL10" s="245"/>
      <c r="AM10" s="3905"/>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909"/>
      <c r="F11" s="3909"/>
      <c r="G11" s="3909"/>
      <c r="H11" s="3909"/>
      <c r="I11" s="3906"/>
      <c r="J11" s="1284"/>
      <c r="K11" s="1284"/>
      <c r="L11" s="1285"/>
      <c r="M11" s="460"/>
      <c r="P11" s="3907"/>
      <c r="Q11" s="1253"/>
      <c r="R11" s="277"/>
      <c r="S11" s="1203"/>
      <c r="T11" s="202" t="s">
        <v>443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909"/>
      <c r="F12" s="3909"/>
      <c r="G12" s="3909"/>
      <c r="H12" s="3908"/>
      <c r="I12" s="1284"/>
      <c r="J12" s="1284"/>
      <c r="K12" s="1284"/>
      <c r="L12" s="1285"/>
      <c r="M12" s="1286"/>
      <c r="N12" s="1286"/>
      <c r="O12" s="460"/>
      <c r="P12" s="281"/>
      <c r="Q12" s="299"/>
      <c r="R12" s="276"/>
      <c r="S12" s="1203"/>
      <c r="T12" s="288" t="s">
        <v>444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3909"/>
      <c r="F13" s="3909"/>
      <c r="G13" s="3908"/>
      <c r="H13" s="1237"/>
      <c r="I13" s="1237"/>
      <c r="J13" s="1237"/>
      <c r="K13" s="1237"/>
      <c r="L13" s="1261"/>
      <c r="M13" s="1238"/>
      <c r="N13" s="1238"/>
      <c r="P13" s="1239"/>
      <c r="Q13" s="1240"/>
      <c r="R13" s="1239"/>
      <c r="S13" s="1241"/>
      <c r="T13" s="1242" t="s">
        <v>445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909"/>
      <c r="F14" s="3908"/>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908"/>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913"/>
      <c r="AI17" s="3914" t="s">
        <v>60</v>
      </c>
      <c r="AJ17" s="3913"/>
      <c r="AK17" s="3914" t="s">
        <v>60</v>
      </c>
    </row>
    <row r="18" spans="1:44" ht="14.25" hidden="1" customHeight="1">
      <c r="AD18" s="1281"/>
      <c r="AE18" s="1281"/>
      <c r="AF18" s="1281"/>
      <c r="AG18" s="250" t="str">
        <f>AH17&amp;"-"&amp;AJ17</f>
        <v>-</v>
      </c>
      <c r="AH18" s="3914"/>
      <c r="AI18" s="3914"/>
      <c r="AJ18" s="3914"/>
      <c r="AK18" s="3914"/>
    </row>
    <row r="19" spans="1:44" ht="14.25" hidden="1" customHeight="1">
      <c r="AK19" s="249"/>
    </row>
    <row r="20" spans="1:44" s="1287" customFormat="1" ht="22.5" hidden="1" customHeight="1">
      <c r="L20" s="1251"/>
      <c r="M20" s="1283"/>
      <c r="N20" s="1283"/>
      <c r="O20" s="1288" t="s">
        <v>446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447</v>
      </c>
      <c r="P22" s="1283"/>
      <c r="Q22" s="1292"/>
      <c r="R22" s="1292"/>
      <c r="S22" s="646"/>
      <c r="T22" s="1065" t="s">
        <v>448</v>
      </c>
      <c r="AA22" s="104" t="s">
        <v>449</v>
      </c>
      <c r="AC22" s="104" t="s">
        <v>450</v>
      </c>
      <c r="AD22" s="1065" t="s">
        <v>448</v>
      </c>
      <c r="AI22" s="104" t="s">
        <v>451</v>
      </c>
      <c r="AK22" s="104" t="s">
        <v>450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38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892"/>
      <c r="U26" s="3892"/>
      <c r="V26" s="3892"/>
      <c r="W26" s="3892"/>
      <c r="X26" s="3892"/>
      <c r="Y26" s="3892"/>
      <c r="Z26" s="3892"/>
      <c r="AA26" s="3892"/>
      <c r="AB26" s="3892"/>
      <c r="AC26" s="3892"/>
      <c r="AD26" s="3892"/>
      <c r="AE26" s="3892"/>
      <c r="AF26" s="3892"/>
      <c r="AG26" s="3892"/>
      <c r="AH26" s="3892"/>
      <c r="AI26" s="3892"/>
      <c r="AJ26" s="3892"/>
      <c r="AK26" s="1157"/>
    </row>
    <row r="27" spans="1:44" ht="14.25" customHeight="1">
      <c r="Q27" s="300"/>
      <c r="R27" s="300"/>
      <c r="S27" s="3839" t="str">
        <f>IF(org=0,"Не определено",org)</f>
        <v>ГУП СК "Ставрополькрайводоканал"</v>
      </c>
      <c r="T27" s="3839"/>
      <c r="U27" s="3839"/>
      <c r="V27" s="3839"/>
      <c r="W27" s="3839"/>
      <c r="X27" s="3839"/>
      <c r="Y27" s="3839"/>
      <c r="Z27" s="3839"/>
      <c r="AA27" s="3839"/>
      <c r="AB27" s="3839"/>
      <c r="AC27" s="3839"/>
      <c r="AD27" s="3839"/>
      <c r="AE27" s="3839"/>
      <c r="AF27" s="3839"/>
      <c r="AG27" s="3839"/>
      <c r="AH27" s="3839"/>
      <c r="AI27" s="3839"/>
      <c r="AJ27" s="383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900" t="s">
        <v>38</v>
      </c>
      <c r="T29" s="3900"/>
      <c r="U29" s="1293"/>
      <c r="V29" s="3901" t="str">
        <f>IF(TITLE_NAME_OR_PR_CHANGE="",IF(TITLE_NAME_OR_PR="","",TITLE_NAME_OR_PR),TITLE_NAME_OR_PR_CHANGE)</f>
        <v>Региональная тарифная комиссия Ставропольского края</v>
      </c>
      <c r="W29" s="3901"/>
      <c r="X29" s="3901"/>
      <c r="Y29" s="3901"/>
      <c r="Z29" s="3901"/>
      <c r="AA29" s="3901"/>
      <c r="AB29" s="3901"/>
      <c r="AC29" s="248"/>
      <c r="AD29" s="3901" t="str">
        <f>IF(TITLE_NAME_OR_PR_CHANGE="",IF(TITLE_NAME_OR_PR="","",TITLE_NAME_OR_PR),TITLE_NAME_OR_PR_CHANGE)</f>
        <v>Региональная тарифная комиссия Ставропольского края</v>
      </c>
      <c r="AE29" s="3901"/>
      <c r="AF29" s="3901"/>
      <c r="AG29" s="3901"/>
      <c r="AH29" s="3901"/>
      <c r="AI29" s="3901"/>
      <c r="AJ29" s="3901"/>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900" t="s">
        <v>452</v>
      </c>
      <c r="T30" s="3900"/>
      <c r="U30" s="1293"/>
      <c r="V30" s="3910">
        <f>IF(TITLE_DATE_PR_CHANGE="",IF(TITLE_DATE_PR="","",TITLE_DATE_PR),TITLE_DATE_PR_CHANGE)</f>
        <v>45278</v>
      </c>
      <c r="W30" s="3910"/>
      <c r="X30" s="3910"/>
      <c r="Y30" s="3910"/>
      <c r="Z30" s="3910"/>
      <c r="AA30" s="3910"/>
      <c r="AB30" s="3910"/>
      <c r="AC30" s="248"/>
      <c r="AD30" s="3910">
        <f>IF(TITLE_DATE_PR_CHANGE="",IF(TITLE_DATE_PR="","",TITLE_DATE_PR),TITLE_DATE_PR_CHANGE)</f>
        <v>45278</v>
      </c>
      <c r="AE30" s="3910"/>
      <c r="AF30" s="3910"/>
      <c r="AG30" s="3910"/>
      <c r="AH30" s="3910"/>
      <c r="AI30" s="3910"/>
      <c r="AJ30" s="3910"/>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900" t="s">
        <v>453</v>
      </c>
      <c r="T31" s="3900"/>
      <c r="U31" s="1293"/>
      <c r="V31" s="3901" t="str">
        <f>IF(TITLE_NUMBER_PR_CHANGE="",IF(TITLE_NUMBER_PR="","",TITLE_NUMBER_PR),TITLE_NUMBER_PR_CHANGE)</f>
        <v>79/2</v>
      </c>
      <c r="W31" s="3901"/>
      <c r="X31" s="3901"/>
      <c r="Y31" s="3901"/>
      <c r="Z31" s="3901"/>
      <c r="AA31" s="3901"/>
      <c r="AB31" s="3901"/>
      <c r="AC31" s="248"/>
      <c r="AD31" s="3901" t="str">
        <f>IF(TITLE_NUMBER_PR_CHANGE="",IF(TITLE_NUMBER_PR="","",TITLE_NUMBER_PR),TITLE_NUMBER_PR_CHANGE)</f>
        <v>79/2</v>
      </c>
      <c r="AE31" s="3901"/>
      <c r="AF31" s="3901"/>
      <c r="AG31" s="3901"/>
      <c r="AH31" s="3901"/>
      <c r="AI31" s="3901"/>
      <c r="AJ31" s="3901"/>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900" t="s">
        <v>40</v>
      </c>
      <c r="T32" s="3900"/>
      <c r="U32" s="1293"/>
      <c r="V32" s="3901" t="str">
        <f>IF(TITLE_IST_PUB_CHANGE="",IF(TITLE_IST_PUB="","",TITLE_IST_PUB),TITLE_IST_PUB_CHANGE)</f>
        <v>http://pravo.stavregion.ru/</v>
      </c>
      <c r="W32" s="3901"/>
      <c r="X32" s="3901"/>
      <c r="Y32" s="3901"/>
      <c r="Z32" s="3901"/>
      <c r="AA32" s="3901"/>
      <c r="AB32" s="3901"/>
      <c r="AC32" s="248"/>
      <c r="AD32" s="3901" t="str">
        <f>IF(TITLE_IST_PUB_CHANGE="",IF(TITLE_IST_PUB="","",TITLE_IST_PUB),TITLE_IST_PUB_CHANGE)</f>
        <v>http://pravo.stavregion.ru/</v>
      </c>
      <c r="AE32" s="3901"/>
      <c r="AF32" s="3901"/>
      <c r="AG32" s="3901"/>
      <c r="AH32" s="3901"/>
      <c r="AI32" s="3901"/>
      <c r="AJ32" s="3901"/>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900" t="s">
        <v>454</v>
      </c>
      <c r="T34" s="3900"/>
      <c r="U34" s="1293"/>
      <c r="V34" s="3910">
        <f>IF(TITLE_DATE_PR_CHANGE="",IF(TITLE_DATE_PR="","",TITLE_DATE_PR),TITLE_DATE_PR_CHANGE)</f>
        <v>45278</v>
      </c>
      <c r="W34" s="3910"/>
      <c r="X34" s="3910"/>
      <c r="Y34" s="3910"/>
      <c r="Z34" s="3910"/>
      <c r="AA34" s="3910"/>
      <c r="AB34" s="3910"/>
      <c r="AC34" s="248"/>
      <c r="AD34" s="3910">
        <f>IF(TITLE_DATE_PR_CHANGE="",IF(TITLE_DATE_PR="","",TITLE_DATE_PR),TITLE_DATE_PR_CHANGE)</f>
        <v>45278</v>
      </c>
      <c r="AE34" s="3910"/>
      <c r="AF34" s="3910"/>
      <c r="AG34" s="3910"/>
      <c r="AH34" s="3910"/>
      <c r="AI34" s="3910"/>
      <c r="AJ34" s="3910"/>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900" t="s">
        <v>455</v>
      </c>
      <c r="T35" s="3900"/>
      <c r="U35" s="1293"/>
      <c r="V35" s="3901" t="str">
        <f>IF(TITLE_NUMBER_PR_CHANGE="",IF(TITLE_NUMBER_PR="","",TITLE_NUMBER_PR),TITLE_NUMBER_PR_CHANGE)</f>
        <v>79/2</v>
      </c>
      <c r="W35" s="3901"/>
      <c r="X35" s="3901"/>
      <c r="Y35" s="3901"/>
      <c r="Z35" s="3901"/>
      <c r="AA35" s="3901"/>
      <c r="AB35" s="3901"/>
      <c r="AC35" s="248"/>
      <c r="AD35" s="3901" t="str">
        <f>IF(TITLE_NUMBER_PR_CHANGE="",IF(TITLE_NUMBER_PR="","",TITLE_NUMBER_PR),TITLE_NUMBER_PR_CHANGE)</f>
        <v>79/2</v>
      </c>
      <c r="AE35" s="3901"/>
      <c r="AF35" s="3901"/>
      <c r="AG35" s="3901"/>
      <c r="AH35" s="3901"/>
      <c r="AI35" s="3901"/>
      <c r="AJ35" s="3901"/>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456</v>
      </c>
      <c r="AD36" s="248"/>
      <c r="AE36" s="248"/>
      <c r="AF36" s="248"/>
      <c r="AG36" s="248"/>
      <c r="AH36" s="248"/>
      <c r="AI36" s="248"/>
      <c r="AJ36" s="248"/>
      <c r="AK36" s="194" t="s">
        <v>456</v>
      </c>
      <c r="AN36" s="292"/>
      <c r="AO36" s="292"/>
      <c r="AP36" s="292"/>
      <c r="AQ36" s="292"/>
      <c r="AR36" s="292"/>
    </row>
    <row r="37" spans="1:44" ht="14.25" customHeight="1">
      <c r="Q37" s="300"/>
      <c r="R37" s="300"/>
      <c r="S37" s="1200"/>
      <c r="T37" s="286"/>
      <c r="U37" s="1158"/>
      <c r="V37" s="3902"/>
      <c r="W37" s="3902"/>
      <c r="X37" s="3902"/>
      <c r="Y37" s="3902"/>
      <c r="Z37" s="3902"/>
      <c r="AA37" s="3902"/>
      <c r="AB37" s="3902"/>
      <c r="AC37" s="3902"/>
      <c r="AD37" s="3902"/>
      <c r="AE37" s="3902"/>
      <c r="AF37" s="3902"/>
      <c r="AG37" s="3902"/>
      <c r="AH37" s="3902"/>
      <c r="AI37" s="3902"/>
      <c r="AJ37" s="3902"/>
      <c r="AK37" s="3902"/>
    </row>
    <row r="38" spans="1:44" ht="14.25" customHeight="1">
      <c r="Q38" s="300"/>
      <c r="R38" s="300"/>
      <c r="S38" s="3778" t="s">
        <v>329</v>
      </c>
      <c r="T38" s="3778"/>
      <c r="U38" s="3778"/>
      <c r="V38" s="3778"/>
      <c r="W38" s="3778"/>
      <c r="X38" s="3778"/>
      <c r="Y38" s="3778"/>
      <c r="Z38" s="3778"/>
      <c r="AA38" s="3778"/>
      <c r="AB38" s="3778"/>
      <c r="AC38" s="3778"/>
      <c r="AD38" s="3778"/>
      <c r="AE38" s="3778"/>
      <c r="AF38" s="3778"/>
      <c r="AG38" s="3778"/>
      <c r="AH38" s="3778"/>
      <c r="AI38" s="3778"/>
      <c r="AJ38" s="3778"/>
      <c r="AK38" s="3778"/>
      <c r="AL38" s="3778"/>
      <c r="AM38" s="3778" t="s">
        <v>330</v>
      </c>
    </row>
    <row r="39" spans="1:44" ht="14.25" customHeight="1">
      <c r="Q39" s="300"/>
      <c r="R39" s="300"/>
      <c r="S39" s="3916" t="s">
        <v>86</v>
      </c>
      <c r="T39" s="3868" t="s">
        <v>457</v>
      </c>
      <c r="U39" s="215"/>
      <c r="V39" s="3917" t="s">
        <v>458</v>
      </c>
      <c r="W39" s="3918"/>
      <c r="X39" s="3932"/>
      <c r="Y39" s="3932"/>
      <c r="Z39" s="3918"/>
      <c r="AA39" s="3918"/>
      <c r="AB39" s="3919"/>
      <c r="AC39" s="3920" t="s">
        <v>459</v>
      </c>
      <c r="AD39" s="3917" t="s">
        <v>458</v>
      </c>
      <c r="AE39" s="3918"/>
      <c r="AF39" s="3932"/>
      <c r="AG39" s="3932"/>
      <c r="AH39" s="3918"/>
      <c r="AI39" s="3918"/>
      <c r="AJ39" s="3919"/>
      <c r="AK39" s="3920" t="s">
        <v>460</v>
      </c>
      <c r="AL39" s="3923" t="s">
        <v>461</v>
      </c>
      <c r="AM39" s="3778"/>
    </row>
    <row r="40" spans="1:44" ht="23.25" customHeight="1">
      <c r="Q40" s="300"/>
      <c r="R40" s="300"/>
      <c r="S40" s="3916"/>
      <c r="T40" s="3868"/>
      <c r="U40" s="942"/>
      <c r="V40" s="3933" t="s">
        <v>462</v>
      </c>
      <c r="W40" s="3853" t="s">
        <v>463</v>
      </c>
      <c r="X40" s="1297" t="s">
        <v>464</v>
      </c>
      <c r="Y40" s="1297"/>
      <c r="Z40" s="3754" t="s">
        <v>465</v>
      </c>
      <c r="AA40" s="3754"/>
      <c r="AB40" s="3748"/>
      <c r="AC40" s="3921"/>
      <c r="AD40" s="3933" t="s">
        <v>462</v>
      </c>
      <c r="AE40" s="3853" t="s">
        <v>463</v>
      </c>
      <c r="AF40" s="1297" t="s">
        <v>464</v>
      </c>
      <c r="AG40" s="1297"/>
      <c r="AH40" s="3754" t="s">
        <v>465</v>
      </c>
      <c r="AI40" s="3754"/>
      <c r="AJ40" s="3748"/>
      <c r="AK40" s="3921"/>
      <c r="AL40" s="3924"/>
      <c r="AM40" s="3778"/>
    </row>
    <row r="41" spans="1:44" s="1190" customFormat="1" ht="23.25" customHeight="1">
      <c r="A41" s="1291"/>
      <c r="B41" s="1291" t="s">
        <v>153</v>
      </c>
      <c r="C41" s="1291" t="s">
        <v>154</v>
      </c>
      <c r="D41" s="1291" t="s">
        <v>155</v>
      </c>
      <c r="E41" s="1285" t="s">
        <v>466</v>
      </c>
      <c r="F41" s="1285" t="s">
        <v>467</v>
      </c>
      <c r="G41" s="1285" t="s">
        <v>468</v>
      </c>
      <c r="H41" s="1285" t="s">
        <v>469</v>
      </c>
      <c r="I41" s="1285" t="s">
        <v>470</v>
      </c>
      <c r="J41" s="1285" t="s">
        <v>471</v>
      </c>
      <c r="K41" s="1285" t="s">
        <v>472</v>
      </c>
      <c r="L41" s="1285" t="s">
        <v>447</v>
      </c>
      <c r="M41" s="1283"/>
      <c r="N41" s="1283"/>
      <c r="O41" s="1283"/>
      <c r="P41" s="1250"/>
      <c r="Q41" s="300"/>
      <c r="R41" s="300"/>
      <c r="S41" s="3916"/>
      <c r="T41" s="3868"/>
      <c r="U41" s="216"/>
      <c r="V41" s="3934"/>
      <c r="W41" s="3858"/>
      <c r="X41" s="1294" t="s">
        <v>473</v>
      </c>
      <c r="Y41" s="1294" t="s">
        <v>474</v>
      </c>
      <c r="Z41" s="1256" t="s">
        <v>475</v>
      </c>
      <c r="AA41" s="3876" t="s">
        <v>476</v>
      </c>
      <c r="AB41" s="3878"/>
      <c r="AC41" s="3922"/>
      <c r="AD41" s="3934"/>
      <c r="AE41" s="3858"/>
      <c r="AF41" s="1294" t="s">
        <v>473</v>
      </c>
      <c r="AG41" s="1294" t="s">
        <v>474</v>
      </c>
      <c r="AH41" s="1256" t="s">
        <v>475</v>
      </c>
      <c r="AI41" s="3876" t="s">
        <v>476</v>
      </c>
      <c r="AJ41" s="3878"/>
      <c r="AK41" s="3922"/>
      <c r="AL41" s="3925"/>
      <c r="AM41" s="3778"/>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129</v>
      </c>
      <c r="T42" s="1177" t="s">
        <v>102</v>
      </c>
      <c r="U42" s="1159" t="str">
        <f ca="1">OFFSET(U42,0,-1)</f>
        <v>2</v>
      </c>
      <c r="V42" s="1257">
        <f ca="1">OFFSET(V42,0,-1)+1</f>
        <v>3</v>
      </c>
      <c r="W42" s="1257"/>
      <c r="X42" s="1263">
        <f ca="1">OFFSET(X42,0,-1)+1</f>
        <v>1</v>
      </c>
      <c r="Y42" s="1263">
        <f ca="1">OFFSET(Y42,0,-1)+1</f>
        <v>2</v>
      </c>
      <c r="Z42" s="1257">
        <f ca="1">OFFSET(Z42,0,-1)+1</f>
        <v>3</v>
      </c>
      <c r="AA42" s="3915">
        <f ca="1">OFFSET(AA42,0,-1)+1</f>
        <v>4</v>
      </c>
      <c r="AB42" s="3915"/>
      <c r="AC42" s="1257">
        <f ca="1">OFFSET(AC42,0,-2)+1</f>
        <v>5</v>
      </c>
      <c r="AD42" s="1257">
        <f ca="1">OFFSET(AD42,0,-1)+1</f>
        <v>6</v>
      </c>
      <c r="AE42" s="1257"/>
      <c r="AF42" s="1263">
        <f ca="1">OFFSET(AF42,0,-1)+1</f>
        <v>1</v>
      </c>
      <c r="AG42" s="1263">
        <f ca="1">OFFSET(AG42,0,-1)+1</f>
        <v>2</v>
      </c>
      <c r="AH42" s="1257">
        <f ca="1">OFFSET(AH42,0,-1)+1</f>
        <v>3</v>
      </c>
      <c r="AI42" s="3915">
        <f ca="1">OFFSET(AI42,0,-1)+1</f>
        <v>4</v>
      </c>
      <c r="AJ42" s="3915"/>
      <c r="AK42" s="1257">
        <f ca="1">OFFSET(AK42,0,-2)+1</f>
        <v>5</v>
      </c>
      <c r="AL42" s="1159">
        <f ca="1">OFFSET(AL42,0,-1)</f>
        <v>5</v>
      </c>
      <c r="AM42" s="1257">
        <f ca="1">OFFSET(AM42,0,-1)+1</f>
        <v>6</v>
      </c>
      <c r="AN42" s="435"/>
      <c r="AO42" s="435"/>
      <c r="AP42" s="435"/>
      <c r="AQ42" s="435"/>
      <c r="AR42" s="435"/>
    </row>
    <row r="43" spans="1:44" ht="21" customHeight="1">
      <c r="A43" s="1284" t="s">
        <v>210</v>
      </c>
      <c r="B43" s="1284"/>
      <c r="C43" s="1284"/>
      <c r="D43" s="1284"/>
      <c r="E43" s="3908">
        <v>1</v>
      </c>
      <c r="F43" s="1284"/>
      <c r="G43" s="1284"/>
      <c r="H43" s="1284"/>
      <c r="I43" s="1284"/>
      <c r="J43" s="1284"/>
      <c r="K43" s="1284"/>
      <c r="L43" s="1285"/>
      <c r="M43" s="1286"/>
      <c r="N43" s="1286"/>
      <c r="O43" s="1286"/>
      <c r="P43" s="282"/>
      <c r="Q43" s="281"/>
      <c r="R43" s="276"/>
      <c r="S43" s="1258">
        <f>INDEX(PT_DIFFERENTIATION_NUM_NTAR,MATCH(A43,PT_DIFFERENTIATION_NTAR_ID,0))</f>
        <v>0</v>
      </c>
      <c r="T43" s="212" t="s">
        <v>141</v>
      </c>
      <c r="U43" s="214"/>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210</v>
      </c>
      <c r="B44" s="1284" t="s">
        <v>211</v>
      </c>
      <c r="C44" s="1284"/>
      <c r="D44" s="1284"/>
      <c r="E44" s="3909"/>
      <c r="F44" s="3908">
        <v>1</v>
      </c>
      <c r="G44" s="1284"/>
      <c r="H44" s="1284"/>
      <c r="I44" s="1284"/>
      <c r="J44" s="1284"/>
      <c r="K44" s="1284"/>
      <c r="L44" s="1285"/>
      <c r="M44" s="1286"/>
      <c r="N44" s="1286"/>
      <c r="O44" s="1286"/>
      <c r="P44" s="1254"/>
      <c r="Q44" s="273"/>
      <c r="R44" s="274"/>
      <c r="S44" s="1258" t="str">
        <f>INDEX(PT_DIFFERENTIATION_NUM_TER,MATCH(B44,PT_DIFFERENTIATION_TER_ID,0))</f>
        <v>.</v>
      </c>
      <c r="T44" s="224" t="s">
        <v>428</v>
      </c>
      <c r="U44" s="214"/>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182" t="s">
        <v>429</v>
      </c>
      <c r="AO44" s="424"/>
      <c r="AP44" s="424" t="str">
        <f t="shared" si="1"/>
        <v>Территория действия тарифа</v>
      </c>
      <c r="AQ44" s="424"/>
      <c r="AR44" s="424"/>
    </row>
    <row r="45" spans="1:44" ht="23.25" customHeight="1">
      <c r="A45" s="1284" t="s">
        <v>210</v>
      </c>
      <c r="B45" s="1284" t="s">
        <v>211</v>
      </c>
      <c r="C45" s="1284" t="s">
        <v>212</v>
      </c>
      <c r="D45" s="1284"/>
      <c r="E45" s="3909"/>
      <c r="F45" s="3909"/>
      <c r="G45" s="3908">
        <v>1</v>
      </c>
      <c r="H45" s="1284"/>
      <c r="I45" s="1284"/>
      <c r="J45" s="1284"/>
      <c r="K45" s="1284"/>
      <c r="L45" s="1285"/>
      <c r="M45" s="1286"/>
      <c r="N45" s="1286"/>
      <c r="O45" s="1286"/>
      <c r="P45" s="275"/>
      <c r="Q45" s="273"/>
      <c r="R45" s="274"/>
      <c r="S45" s="1258" t="str">
        <f>INDEX(PT_DIFFERENTIATION_NUM_CS,MATCH(C45,PT_DIFFERENTIATION_CS_ID,0))</f>
        <v>..</v>
      </c>
      <c r="T45" s="225" t="s">
        <v>430</v>
      </c>
      <c r="U45" s="214"/>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182" t="s">
        <v>431</v>
      </c>
      <c r="AO45" s="424"/>
      <c r="AP45" s="424" t="str">
        <f t="shared" si="1"/>
        <v xml:space="preserve">Наименование системы теплоснабжения </v>
      </c>
      <c r="AQ45" s="424"/>
      <c r="AR45" s="424"/>
    </row>
    <row r="46" spans="1:44" ht="21" customHeight="1">
      <c r="A46" s="1284" t="s">
        <v>210</v>
      </c>
      <c r="B46" s="1284" t="s">
        <v>211</v>
      </c>
      <c r="C46" s="1284" t="s">
        <v>212</v>
      </c>
      <c r="D46" s="1284" t="s">
        <v>213</v>
      </c>
      <c r="E46" s="3909"/>
      <c r="F46" s="3909"/>
      <c r="G46" s="3909"/>
      <c r="H46" s="3908">
        <v>1</v>
      </c>
      <c r="I46" s="1284"/>
      <c r="J46" s="1284"/>
      <c r="K46" s="1284"/>
      <c r="L46" s="1285"/>
      <c r="M46" s="1286"/>
      <c r="N46" s="1286"/>
      <c r="O46" s="1286"/>
      <c r="P46" s="275"/>
      <c r="Q46" s="273"/>
      <c r="R46" s="274"/>
      <c r="S46" s="1258" t="str">
        <f>INDEX(PT_DIFFERENTIATION_NUM_IST_TE,MATCH(D46,PT_DIFFERENTIATION_IST_TE_ID,0))</f>
        <v>...</v>
      </c>
      <c r="T46" s="226" t="s">
        <v>432</v>
      </c>
      <c r="U46" s="214"/>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182" t="s">
        <v>433</v>
      </c>
      <c r="AO46" s="424"/>
      <c r="AP46" s="424" t="str">
        <f t="shared" si="1"/>
        <v xml:space="preserve">Источник тепловой энергии  </v>
      </c>
      <c r="AQ46" s="424"/>
      <c r="AR46" s="424"/>
    </row>
    <row r="47" spans="1:44" ht="47.25" customHeight="1">
      <c r="A47" s="1284" t="s">
        <v>210</v>
      </c>
      <c r="B47" s="1284" t="s">
        <v>211</v>
      </c>
      <c r="C47" s="1284" t="s">
        <v>212</v>
      </c>
      <c r="D47" s="1284" t="s">
        <v>213</v>
      </c>
      <c r="E47" s="3909"/>
      <c r="F47" s="3909"/>
      <c r="G47" s="3909"/>
      <c r="H47" s="3909"/>
      <c r="I47" s="3906" t="str">
        <f>S46&amp;".1"</f>
        <v>....1</v>
      </c>
      <c r="J47" s="1284"/>
      <c r="K47" s="1284"/>
      <c r="L47" s="1285" t="s">
        <v>434</v>
      </c>
      <c r="P47" s="3907">
        <v>1</v>
      </c>
      <c r="Q47" s="1253"/>
      <c r="R47" s="277"/>
      <c r="S47" s="1258" t="str">
        <f>$I47</f>
        <v>....1</v>
      </c>
      <c r="T47" s="200" t="s">
        <v>435</v>
      </c>
      <c r="U47" s="214"/>
      <c r="V47" s="3897"/>
      <c r="W47" s="3898"/>
      <c r="X47" s="3898"/>
      <c r="Y47" s="3898"/>
      <c r="Z47" s="3898"/>
      <c r="AA47" s="3898"/>
      <c r="AB47" s="3898"/>
      <c r="AC47" s="3899"/>
      <c r="AD47" s="3897"/>
      <c r="AE47" s="3898"/>
      <c r="AF47" s="3898"/>
      <c r="AG47" s="3898"/>
      <c r="AH47" s="3898"/>
      <c r="AI47" s="3898"/>
      <c r="AJ47" s="3898"/>
      <c r="AK47" s="3898"/>
      <c r="AL47" s="3899"/>
      <c r="AM47" s="1182" t="s">
        <v>436</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210</v>
      </c>
      <c r="B48" s="1284" t="s">
        <v>211</v>
      </c>
      <c r="C48" s="1284" t="s">
        <v>212</v>
      </c>
      <c r="D48" s="1284" t="s">
        <v>213</v>
      </c>
      <c r="E48" s="3909"/>
      <c r="F48" s="3909"/>
      <c r="G48" s="3909"/>
      <c r="H48" s="3909"/>
      <c r="I48" s="3929"/>
      <c r="J48" s="3906" t="str">
        <f>I47&amp;".1"</f>
        <v>....1.1</v>
      </c>
      <c r="K48" s="1284"/>
      <c r="L48" s="1285" t="s">
        <v>437</v>
      </c>
      <c r="P48" s="3907"/>
      <c r="Q48" s="3907">
        <v>1</v>
      </c>
      <c r="R48" s="278"/>
      <c r="S48" s="1258" t="str">
        <f>$J48</f>
        <v>....1.1</v>
      </c>
      <c r="T48" s="201" t="s">
        <v>438</v>
      </c>
      <c r="U48" s="214"/>
      <c r="V48" s="3897"/>
      <c r="W48" s="3898"/>
      <c r="X48" s="3898"/>
      <c r="Y48" s="3898"/>
      <c r="Z48" s="3898"/>
      <c r="AA48" s="3898"/>
      <c r="AB48" s="3898"/>
      <c r="AC48" s="3899"/>
      <c r="AD48" s="3897"/>
      <c r="AE48" s="3898"/>
      <c r="AF48" s="3898"/>
      <c r="AG48" s="3898"/>
      <c r="AH48" s="3898"/>
      <c r="AI48" s="3898"/>
      <c r="AJ48" s="3898"/>
      <c r="AK48" s="3898"/>
      <c r="AL48" s="3899"/>
      <c r="AM48" s="1182" t="s">
        <v>439</v>
      </c>
      <c r="AO48" s="424"/>
      <c r="AP48" s="424" t="str">
        <f t="shared" si="1"/>
        <v>Группа потребителей</v>
      </c>
      <c r="AQ48" s="424"/>
      <c r="AR48" s="424"/>
    </row>
    <row r="49" spans="1:44" ht="21" customHeight="1">
      <c r="A49" s="1284" t="s">
        <v>210</v>
      </c>
      <c r="B49" s="1284" t="s">
        <v>211</v>
      </c>
      <c r="C49" s="1284" t="s">
        <v>212</v>
      </c>
      <c r="D49" s="1284" t="s">
        <v>213</v>
      </c>
      <c r="E49" s="3909"/>
      <c r="F49" s="3909"/>
      <c r="G49" s="3909"/>
      <c r="H49" s="3909"/>
      <c r="I49" s="3929"/>
      <c r="J49" s="3929"/>
      <c r="K49" s="3906" t="str">
        <f>J48&amp;".1"</f>
        <v>....1.1.1</v>
      </c>
      <c r="L49" s="1285" t="s">
        <v>440</v>
      </c>
      <c r="P49" s="3907"/>
      <c r="Q49" s="3907"/>
      <c r="R49" s="278">
        <v>1</v>
      </c>
      <c r="S49" s="1258" t="str">
        <f>$K49</f>
        <v>....1.1.1</v>
      </c>
      <c r="T49" s="1269"/>
      <c r="U49" s="214"/>
      <c r="V49" s="246"/>
      <c r="W49" s="666"/>
      <c r="X49" s="246"/>
      <c r="Y49" s="313"/>
      <c r="Z49" s="3911"/>
      <c r="AA49" s="3759" t="s">
        <v>60</v>
      </c>
      <c r="AB49" s="3911"/>
      <c r="AC49" s="3759" t="s">
        <v>60</v>
      </c>
      <c r="AD49" s="246"/>
      <c r="AE49" s="666"/>
      <c r="AF49" s="246"/>
      <c r="AG49" s="313"/>
      <c r="AH49" s="3911"/>
      <c r="AI49" s="3759" t="s">
        <v>60</v>
      </c>
      <c r="AJ49" s="3930"/>
      <c r="AK49" s="3759" t="s">
        <v>60</v>
      </c>
      <c r="AL49" s="1270"/>
      <c r="AM49" s="3903" t="s">
        <v>441</v>
      </c>
      <c r="AN49" s="435" t="e">
        <f ca="1">STRCHECKDATE(V50:AL50)</f>
        <v>#NAME?</v>
      </c>
      <c r="AO49" s="424"/>
      <c r="AP49" s="424" t="str">
        <f t="shared" si="1"/>
        <v/>
      </c>
      <c r="AQ49" s="424"/>
      <c r="AR49" s="424"/>
    </row>
    <row r="50" spans="1:44" ht="0.75" customHeight="1">
      <c r="A50" s="1284" t="s">
        <v>210</v>
      </c>
      <c r="B50" s="1284" t="s">
        <v>211</v>
      </c>
      <c r="C50" s="1284" t="s">
        <v>212</v>
      </c>
      <c r="D50" s="1284" t="s">
        <v>213</v>
      </c>
      <c r="E50" s="3909"/>
      <c r="F50" s="3909"/>
      <c r="G50" s="3909"/>
      <c r="H50" s="3909"/>
      <c r="I50" s="3929"/>
      <c r="J50" s="3929"/>
      <c r="K50" s="3906"/>
      <c r="L50" s="1285"/>
      <c r="P50" s="3907"/>
      <c r="Q50" s="3907"/>
      <c r="R50" s="278"/>
      <c r="S50" s="1264"/>
      <c r="T50" s="214"/>
      <c r="U50" s="214"/>
      <c r="V50" s="246"/>
      <c r="W50" s="246"/>
      <c r="X50" s="246"/>
      <c r="Y50" s="250" t="str">
        <f>Z49&amp;"-"&amp;AB49</f>
        <v>-</v>
      </c>
      <c r="Z50" s="3912"/>
      <c r="AA50" s="3759"/>
      <c r="AB50" s="3912"/>
      <c r="AC50" s="3759"/>
      <c r="AD50" s="246"/>
      <c r="AE50" s="246"/>
      <c r="AF50" s="246"/>
      <c r="AG50" s="250" t="str">
        <f>AH49&amp;"-"&amp;AJ49</f>
        <v>-</v>
      </c>
      <c r="AH50" s="3912"/>
      <c r="AI50" s="3759"/>
      <c r="AJ50" s="3931"/>
      <c r="AK50" s="3759"/>
      <c r="AL50" s="1271"/>
      <c r="AM50" s="3904"/>
      <c r="AO50" s="424"/>
      <c r="AP50" s="424" t="str">
        <f t="shared" si="1"/>
        <v/>
      </c>
      <c r="AQ50" s="424"/>
      <c r="AR50" s="424"/>
    </row>
    <row r="51" spans="1:44" ht="11.25" customHeight="1">
      <c r="A51" s="1284" t="s">
        <v>210</v>
      </c>
      <c r="B51" s="1284" t="s">
        <v>211</v>
      </c>
      <c r="C51" s="1284" t="s">
        <v>212</v>
      </c>
      <c r="D51" s="1284" t="s">
        <v>213</v>
      </c>
      <c r="E51" s="3909"/>
      <c r="F51" s="3909"/>
      <c r="G51" s="3909"/>
      <c r="H51" s="3909"/>
      <c r="I51" s="3929"/>
      <c r="J51" s="3906"/>
      <c r="K51" s="1284"/>
      <c r="L51" s="1285"/>
      <c r="P51" s="3907"/>
      <c r="Q51" s="3907"/>
      <c r="R51" s="277"/>
      <c r="S51" s="1203"/>
      <c r="T51" s="203" t="s">
        <v>442</v>
      </c>
      <c r="U51" s="291"/>
      <c r="V51" s="291"/>
      <c r="W51" s="291"/>
      <c r="X51" s="291"/>
      <c r="Y51" s="291"/>
      <c r="Z51" s="291"/>
      <c r="AA51" s="291"/>
      <c r="AB51" s="291"/>
      <c r="AC51" s="291"/>
      <c r="AD51" s="291"/>
      <c r="AE51" s="291"/>
      <c r="AF51" s="291"/>
      <c r="AG51" s="291"/>
      <c r="AH51" s="291"/>
      <c r="AI51" s="291"/>
      <c r="AJ51" s="291"/>
      <c r="AK51" s="291"/>
      <c r="AL51" s="245"/>
      <c r="AM51" s="3905"/>
      <c r="AO51" s="424"/>
      <c r="AP51" s="424" t="str">
        <f t="shared" si="1"/>
        <v>Добавить вид теплоносителя (параметры теплоносителя)</v>
      </c>
      <c r="AQ51" s="424"/>
      <c r="AR51" s="424"/>
    </row>
    <row r="52" spans="1:44" ht="11.25" customHeight="1">
      <c r="A52" s="1284" t="s">
        <v>210</v>
      </c>
      <c r="B52" s="1284" t="s">
        <v>211</v>
      </c>
      <c r="C52" s="1284" t="s">
        <v>212</v>
      </c>
      <c r="D52" s="1284" t="s">
        <v>213</v>
      </c>
      <c r="E52" s="3909"/>
      <c r="F52" s="3909"/>
      <c r="G52" s="3909"/>
      <c r="H52" s="3909"/>
      <c r="I52" s="3906"/>
      <c r="J52" s="1284"/>
      <c r="K52" s="1284"/>
      <c r="L52" s="1285"/>
      <c r="P52" s="3907"/>
      <c r="Q52" s="1253"/>
      <c r="R52" s="277"/>
      <c r="S52" s="1203"/>
      <c r="T52" s="202" t="s">
        <v>443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210</v>
      </c>
      <c r="B53" s="1284" t="s">
        <v>211</v>
      </c>
      <c r="C53" s="1284" t="s">
        <v>212</v>
      </c>
      <c r="D53" s="1284" t="s">
        <v>213</v>
      </c>
      <c r="E53" s="3909"/>
      <c r="F53" s="3909"/>
      <c r="G53" s="3909"/>
      <c r="H53" s="3908"/>
      <c r="I53" s="1284"/>
      <c r="J53" s="1284"/>
      <c r="K53" s="1284"/>
      <c r="L53" s="1285"/>
      <c r="M53" s="1286"/>
      <c r="N53" s="1286"/>
      <c r="O53" s="460"/>
      <c r="P53" s="281"/>
      <c r="Q53" s="299"/>
      <c r="R53" s="276"/>
      <c r="S53" s="1203"/>
      <c r="T53" s="288" t="s">
        <v>444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210</v>
      </c>
      <c r="B54" s="1265" t="s">
        <v>211</v>
      </c>
      <c r="C54" s="1265" t="s">
        <v>212</v>
      </c>
      <c r="D54" s="1237"/>
      <c r="E54" s="3909"/>
      <c r="F54" s="3909"/>
      <c r="G54" s="3908"/>
      <c r="H54" s="1237"/>
      <c r="I54" s="1237"/>
      <c r="J54" s="1237"/>
      <c r="K54" s="1237"/>
      <c r="L54" s="1261"/>
      <c r="M54" s="1238"/>
      <c r="N54" s="1238"/>
      <c r="P54" s="1239"/>
      <c r="Q54" s="1240"/>
      <c r="R54" s="1239"/>
      <c r="S54" s="1245"/>
      <c r="T54" s="1248" t="s">
        <v>445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210</v>
      </c>
      <c r="B55" s="1265" t="s">
        <v>211</v>
      </c>
      <c r="C55" s="1237"/>
      <c r="D55" s="1237"/>
      <c r="E55" s="3909"/>
      <c r="F55" s="3908"/>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210</v>
      </c>
      <c r="B56" s="1265"/>
      <c r="C56" s="1265"/>
      <c r="D56" s="1265"/>
      <c r="E56" s="3908"/>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262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3928"/>
      <c r="U59" s="3928"/>
      <c r="V59" s="3928"/>
      <c r="W59" s="3928"/>
      <c r="X59" s="3928"/>
      <c r="Y59" s="3928"/>
      <c r="Z59" s="3928"/>
      <c r="AA59" s="3928"/>
      <c r="AB59" s="3928"/>
      <c r="AC59" s="3928"/>
      <c r="AD59" s="3928"/>
      <c r="AE59" s="3928"/>
      <c r="AF59" s="3928"/>
      <c r="AG59" s="3928"/>
      <c r="AH59" s="3928"/>
      <c r="AI59" s="3928"/>
      <c r="AJ59" s="3928"/>
      <c r="AK59" s="3928"/>
      <c r="AL59" s="3928"/>
      <c r="AM59" s="3928"/>
    </row>
    <row r="60" spans="1:44" ht="75" customHeight="1">
      <c r="O60" s="460"/>
      <c r="T60" s="3928"/>
      <c r="U60" s="3928"/>
      <c r="V60" s="3928"/>
      <c r="W60" s="3928"/>
      <c r="X60" s="3928"/>
      <c r="Y60" s="3928"/>
      <c r="Z60" s="3928"/>
      <c r="AA60" s="3928"/>
      <c r="AB60" s="3928"/>
      <c r="AC60" s="3928"/>
      <c r="AD60" s="3928"/>
      <c r="AE60" s="3928"/>
      <c r="AF60" s="3928"/>
      <c r="AG60" s="3928"/>
      <c r="AH60" s="3928"/>
      <c r="AI60" s="3928"/>
      <c r="AJ60" s="3928"/>
      <c r="AK60" s="3928"/>
      <c r="AL60" s="3928"/>
      <c r="AM60" s="3928"/>
    </row>
    <row r="61" spans="1:44" ht="14.25" customHeight="1">
      <c r="O61" s="460"/>
    </row>
    <row r="62" spans="1:44" ht="18" customHeight="1">
      <c r="O62" s="460"/>
      <c r="S62" s="1169"/>
      <c r="T62" s="3928"/>
      <c r="U62" s="3928"/>
      <c r="V62" s="3928"/>
      <c r="W62" s="3928"/>
      <c r="X62" s="3928"/>
      <c r="Y62" s="3928"/>
      <c r="Z62" s="3928"/>
      <c r="AA62" s="3928"/>
      <c r="AB62" s="3928"/>
      <c r="AC62" s="3928"/>
      <c r="AD62" s="3928"/>
      <c r="AE62" s="3928"/>
      <c r="AF62" s="3928"/>
      <c r="AG62" s="3928"/>
      <c r="AH62" s="3928"/>
      <c r="AI62" s="3928"/>
      <c r="AJ62" s="3928"/>
      <c r="AK62" s="3928"/>
      <c r="AL62" s="3928"/>
      <c r="AM62" s="3928"/>
    </row>
    <row r="63" spans="1:44" ht="18" customHeight="1">
      <c r="O63" s="460"/>
      <c r="T63" s="3928"/>
      <c r="U63" s="3928"/>
      <c r="V63" s="3928"/>
      <c r="W63" s="3928"/>
      <c r="X63" s="3928"/>
      <c r="Y63" s="3928"/>
      <c r="Z63" s="3928"/>
      <c r="AA63" s="3928"/>
      <c r="AB63" s="3928"/>
      <c r="AC63" s="3928"/>
      <c r="AD63" s="3928"/>
      <c r="AE63" s="3928"/>
      <c r="AF63" s="3928"/>
      <c r="AG63" s="3928"/>
      <c r="AH63" s="3928"/>
      <c r="AI63" s="3928"/>
      <c r="AJ63" s="3928"/>
      <c r="AK63" s="3928"/>
      <c r="AL63" s="3928"/>
      <c r="AM63" s="3928"/>
    </row>
    <row r="64" spans="1:44" ht="38.25" customHeight="1">
      <c r="O64" s="460"/>
      <c r="S64" s="1169"/>
      <c r="T64" s="3928"/>
      <c r="U64" s="3928"/>
      <c r="V64" s="3928"/>
      <c r="W64" s="3928"/>
      <c r="X64" s="3928"/>
      <c r="Y64" s="3928"/>
      <c r="Z64" s="3928"/>
      <c r="AA64" s="3928"/>
      <c r="AB64" s="3928"/>
      <c r="AC64" s="3928"/>
      <c r="AD64" s="3928"/>
      <c r="AE64" s="3928"/>
      <c r="AF64" s="3928"/>
      <c r="AG64" s="3928"/>
      <c r="AH64" s="3928"/>
      <c r="AI64" s="3928"/>
      <c r="AJ64" s="3928"/>
      <c r="AK64" s="3928"/>
      <c r="AL64" s="3928"/>
      <c r="AM64" s="39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908">
        <v>1</v>
      </c>
      <c r="F2" s="1284"/>
      <c r="G2" s="1284"/>
      <c r="H2" s="1284"/>
      <c r="I2" s="1284"/>
      <c r="J2" s="1284"/>
      <c r="K2" s="1284"/>
      <c r="L2" s="1285"/>
      <c r="M2" s="1286"/>
      <c r="N2" s="1286"/>
      <c r="O2" s="1286"/>
      <c r="P2" s="282"/>
      <c r="Q2" s="281"/>
      <c r="R2" s="276"/>
      <c r="S2" s="1258" t="e">
        <f>INDEX(PT_DIFFERENTIATION_NUM_NTAR,MATCH(A2,PT_DIFFERENTIATION_NTAR_ID,0))</f>
        <v>#N/A</v>
      </c>
      <c r="T2" s="212" t="s">
        <v>141</v>
      </c>
      <c r="U2" s="214"/>
      <c r="V2" s="3894"/>
      <c r="W2" s="3895"/>
      <c r="X2" s="3895"/>
      <c r="Y2" s="3895"/>
      <c r="Z2" s="3895"/>
      <c r="AA2" s="3895"/>
      <c r="AB2" s="3895"/>
      <c r="AC2" s="3896"/>
      <c r="AD2" s="3894" t="e">
        <f>INDEX(PT_DIFFERENTIATION_NTAR,MATCH(A2,PT_DIFFERENTIATION_NTAR_ID,0))</f>
        <v>#N/A</v>
      </c>
      <c r="AE2" s="3895"/>
      <c r="AF2" s="3895"/>
      <c r="AG2" s="3895"/>
      <c r="AH2" s="3895"/>
      <c r="AI2" s="3895"/>
      <c r="AJ2" s="3895"/>
      <c r="AK2" s="3895"/>
      <c r="AL2" s="3896"/>
      <c r="AM2" s="1182" t="s">
        <v>427</v>
      </c>
      <c r="AO2" s="424"/>
      <c r="AP2" s="424" t="str">
        <f t="shared" ref="AP2:AP15" si="0">IF(T2="","",T2)</f>
        <v>Наименование тарифа</v>
      </c>
      <c r="AQ2" s="424"/>
      <c r="AR2" s="424"/>
    </row>
    <row r="3" spans="1:44" ht="21" hidden="1" customHeight="1">
      <c r="A3" s="1284"/>
      <c r="B3" s="1284"/>
      <c r="C3" s="1284"/>
      <c r="D3" s="1284"/>
      <c r="E3" s="3909"/>
      <c r="F3" s="3908">
        <v>1</v>
      </c>
      <c r="G3" s="1284"/>
      <c r="H3" s="1284"/>
      <c r="I3" s="1284"/>
      <c r="J3" s="1284"/>
      <c r="K3" s="1284"/>
      <c r="L3" s="1285"/>
      <c r="M3" s="1286"/>
      <c r="N3" s="1286"/>
      <c r="O3" s="1286"/>
      <c r="P3" s="1254"/>
      <c r="Q3" s="273"/>
      <c r="R3" s="274"/>
      <c r="S3" s="1258" t="e">
        <f>INDEX(PT_DIFFERENTIATION_NUM_TER,MATCH(B3,PT_DIFFERENTIATION_TER_ID,0))</f>
        <v>#N/A</v>
      </c>
      <c r="T3" s="224" t="s">
        <v>428</v>
      </c>
      <c r="U3" s="214"/>
      <c r="V3" s="3894"/>
      <c r="W3" s="3895"/>
      <c r="X3" s="3895"/>
      <c r="Y3" s="3895"/>
      <c r="Z3" s="3895"/>
      <c r="AA3" s="3895"/>
      <c r="AB3" s="3895"/>
      <c r="AC3" s="3896"/>
      <c r="AD3" s="3894" t="e">
        <f>INDEX(PT_DIFFERENTIATION_TER,MATCH(B3,PT_DIFFERENTIATION_TER_ID,0))</f>
        <v>#N/A</v>
      </c>
      <c r="AE3" s="3895"/>
      <c r="AF3" s="3895"/>
      <c r="AG3" s="3895"/>
      <c r="AH3" s="3895"/>
      <c r="AI3" s="3895"/>
      <c r="AJ3" s="3895"/>
      <c r="AK3" s="3895"/>
      <c r="AL3" s="3896"/>
      <c r="AM3" s="1182" t="s">
        <v>429</v>
      </c>
      <c r="AO3" s="424"/>
      <c r="AP3" s="424" t="str">
        <f t="shared" si="0"/>
        <v>Территория действия тарифа</v>
      </c>
      <c r="AQ3" s="424"/>
      <c r="AR3" s="424"/>
    </row>
    <row r="4" spans="1:44" ht="23.25" hidden="1" customHeight="1">
      <c r="A4" s="1284"/>
      <c r="B4" s="1284"/>
      <c r="C4" s="1284"/>
      <c r="D4" s="1284"/>
      <c r="E4" s="3909"/>
      <c r="F4" s="3909"/>
      <c r="G4" s="3908">
        <v>1</v>
      </c>
      <c r="H4" s="1284"/>
      <c r="I4" s="1284"/>
      <c r="J4" s="1284"/>
      <c r="K4" s="1284"/>
      <c r="L4" s="1285"/>
      <c r="M4" s="1286"/>
      <c r="N4" s="1286"/>
      <c r="O4" s="1286"/>
      <c r="P4" s="275"/>
      <c r="Q4" s="273"/>
      <c r="R4" s="274"/>
      <c r="S4" s="1258" t="e">
        <f>INDEX(PT_DIFFERENTIATION_NUM_CS,MATCH(C4,PT_DIFFERENTIATION_CS_ID,0))</f>
        <v>#N/A</v>
      </c>
      <c r="T4" s="225" t="s">
        <v>430</v>
      </c>
      <c r="U4" s="214"/>
      <c r="V4" s="3894"/>
      <c r="W4" s="3895"/>
      <c r="X4" s="3895"/>
      <c r="Y4" s="3895"/>
      <c r="Z4" s="3895"/>
      <c r="AA4" s="3895"/>
      <c r="AB4" s="3895"/>
      <c r="AC4" s="3896"/>
      <c r="AD4" s="3894" t="e">
        <f>INDEX(PT_DIFFERENTIATION_CS,MATCH(C4,PT_DIFFERENTIATION_CS_ID,0))</f>
        <v>#N/A</v>
      </c>
      <c r="AE4" s="3895"/>
      <c r="AF4" s="3895"/>
      <c r="AG4" s="3895"/>
      <c r="AH4" s="3895"/>
      <c r="AI4" s="3895"/>
      <c r="AJ4" s="3895"/>
      <c r="AK4" s="3895"/>
      <c r="AL4" s="3896"/>
      <c r="AM4" s="1182" t="s">
        <v>431</v>
      </c>
      <c r="AO4" s="424"/>
      <c r="AP4" s="424" t="str">
        <f t="shared" si="0"/>
        <v xml:space="preserve">Наименование системы теплоснабжения </v>
      </c>
      <c r="AQ4" s="424"/>
      <c r="AR4" s="424"/>
    </row>
    <row r="5" spans="1:44" ht="21" hidden="1" customHeight="1">
      <c r="A5" s="1284"/>
      <c r="B5" s="1284"/>
      <c r="C5" s="1284"/>
      <c r="D5" s="1284"/>
      <c r="E5" s="3909"/>
      <c r="F5" s="3909"/>
      <c r="G5" s="3909"/>
      <c r="H5" s="3908">
        <v>1</v>
      </c>
      <c r="I5" s="1284"/>
      <c r="J5" s="1284"/>
      <c r="K5" s="1284"/>
      <c r="L5" s="1285"/>
      <c r="M5" s="1286"/>
      <c r="N5" s="1286"/>
      <c r="O5" s="1286"/>
      <c r="P5" s="275"/>
      <c r="Q5" s="273"/>
      <c r="R5" s="274"/>
      <c r="S5" s="1258" t="e">
        <f>INDEX(PT_DIFFERENTIATION_NUM_IST_TE,MATCH(D5,PT_DIFFERENTIATION_IST_TE_ID,0))</f>
        <v>#N/A</v>
      </c>
      <c r="T5" s="226" t="s">
        <v>432</v>
      </c>
      <c r="U5" s="214"/>
      <c r="V5" s="3894"/>
      <c r="W5" s="3895"/>
      <c r="X5" s="3895"/>
      <c r="Y5" s="3895"/>
      <c r="Z5" s="3895"/>
      <c r="AA5" s="3895"/>
      <c r="AB5" s="3895"/>
      <c r="AC5" s="3896"/>
      <c r="AD5" s="3894" t="e">
        <f>INDEX(PT_DIFFERENTIATION_IST_TE,MATCH(D5,PT_DIFFERENTIATION_IST_TE_ID,0))</f>
        <v>#N/A</v>
      </c>
      <c r="AE5" s="3895"/>
      <c r="AF5" s="3895"/>
      <c r="AG5" s="3895"/>
      <c r="AH5" s="3895"/>
      <c r="AI5" s="3895"/>
      <c r="AJ5" s="3895"/>
      <c r="AK5" s="3895"/>
      <c r="AL5" s="3896"/>
      <c r="AM5" s="1182" t="s">
        <v>433</v>
      </c>
      <c r="AO5" s="424"/>
      <c r="AP5" s="424" t="str">
        <f t="shared" si="0"/>
        <v xml:space="preserve">Источник тепловой энергии  </v>
      </c>
      <c r="AQ5" s="424"/>
      <c r="AR5" s="424"/>
    </row>
    <row r="6" spans="1:44" ht="14.25" hidden="1" customHeight="1">
      <c r="A6" s="1284"/>
      <c r="B6" s="1284"/>
      <c r="C6" s="1284"/>
      <c r="D6" s="1284"/>
      <c r="E6" s="3909"/>
      <c r="F6" s="3909"/>
      <c r="G6" s="3909"/>
      <c r="H6" s="3909"/>
      <c r="I6" s="3906" t="e">
        <f>S5&amp;".1"</f>
        <v>#N/A</v>
      </c>
      <c r="J6" s="1284"/>
      <c r="K6" s="1284"/>
      <c r="L6" s="1285" t="s">
        <v>434</v>
      </c>
      <c r="M6" s="460"/>
      <c r="P6" s="3907">
        <v>1</v>
      </c>
      <c r="Q6" s="1253"/>
      <c r="R6" s="277"/>
      <c r="S6" s="953"/>
      <c r="T6" s="1304"/>
      <c r="U6" s="1305"/>
      <c r="V6" s="3935"/>
      <c r="W6" s="3936"/>
      <c r="X6" s="3936"/>
      <c r="Y6" s="3936"/>
      <c r="Z6" s="3936"/>
      <c r="AA6" s="3936"/>
      <c r="AB6" s="3936"/>
      <c r="AC6" s="3937"/>
      <c r="AD6" s="3935"/>
      <c r="AE6" s="3936"/>
      <c r="AF6" s="3936"/>
      <c r="AG6" s="3936"/>
      <c r="AH6" s="3936"/>
      <c r="AI6" s="3936"/>
      <c r="AJ6" s="3936"/>
      <c r="AK6" s="3936"/>
      <c r="AL6" s="3937"/>
      <c r="AM6" s="1306"/>
      <c r="AO6" s="424"/>
      <c r="AP6" s="424" t="str">
        <f t="shared" si="0"/>
        <v/>
      </c>
      <c r="AQ6" s="424"/>
      <c r="AR6" s="424"/>
    </row>
    <row r="7" spans="1:44" ht="21" hidden="1" customHeight="1">
      <c r="A7" s="1284"/>
      <c r="B7" s="1284"/>
      <c r="C7" s="1284"/>
      <c r="D7" s="1284"/>
      <c r="E7" s="3909"/>
      <c r="F7" s="3909"/>
      <c r="G7" s="3909"/>
      <c r="H7" s="3909"/>
      <c r="I7" s="3929"/>
      <c r="J7" s="3906" t="e">
        <f>I6&amp;".1"</f>
        <v>#N/A</v>
      </c>
      <c r="K7" s="1284"/>
      <c r="L7" s="1285" t="s">
        <v>437</v>
      </c>
      <c r="M7" s="460"/>
      <c r="N7" s="1287"/>
      <c r="P7" s="3907"/>
      <c r="Q7" s="3907">
        <v>1</v>
      </c>
      <c r="R7" s="278"/>
      <c r="S7" s="1258" t="e">
        <f>$J7</f>
        <v>#N/A</v>
      </c>
      <c r="T7" s="201" t="s">
        <v>438</v>
      </c>
      <c r="U7" s="214"/>
      <c r="V7" s="3897"/>
      <c r="W7" s="3898"/>
      <c r="X7" s="3898"/>
      <c r="Y7" s="3898"/>
      <c r="Z7" s="3898"/>
      <c r="AA7" s="3898"/>
      <c r="AB7" s="3898"/>
      <c r="AC7" s="3899"/>
      <c r="AD7" s="3897"/>
      <c r="AE7" s="3898"/>
      <c r="AF7" s="3898"/>
      <c r="AG7" s="3898"/>
      <c r="AH7" s="3898"/>
      <c r="AI7" s="3898"/>
      <c r="AJ7" s="3898"/>
      <c r="AK7" s="3898"/>
      <c r="AL7" s="3899"/>
      <c r="AM7" s="1182" t="s">
        <v>439</v>
      </c>
      <c r="AO7" s="424"/>
      <c r="AP7" s="424" t="str">
        <f t="shared" si="0"/>
        <v>Группа потребителей</v>
      </c>
      <c r="AQ7" s="424"/>
      <c r="AR7" s="424"/>
    </row>
    <row r="8" spans="1:44" ht="21" hidden="1" customHeight="1">
      <c r="A8" s="1284"/>
      <c r="B8" s="1284"/>
      <c r="C8" s="1284"/>
      <c r="D8" s="1284"/>
      <c r="E8" s="3909"/>
      <c r="F8" s="3909"/>
      <c r="G8" s="3909"/>
      <c r="H8" s="3909"/>
      <c r="I8" s="3929"/>
      <c r="J8" s="3929"/>
      <c r="K8" s="3906" t="e">
        <f>J7&amp;".1"</f>
        <v>#N/A</v>
      </c>
      <c r="L8" s="1285" t="s">
        <v>440</v>
      </c>
      <c r="M8" s="460"/>
      <c r="N8" s="1287"/>
      <c r="O8" s="1287"/>
      <c r="P8" s="3907"/>
      <c r="Q8" s="3907"/>
      <c r="R8" s="278">
        <v>1</v>
      </c>
      <c r="S8" s="1258" t="e">
        <f>$K8</f>
        <v>#N/A</v>
      </c>
      <c r="T8" s="1269"/>
      <c r="U8" s="214"/>
      <c r="V8" s="666"/>
      <c r="W8" s="246"/>
      <c r="X8" s="666"/>
      <c r="Y8" s="1181"/>
      <c r="Z8" s="3911"/>
      <c r="AA8" s="3759" t="s">
        <v>60</v>
      </c>
      <c r="AB8" s="3911"/>
      <c r="AC8" s="3759" t="s">
        <v>60</v>
      </c>
      <c r="AD8" s="666"/>
      <c r="AE8" s="246"/>
      <c r="AF8" s="666"/>
      <c r="AG8" s="1181"/>
      <c r="AH8" s="3911"/>
      <c r="AI8" s="3759" t="s">
        <v>60</v>
      </c>
      <c r="AJ8" s="3911"/>
      <c r="AK8" s="3759" t="s">
        <v>60</v>
      </c>
      <c r="AL8" s="246"/>
      <c r="AM8" s="3903" t="s">
        <v>441</v>
      </c>
      <c r="AN8" s="435" t="e">
        <f ca="1">STRCHECKDATE(V9:AL9)</f>
        <v>#NAME?</v>
      </c>
      <c r="AO8" s="424"/>
      <c r="AP8" s="424" t="str">
        <f t="shared" si="0"/>
        <v/>
      </c>
      <c r="AQ8" s="424"/>
      <c r="AR8" s="424"/>
    </row>
    <row r="9" spans="1:44" ht="0.75" hidden="1" customHeight="1">
      <c r="A9" s="1284"/>
      <c r="B9" s="1284"/>
      <c r="C9" s="1284"/>
      <c r="D9" s="1284"/>
      <c r="E9" s="3909"/>
      <c r="F9" s="3909"/>
      <c r="G9" s="3909"/>
      <c r="H9" s="3909"/>
      <c r="I9" s="3929"/>
      <c r="J9" s="3929"/>
      <c r="K9" s="3906"/>
      <c r="L9" s="1285"/>
      <c r="M9" s="460"/>
      <c r="N9" s="1287"/>
      <c r="O9" s="1287"/>
      <c r="P9" s="3907"/>
      <c r="Q9" s="3907"/>
      <c r="R9" s="278"/>
      <c r="S9" s="1264"/>
      <c r="T9" s="214"/>
      <c r="U9" s="214"/>
      <c r="V9" s="246"/>
      <c r="W9" s="246"/>
      <c r="X9" s="246"/>
      <c r="Y9" s="250" t="str">
        <f>Z8&amp;"-"&amp;AB8</f>
        <v>-</v>
      </c>
      <c r="Z9" s="3912"/>
      <c r="AA9" s="3759"/>
      <c r="AB9" s="3912"/>
      <c r="AC9" s="3759"/>
      <c r="AD9" s="246"/>
      <c r="AE9" s="246"/>
      <c r="AF9" s="246"/>
      <c r="AG9" s="250" t="str">
        <f>AH8&amp;"-"&amp;AJ8</f>
        <v>-</v>
      </c>
      <c r="AH9" s="3912"/>
      <c r="AI9" s="3759"/>
      <c r="AJ9" s="3912"/>
      <c r="AK9" s="3759"/>
      <c r="AL9" s="246"/>
      <c r="AM9" s="3904"/>
      <c r="AO9" s="424"/>
      <c r="AP9" s="424" t="str">
        <f t="shared" si="0"/>
        <v/>
      </c>
      <c r="AQ9" s="424"/>
      <c r="AR9" s="424"/>
    </row>
    <row r="10" spans="1:44" ht="15" hidden="1" customHeight="1">
      <c r="A10" s="1284"/>
      <c r="B10" s="1284"/>
      <c r="C10" s="1284"/>
      <c r="D10" s="1284"/>
      <c r="E10" s="3909"/>
      <c r="F10" s="3909"/>
      <c r="G10" s="3909"/>
      <c r="H10" s="3909"/>
      <c r="I10" s="3929"/>
      <c r="J10" s="3906"/>
      <c r="K10" s="1284"/>
      <c r="L10" s="1285"/>
      <c r="M10" s="460"/>
      <c r="N10" s="1287"/>
      <c r="P10" s="3907"/>
      <c r="Q10" s="3907"/>
      <c r="R10" s="277"/>
      <c r="S10" s="1203"/>
      <c r="T10" s="202" t="s">
        <v>442</v>
      </c>
      <c r="U10" s="291"/>
      <c r="V10" s="291"/>
      <c r="W10" s="291"/>
      <c r="X10" s="291"/>
      <c r="Y10" s="291"/>
      <c r="Z10" s="291"/>
      <c r="AA10" s="291"/>
      <c r="AB10" s="291"/>
      <c r="AC10" s="291"/>
      <c r="AD10" s="291"/>
      <c r="AE10" s="291"/>
      <c r="AF10" s="291"/>
      <c r="AG10" s="291"/>
      <c r="AH10" s="291"/>
      <c r="AI10" s="291"/>
      <c r="AJ10" s="291"/>
      <c r="AK10" s="291"/>
      <c r="AL10" s="245"/>
      <c r="AM10" s="3905"/>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3909"/>
      <c r="F11" s="3909"/>
      <c r="G11" s="3909"/>
      <c r="H11" s="3909"/>
      <c r="I11" s="3906"/>
      <c r="J11" s="1284"/>
      <c r="K11" s="1284"/>
      <c r="L11" s="1285"/>
      <c r="M11" s="460"/>
      <c r="P11" s="3907"/>
      <c r="Q11" s="1253"/>
      <c r="R11" s="277"/>
      <c r="S11" s="1203"/>
      <c r="T11" s="288" t="s">
        <v>443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909"/>
      <c r="F12" s="3909"/>
      <c r="G12" s="3909"/>
      <c r="H12" s="3908"/>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3909"/>
      <c r="F13" s="3909"/>
      <c r="G13" s="3908"/>
      <c r="H13" s="1237"/>
      <c r="I13" s="1237"/>
      <c r="J13" s="1237"/>
      <c r="K13" s="1237"/>
      <c r="L13" s="1261"/>
      <c r="M13" s="1238"/>
      <c r="N13" s="1238"/>
      <c r="P13" s="1239"/>
      <c r="Q13" s="1240"/>
      <c r="R13" s="1239"/>
      <c r="S13" s="1241"/>
      <c r="T13" s="1242" t="s">
        <v>445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3909"/>
      <c r="F14" s="3908"/>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3908"/>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913"/>
      <c r="AI17" s="3914" t="s">
        <v>60</v>
      </c>
      <c r="AJ17" s="3913"/>
      <c r="AK17" s="3914" t="s">
        <v>60</v>
      </c>
    </row>
    <row r="18" spans="1:44" ht="14.25" hidden="1" customHeight="1">
      <c r="AD18" s="1281"/>
      <c r="AE18" s="1281"/>
      <c r="AF18" s="1281"/>
      <c r="AG18" s="250" t="str">
        <f>AH17&amp;"-"&amp;AJ17</f>
        <v>-</v>
      </c>
      <c r="AH18" s="3914"/>
      <c r="AI18" s="3914"/>
      <c r="AJ18" s="3914"/>
      <c r="AK18" s="3914"/>
    </row>
    <row r="19" spans="1:44" ht="14.25" hidden="1" customHeight="1">
      <c r="AK19" s="249"/>
    </row>
    <row r="20" spans="1:44" s="1287" customFormat="1" ht="22.5" hidden="1" customHeight="1">
      <c r="L20" s="1251"/>
      <c r="M20" s="1283"/>
      <c r="N20" s="1283"/>
      <c r="O20" s="1288" t="s">
        <v>446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447</v>
      </c>
      <c r="P22" s="1283"/>
      <c r="Q22" s="1292"/>
      <c r="R22" s="1292"/>
      <c r="S22" s="646"/>
      <c r="T22" s="1065" t="s">
        <v>448</v>
      </c>
      <c r="AA22" s="104" t="s">
        <v>449</v>
      </c>
      <c r="AC22" s="104" t="s">
        <v>450</v>
      </c>
      <c r="AD22" s="1065" t="s">
        <v>448</v>
      </c>
      <c r="AI22" s="104" t="s">
        <v>451</v>
      </c>
      <c r="AK22" s="104" t="s">
        <v>450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38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92"/>
      <c r="U26" s="3892"/>
      <c r="V26" s="3892"/>
      <c r="W26" s="3892"/>
      <c r="X26" s="3892"/>
      <c r="Y26" s="3892"/>
      <c r="Z26" s="3892"/>
      <c r="AA26" s="3892"/>
      <c r="AB26" s="3892"/>
      <c r="AC26" s="3892"/>
      <c r="AD26" s="3892"/>
      <c r="AE26" s="3892"/>
      <c r="AF26" s="3892"/>
      <c r="AG26" s="3892"/>
      <c r="AH26" s="3892"/>
      <c r="AI26" s="3892"/>
      <c r="AJ26" s="3892"/>
      <c r="AK26" s="1157"/>
    </row>
    <row r="27" spans="1:44" ht="14.25" customHeight="1">
      <c r="Q27" s="300"/>
      <c r="R27" s="300"/>
      <c r="S27" s="3839" t="str">
        <f>IF(org=0,"Не определено",org)</f>
        <v>ГУП СК "Ставрополькрайводоканал"</v>
      </c>
      <c r="T27" s="3839"/>
      <c r="U27" s="3839"/>
      <c r="V27" s="3839"/>
      <c r="W27" s="3839"/>
      <c r="X27" s="3839"/>
      <c r="Y27" s="3839"/>
      <c r="Z27" s="3839"/>
      <c r="AA27" s="3839"/>
      <c r="AB27" s="3839"/>
      <c r="AC27" s="3839"/>
      <c r="AD27" s="3839"/>
      <c r="AE27" s="3839"/>
      <c r="AF27" s="3839"/>
      <c r="AG27" s="3839"/>
      <c r="AH27" s="3839"/>
      <c r="AI27" s="3839"/>
      <c r="AJ27" s="383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900" t="s">
        <v>38</v>
      </c>
      <c r="T29" s="3900"/>
      <c r="U29" s="1293"/>
      <c r="V29" s="3901" t="str">
        <f>IF(TITLE_NAME_OR_PR_CHANGE="",IF(TITLE_NAME_OR_PR="","",TITLE_NAME_OR_PR),TITLE_NAME_OR_PR_CHANGE)</f>
        <v>Региональная тарифная комиссия Ставропольского края</v>
      </c>
      <c r="W29" s="3901"/>
      <c r="X29" s="3901"/>
      <c r="Y29" s="3901"/>
      <c r="Z29" s="3901"/>
      <c r="AA29" s="3901"/>
      <c r="AB29" s="3901"/>
      <c r="AC29" s="248"/>
      <c r="AD29" s="3901" t="str">
        <f>IF(TITLE_NAME_OR_PR_CHANGE="",IF(TITLE_NAME_OR_PR="","",TITLE_NAME_OR_PR),TITLE_NAME_OR_PR_CHANGE)</f>
        <v>Региональная тарифная комиссия Ставропольского края</v>
      </c>
      <c r="AE29" s="3901"/>
      <c r="AF29" s="3901"/>
      <c r="AG29" s="3901"/>
      <c r="AH29" s="3901"/>
      <c r="AI29" s="3901"/>
      <c r="AJ29" s="3901"/>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900" t="s">
        <v>452</v>
      </c>
      <c r="T30" s="3900"/>
      <c r="U30" s="1293"/>
      <c r="V30" s="3910">
        <f>IF(TITLE_DATE_PR_CHANGE="",IF(TITLE_DATE_PR="","",TITLE_DATE_PR),TITLE_DATE_PR_CHANGE)</f>
        <v>45278</v>
      </c>
      <c r="W30" s="3910"/>
      <c r="X30" s="3910"/>
      <c r="Y30" s="3910"/>
      <c r="Z30" s="3910"/>
      <c r="AA30" s="3910"/>
      <c r="AB30" s="3910"/>
      <c r="AC30" s="248"/>
      <c r="AD30" s="3910">
        <f>IF(TITLE_DATE_PR_CHANGE="",IF(TITLE_DATE_PR="","",TITLE_DATE_PR),TITLE_DATE_PR_CHANGE)</f>
        <v>45278</v>
      </c>
      <c r="AE30" s="3910"/>
      <c r="AF30" s="3910"/>
      <c r="AG30" s="3910"/>
      <c r="AH30" s="3910"/>
      <c r="AI30" s="3910"/>
      <c r="AJ30" s="3910"/>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900" t="s">
        <v>453</v>
      </c>
      <c r="T31" s="3900"/>
      <c r="U31" s="1293"/>
      <c r="V31" s="3901" t="str">
        <f>IF(TITLE_NUMBER_PR_CHANGE="",IF(TITLE_NUMBER_PR="","",TITLE_NUMBER_PR),TITLE_NUMBER_PR_CHANGE)</f>
        <v>79/2</v>
      </c>
      <c r="W31" s="3901"/>
      <c r="X31" s="3901"/>
      <c r="Y31" s="3901"/>
      <c r="Z31" s="3901"/>
      <c r="AA31" s="3901"/>
      <c r="AB31" s="3901"/>
      <c r="AC31" s="248"/>
      <c r="AD31" s="3901" t="str">
        <f>IF(TITLE_NUMBER_PR_CHANGE="",IF(TITLE_NUMBER_PR="","",TITLE_NUMBER_PR),TITLE_NUMBER_PR_CHANGE)</f>
        <v>79/2</v>
      </c>
      <c r="AE31" s="3901"/>
      <c r="AF31" s="3901"/>
      <c r="AG31" s="3901"/>
      <c r="AH31" s="3901"/>
      <c r="AI31" s="3901"/>
      <c r="AJ31" s="3901"/>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900" t="s">
        <v>40</v>
      </c>
      <c r="T32" s="3900"/>
      <c r="U32" s="1293"/>
      <c r="V32" s="3901" t="str">
        <f>IF(TITLE_IST_PUB_CHANGE="",IF(TITLE_IST_PUB="","",TITLE_IST_PUB),TITLE_IST_PUB_CHANGE)</f>
        <v>http://pravo.stavregion.ru/</v>
      </c>
      <c r="W32" s="3901"/>
      <c r="X32" s="3901"/>
      <c r="Y32" s="3901"/>
      <c r="Z32" s="3901"/>
      <c r="AA32" s="3901"/>
      <c r="AB32" s="3901"/>
      <c r="AC32" s="248"/>
      <c r="AD32" s="3901" t="str">
        <f>IF(TITLE_IST_PUB_CHANGE="",IF(TITLE_IST_PUB="","",TITLE_IST_PUB),TITLE_IST_PUB_CHANGE)</f>
        <v>http://pravo.stavregion.ru/</v>
      </c>
      <c r="AE32" s="3901"/>
      <c r="AF32" s="3901"/>
      <c r="AG32" s="3901"/>
      <c r="AH32" s="3901"/>
      <c r="AI32" s="3901"/>
      <c r="AJ32" s="3901"/>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900" t="s">
        <v>454</v>
      </c>
      <c r="T34" s="3900"/>
      <c r="U34" s="1293"/>
      <c r="V34" s="3910">
        <f>IF(TITLE_DATE_PR_CHANGE="",IF(TITLE_DATE_PR="","",TITLE_DATE_PR),TITLE_DATE_PR_CHANGE)</f>
        <v>45278</v>
      </c>
      <c r="W34" s="3910"/>
      <c r="X34" s="3910"/>
      <c r="Y34" s="3910"/>
      <c r="Z34" s="3910"/>
      <c r="AA34" s="3910"/>
      <c r="AB34" s="3910"/>
      <c r="AC34" s="248"/>
      <c r="AD34" s="3910">
        <f>IF(TITLE_DATE_PR_CHANGE="",IF(TITLE_DATE_PR="","",TITLE_DATE_PR),TITLE_DATE_PR_CHANGE)</f>
        <v>45278</v>
      </c>
      <c r="AE34" s="3910"/>
      <c r="AF34" s="3910"/>
      <c r="AG34" s="3910"/>
      <c r="AH34" s="3910"/>
      <c r="AI34" s="3910"/>
      <c r="AJ34" s="3910"/>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900" t="s">
        <v>455</v>
      </c>
      <c r="T35" s="3900"/>
      <c r="U35" s="1293"/>
      <c r="V35" s="3901" t="str">
        <f>IF(TITLE_NUMBER_PR_CHANGE="",IF(TITLE_NUMBER_PR="","",TITLE_NUMBER_PR),TITLE_NUMBER_PR_CHANGE)</f>
        <v>79/2</v>
      </c>
      <c r="W35" s="3901"/>
      <c r="X35" s="3901"/>
      <c r="Y35" s="3901"/>
      <c r="Z35" s="3901"/>
      <c r="AA35" s="3901"/>
      <c r="AB35" s="3901"/>
      <c r="AC35" s="248"/>
      <c r="AD35" s="3901" t="str">
        <f>IF(TITLE_NUMBER_PR_CHANGE="",IF(TITLE_NUMBER_PR="","",TITLE_NUMBER_PR),TITLE_NUMBER_PR_CHANGE)</f>
        <v>79/2</v>
      </c>
      <c r="AE35" s="3901"/>
      <c r="AF35" s="3901"/>
      <c r="AG35" s="3901"/>
      <c r="AH35" s="3901"/>
      <c r="AI35" s="3901"/>
      <c r="AJ35" s="3901"/>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456</v>
      </c>
      <c r="AD36" s="248"/>
      <c r="AE36" s="248"/>
      <c r="AF36" s="248"/>
      <c r="AG36" s="248"/>
      <c r="AH36" s="248"/>
      <c r="AI36" s="248"/>
      <c r="AJ36" s="248"/>
      <c r="AK36" s="194" t="s">
        <v>456</v>
      </c>
      <c r="AN36" s="292"/>
      <c r="AO36" s="292"/>
      <c r="AP36" s="292"/>
      <c r="AQ36" s="292"/>
      <c r="AR36" s="292"/>
    </row>
    <row r="37" spans="1:44" ht="14.25" customHeight="1">
      <c r="Q37" s="300"/>
      <c r="R37" s="300"/>
      <c r="S37" s="1200"/>
      <c r="T37" s="286"/>
      <c r="U37" s="1158"/>
      <c r="V37" s="3902"/>
      <c r="W37" s="3902"/>
      <c r="X37" s="3902"/>
      <c r="Y37" s="3902"/>
      <c r="Z37" s="3902"/>
      <c r="AA37" s="3902"/>
      <c r="AB37" s="3902"/>
      <c r="AC37" s="3902"/>
      <c r="AD37" s="3902"/>
      <c r="AE37" s="3902"/>
      <c r="AF37" s="3902"/>
      <c r="AG37" s="3902"/>
      <c r="AH37" s="3902"/>
      <c r="AI37" s="3902"/>
      <c r="AJ37" s="3902"/>
      <c r="AK37" s="3902"/>
    </row>
    <row r="38" spans="1:44" ht="14.25" customHeight="1">
      <c r="Q38" s="300"/>
      <c r="R38" s="300"/>
      <c r="S38" s="3778" t="s">
        <v>329</v>
      </c>
      <c r="T38" s="3778"/>
      <c r="U38" s="3778"/>
      <c r="V38" s="3778"/>
      <c r="W38" s="3778"/>
      <c r="X38" s="3778"/>
      <c r="Y38" s="3778"/>
      <c r="Z38" s="3778"/>
      <c r="AA38" s="3778"/>
      <c r="AB38" s="3778"/>
      <c r="AC38" s="3778"/>
      <c r="AD38" s="3778"/>
      <c r="AE38" s="3778"/>
      <c r="AF38" s="3778"/>
      <c r="AG38" s="3778"/>
      <c r="AH38" s="3778"/>
      <c r="AI38" s="3778"/>
      <c r="AJ38" s="3778"/>
      <c r="AK38" s="3778"/>
      <c r="AL38" s="3778"/>
      <c r="AM38" s="3778" t="s">
        <v>330</v>
      </c>
    </row>
    <row r="39" spans="1:44" ht="14.25" customHeight="1">
      <c r="Q39" s="300"/>
      <c r="R39" s="300"/>
      <c r="S39" s="3916" t="s">
        <v>86</v>
      </c>
      <c r="T39" s="3868" t="s">
        <v>457</v>
      </c>
      <c r="U39" s="215"/>
      <c r="V39" s="3917" t="s">
        <v>458</v>
      </c>
      <c r="W39" s="3918"/>
      <c r="X39" s="3918"/>
      <c r="Y39" s="3918"/>
      <c r="Z39" s="3918"/>
      <c r="AA39" s="3918"/>
      <c r="AB39" s="3919"/>
      <c r="AC39" s="3920" t="s">
        <v>459</v>
      </c>
      <c r="AD39" s="3917" t="s">
        <v>458</v>
      </c>
      <c r="AE39" s="3918"/>
      <c r="AF39" s="3918"/>
      <c r="AG39" s="3918"/>
      <c r="AH39" s="3918"/>
      <c r="AI39" s="3918"/>
      <c r="AJ39" s="3919"/>
      <c r="AK39" s="3920" t="s">
        <v>460</v>
      </c>
      <c r="AL39" s="3923" t="s">
        <v>461</v>
      </c>
      <c r="AM39" s="3778"/>
    </row>
    <row r="40" spans="1:44" ht="33.75" customHeight="1">
      <c r="Q40" s="300"/>
      <c r="R40" s="300"/>
      <c r="S40" s="3916"/>
      <c r="T40" s="3868"/>
      <c r="U40" s="942"/>
      <c r="V40" s="3838" t="s">
        <v>462</v>
      </c>
      <c r="W40" s="3926"/>
      <c r="X40" s="3749" t="s">
        <v>464</v>
      </c>
      <c r="Y40" s="3748"/>
      <c r="Z40" s="3749" t="s">
        <v>465</v>
      </c>
      <c r="AA40" s="3754"/>
      <c r="AB40" s="3748"/>
      <c r="AC40" s="3921"/>
      <c r="AD40" s="3838" t="s">
        <v>462</v>
      </c>
      <c r="AE40" s="3926"/>
      <c r="AF40" s="3749" t="s">
        <v>464</v>
      </c>
      <c r="AG40" s="3748"/>
      <c r="AH40" s="3749" t="s">
        <v>465</v>
      </c>
      <c r="AI40" s="3754"/>
      <c r="AJ40" s="3748"/>
      <c r="AK40" s="3921"/>
      <c r="AL40" s="3924"/>
      <c r="AM40" s="3778"/>
    </row>
    <row r="41" spans="1:44" ht="33.75" customHeight="1">
      <c r="A41" s="1291"/>
      <c r="B41" s="1291" t="s">
        <v>153</v>
      </c>
      <c r="C41" s="1291" t="s">
        <v>154</v>
      </c>
      <c r="D41" s="1291" t="s">
        <v>155</v>
      </c>
      <c r="E41" s="1285" t="s">
        <v>466</v>
      </c>
      <c r="F41" s="1285" t="s">
        <v>467</v>
      </c>
      <c r="G41" s="1285" t="s">
        <v>468</v>
      </c>
      <c r="H41" s="1285" t="s">
        <v>469</v>
      </c>
      <c r="I41" s="1285" t="s">
        <v>470</v>
      </c>
      <c r="J41" s="1285" t="s">
        <v>471</v>
      </c>
      <c r="K41" s="1285" t="s">
        <v>472</v>
      </c>
      <c r="L41" s="1285" t="s">
        <v>447</v>
      </c>
      <c r="Q41" s="300"/>
      <c r="R41" s="300"/>
      <c r="S41" s="3916"/>
      <c r="T41" s="3868"/>
      <c r="U41" s="216"/>
      <c r="V41" s="3887"/>
      <c r="W41" s="3927"/>
      <c r="X41" s="1133" t="s">
        <v>473</v>
      </c>
      <c r="Y41" s="1133" t="s">
        <v>474</v>
      </c>
      <c r="Z41" s="1260" t="s">
        <v>475</v>
      </c>
      <c r="AA41" s="3876" t="s">
        <v>476</v>
      </c>
      <c r="AB41" s="3878"/>
      <c r="AC41" s="3922"/>
      <c r="AD41" s="3887"/>
      <c r="AE41" s="3927"/>
      <c r="AF41" s="1133" t="s">
        <v>473</v>
      </c>
      <c r="AG41" s="1133" t="s">
        <v>474</v>
      </c>
      <c r="AH41" s="1260" t="s">
        <v>475</v>
      </c>
      <c r="AI41" s="3876" t="s">
        <v>476</v>
      </c>
      <c r="AJ41" s="3878"/>
      <c r="AK41" s="3922"/>
      <c r="AL41" s="3925"/>
      <c r="AM41" s="377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129</v>
      </c>
      <c r="T42" s="1177" t="s">
        <v>102</v>
      </c>
      <c r="U42" s="1159" t="str">
        <f ca="1">OFFSET(U42,0,-1)</f>
        <v>2</v>
      </c>
      <c r="V42" s="1257">
        <f ca="1">OFFSET(V42,0,-1)+1</f>
        <v>3</v>
      </c>
      <c r="W42" s="1257"/>
      <c r="X42" s="1257">
        <f ca="1">OFFSET(X42,0,-1)+1</f>
        <v>1</v>
      </c>
      <c r="Y42" s="1257">
        <f ca="1">OFFSET(Y42,0,-1)+1</f>
        <v>2</v>
      </c>
      <c r="Z42" s="1257">
        <f ca="1">OFFSET(Z42,0,-1)+1</f>
        <v>3</v>
      </c>
      <c r="AA42" s="3915">
        <f ca="1">OFFSET(AA42,0,-1)+1</f>
        <v>4</v>
      </c>
      <c r="AB42" s="3915"/>
      <c r="AC42" s="1257">
        <f ca="1">OFFSET(AC42,0,-2)+1</f>
        <v>5</v>
      </c>
      <c r="AD42" s="1257">
        <f ca="1">OFFSET(AD42,0,-1)+1</f>
        <v>6</v>
      </c>
      <c r="AE42" s="1257"/>
      <c r="AF42" s="1257">
        <f ca="1">OFFSET(AF42,0,-1)+1</f>
        <v>1</v>
      </c>
      <c r="AG42" s="1257">
        <f ca="1">OFFSET(AG42,0,-1)+1</f>
        <v>2</v>
      </c>
      <c r="AH42" s="1257">
        <f ca="1">OFFSET(AH42,0,-1)+1</f>
        <v>3</v>
      </c>
      <c r="AI42" s="3915">
        <f ca="1">OFFSET(AI42,0,-1)+1</f>
        <v>4</v>
      </c>
      <c r="AJ42" s="3915"/>
      <c r="AK42" s="1257">
        <f ca="1">OFFSET(AK42,0,-2)+1</f>
        <v>5</v>
      </c>
      <c r="AL42" s="1159">
        <f ca="1">OFFSET(AL42,0,-1)</f>
        <v>5</v>
      </c>
      <c r="AM42" s="1257">
        <f ca="1">OFFSET(AM42,0,-1)+1</f>
        <v>6</v>
      </c>
      <c r="AN42" s="435"/>
      <c r="AO42" s="435"/>
      <c r="AP42" s="435"/>
      <c r="AQ42" s="435"/>
      <c r="AR42" s="435"/>
    </row>
    <row r="43" spans="1:44" ht="21" customHeight="1">
      <c r="A43" s="1284" t="s">
        <v>186</v>
      </c>
      <c r="B43" s="1284"/>
      <c r="C43" s="1284"/>
      <c r="D43" s="1284"/>
      <c r="E43" s="3908">
        <v>1</v>
      </c>
      <c r="F43" s="1284"/>
      <c r="G43" s="1284"/>
      <c r="H43" s="1284"/>
      <c r="I43" s="1284"/>
      <c r="J43" s="1284"/>
      <c r="K43" s="1284"/>
      <c r="L43" s="1285"/>
      <c r="M43" s="1286"/>
      <c r="N43" s="1286"/>
      <c r="O43" s="1286"/>
      <c r="P43" s="282"/>
      <c r="Q43" s="281"/>
      <c r="R43" s="276"/>
      <c r="S43" s="1258">
        <f>INDEX(PT_DIFFERENTIATION_NUM_NTAR,MATCH(A43,PT_DIFFERENTIATION_NTAR_ID,0))</f>
        <v>0</v>
      </c>
      <c r="T43" s="212" t="s">
        <v>141</v>
      </c>
      <c r="U43" s="214"/>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186</v>
      </c>
      <c r="B44" s="1284" t="s">
        <v>187</v>
      </c>
      <c r="C44" s="1284"/>
      <c r="D44" s="1284"/>
      <c r="E44" s="3909"/>
      <c r="F44" s="3908">
        <v>1</v>
      </c>
      <c r="G44" s="1284"/>
      <c r="H44" s="1284"/>
      <c r="I44" s="1284"/>
      <c r="J44" s="1284"/>
      <c r="K44" s="1284"/>
      <c r="L44" s="1285"/>
      <c r="M44" s="1286"/>
      <c r="N44" s="1286"/>
      <c r="O44" s="1286"/>
      <c r="P44" s="1254"/>
      <c r="Q44" s="273"/>
      <c r="R44" s="274"/>
      <c r="S44" s="1258" t="str">
        <f>INDEX(PT_DIFFERENTIATION_NUM_TER,MATCH(B44,PT_DIFFERENTIATION_TER_ID,0))</f>
        <v>.</v>
      </c>
      <c r="T44" s="224" t="s">
        <v>428</v>
      </c>
      <c r="U44" s="214"/>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182" t="s">
        <v>429</v>
      </c>
      <c r="AO44" s="424"/>
      <c r="AP44" s="424" t="str">
        <f t="shared" si="1"/>
        <v>Территория действия тарифа</v>
      </c>
      <c r="AQ44" s="424"/>
      <c r="AR44" s="424"/>
    </row>
    <row r="45" spans="1:44" ht="23.25" customHeight="1">
      <c r="A45" s="1284" t="s">
        <v>186</v>
      </c>
      <c r="B45" s="1284" t="s">
        <v>187</v>
      </c>
      <c r="C45" s="1284" t="s">
        <v>188</v>
      </c>
      <c r="D45" s="1284"/>
      <c r="E45" s="3909"/>
      <c r="F45" s="3909"/>
      <c r="G45" s="3908">
        <v>1</v>
      </c>
      <c r="H45" s="1284"/>
      <c r="I45" s="1284"/>
      <c r="J45" s="1284"/>
      <c r="K45" s="1284"/>
      <c r="L45" s="1285"/>
      <c r="M45" s="1286"/>
      <c r="N45" s="1286"/>
      <c r="O45" s="1286"/>
      <c r="P45" s="275"/>
      <c r="Q45" s="273"/>
      <c r="R45" s="274"/>
      <c r="S45" s="1258" t="str">
        <f>INDEX(PT_DIFFERENTIATION_NUM_CS,MATCH(C45,PT_DIFFERENTIATION_CS_ID,0))</f>
        <v>..</v>
      </c>
      <c r="T45" s="225" t="s">
        <v>430</v>
      </c>
      <c r="U45" s="214"/>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182" t="s">
        <v>431</v>
      </c>
      <c r="AO45" s="424"/>
      <c r="AP45" s="424" t="str">
        <f t="shared" si="1"/>
        <v xml:space="preserve">Наименование системы теплоснабжения </v>
      </c>
      <c r="AQ45" s="424"/>
      <c r="AR45" s="424"/>
    </row>
    <row r="46" spans="1:44" ht="21" customHeight="1">
      <c r="A46" s="1284" t="s">
        <v>186</v>
      </c>
      <c r="B46" s="1284" t="s">
        <v>187</v>
      </c>
      <c r="C46" s="1284" t="s">
        <v>188</v>
      </c>
      <c r="D46" s="1284" t="s">
        <v>189</v>
      </c>
      <c r="E46" s="3909"/>
      <c r="F46" s="3909"/>
      <c r="G46" s="3909"/>
      <c r="H46" s="3908">
        <v>1</v>
      </c>
      <c r="I46" s="1284"/>
      <c r="J46" s="1284"/>
      <c r="K46" s="1284"/>
      <c r="L46" s="1285"/>
      <c r="M46" s="1286"/>
      <c r="N46" s="1286"/>
      <c r="O46" s="1286"/>
      <c r="P46" s="275"/>
      <c r="Q46" s="273"/>
      <c r="R46" s="274"/>
      <c r="S46" s="1258" t="str">
        <f>INDEX(PT_DIFFERENTIATION_NUM_IST_TE,MATCH(D46,PT_DIFFERENTIATION_IST_TE_ID,0))</f>
        <v>...</v>
      </c>
      <c r="T46" s="226" t="s">
        <v>432</v>
      </c>
      <c r="U46" s="214"/>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182" t="s">
        <v>433</v>
      </c>
      <c r="AO46" s="424"/>
      <c r="AP46" s="424" t="str">
        <f t="shared" si="1"/>
        <v xml:space="preserve">Источник тепловой энергии  </v>
      </c>
      <c r="AQ46" s="424"/>
      <c r="AR46" s="424"/>
    </row>
    <row r="47" spans="1:44" s="1562" customFormat="1" ht="0" hidden="1" customHeight="1">
      <c r="A47" s="1265" t="s">
        <v>186</v>
      </c>
      <c r="B47" s="1265" t="s">
        <v>187</v>
      </c>
      <c r="C47" s="1265" t="s">
        <v>188</v>
      </c>
      <c r="D47" s="1265" t="s">
        <v>189</v>
      </c>
      <c r="E47" s="3909"/>
      <c r="F47" s="3909"/>
      <c r="G47" s="3909"/>
      <c r="H47" s="3909"/>
      <c r="I47" s="3906" t="str">
        <f>S46&amp;".1"</f>
        <v>....1</v>
      </c>
      <c r="J47" s="1265"/>
      <c r="K47" s="1265"/>
      <c r="L47" s="1268" t="s">
        <v>434</v>
      </c>
      <c r="M47" s="434"/>
      <c r="N47" s="434"/>
      <c r="O47" s="434"/>
      <c r="P47" s="3907">
        <v>1</v>
      </c>
      <c r="Q47" s="1253"/>
      <c r="R47" s="277"/>
      <c r="S47" s="953"/>
      <c r="T47" s="1304"/>
      <c r="U47" s="1305"/>
      <c r="V47" s="3935"/>
      <c r="W47" s="3936"/>
      <c r="X47" s="3936"/>
      <c r="Y47" s="3936"/>
      <c r="Z47" s="3936"/>
      <c r="AA47" s="3936"/>
      <c r="AB47" s="3936"/>
      <c r="AC47" s="3937"/>
      <c r="AD47" s="3935"/>
      <c r="AE47" s="3936"/>
      <c r="AF47" s="3936"/>
      <c r="AG47" s="3936"/>
      <c r="AH47" s="3936"/>
      <c r="AI47" s="3936"/>
      <c r="AJ47" s="3936"/>
      <c r="AK47" s="3936"/>
      <c r="AL47" s="3937"/>
      <c r="AM47" s="1306"/>
      <c r="AO47" s="424"/>
      <c r="AP47" s="424" t="str">
        <f t="shared" si="1"/>
        <v/>
      </c>
      <c r="AQ47" s="424"/>
      <c r="AR47" s="424"/>
    </row>
    <row r="48" spans="1:44" ht="21" customHeight="1">
      <c r="A48" s="1284" t="s">
        <v>186</v>
      </c>
      <c r="B48" s="1284" t="s">
        <v>187</v>
      </c>
      <c r="C48" s="1284" t="s">
        <v>188</v>
      </c>
      <c r="D48" s="1284" t="s">
        <v>189</v>
      </c>
      <c r="E48" s="3909"/>
      <c r="F48" s="3909"/>
      <c r="G48" s="3909"/>
      <c r="H48" s="3909"/>
      <c r="I48" s="3929"/>
      <c r="J48" s="3906" t="str">
        <f>S46&amp;".1"</f>
        <v>....1</v>
      </c>
      <c r="K48" s="1284"/>
      <c r="L48" s="1285" t="s">
        <v>437</v>
      </c>
      <c r="P48" s="3907"/>
      <c r="Q48" s="3907">
        <v>1</v>
      </c>
      <c r="R48" s="278"/>
      <c r="S48" s="1258" t="str">
        <f>$J48</f>
        <v>....1</v>
      </c>
      <c r="T48" s="201" t="s">
        <v>438</v>
      </c>
      <c r="U48" s="214"/>
      <c r="V48" s="3897"/>
      <c r="W48" s="3898"/>
      <c r="X48" s="3898"/>
      <c r="Y48" s="3898"/>
      <c r="Z48" s="3898"/>
      <c r="AA48" s="3898"/>
      <c r="AB48" s="3898"/>
      <c r="AC48" s="3899"/>
      <c r="AD48" s="3897"/>
      <c r="AE48" s="3898"/>
      <c r="AF48" s="3898"/>
      <c r="AG48" s="3898"/>
      <c r="AH48" s="3898"/>
      <c r="AI48" s="3898"/>
      <c r="AJ48" s="3898"/>
      <c r="AK48" s="3898"/>
      <c r="AL48" s="3899"/>
      <c r="AM48" s="1182" t="s">
        <v>439</v>
      </c>
      <c r="AO48" s="424"/>
      <c r="AP48" s="424" t="str">
        <f t="shared" si="1"/>
        <v>Группа потребителей</v>
      </c>
      <c r="AQ48" s="424"/>
      <c r="AR48" s="424"/>
    </row>
    <row r="49" spans="1:44" ht="21" customHeight="1">
      <c r="A49" s="1284" t="s">
        <v>186</v>
      </c>
      <c r="B49" s="1284" t="s">
        <v>187</v>
      </c>
      <c r="C49" s="1284" t="s">
        <v>188</v>
      </c>
      <c r="D49" s="1284" t="s">
        <v>189</v>
      </c>
      <c r="E49" s="3909"/>
      <c r="F49" s="3909"/>
      <c r="G49" s="3909"/>
      <c r="H49" s="3909"/>
      <c r="I49" s="3929"/>
      <c r="J49" s="3929"/>
      <c r="K49" s="3906" t="str">
        <f>J48&amp;".1"</f>
        <v>....1.1</v>
      </c>
      <c r="L49" s="1285" t="s">
        <v>440</v>
      </c>
      <c r="P49" s="3907"/>
      <c r="Q49" s="3907"/>
      <c r="R49" s="278">
        <v>1</v>
      </c>
      <c r="S49" s="1258" t="str">
        <f>$K49</f>
        <v>....1.1</v>
      </c>
      <c r="T49" s="1269"/>
      <c r="U49" s="214"/>
      <c r="V49" s="666"/>
      <c r="W49" s="246"/>
      <c r="X49" s="666"/>
      <c r="Y49" s="1181"/>
      <c r="Z49" s="3911"/>
      <c r="AA49" s="3759" t="s">
        <v>60</v>
      </c>
      <c r="AB49" s="3911"/>
      <c r="AC49" s="3759" t="s">
        <v>60</v>
      </c>
      <c r="AD49" s="666"/>
      <c r="AE49" s="246"/>
      <c r="AF49" s="666"/>
      <c r="AG49" s="1181"/>
      <c r="AH49" s="3911"/>
      <c r="AI49" s="3759" t="s">
        <v>60</v>
      </c>
      <c r="AJ49" s="3930"/>
      <c r="AK49" s="3759" t="s">
        <v>60</v>
      </c>
      <c r="AL49" s="1270"/>
      <c r="AM49" s="3903" t="s">
        <v>478</v>
      </c>
      <c r="AN49" s="435" t="e">
        <f ca="1">STRCHECKDATE(V50:AL50)</f>
        <v>#NAME?</v>
      </c>
      <c r="AO49" s="424"/>
      <c r="AP49" s="424" t="str">
        <f t="shared" si="1"/>
        <v/>
      </c>
      <c r="AQ49" s="424"/>
      <c r="AR49" s="424"/>
    </row>
    <row r="50" spans="1:44" ht="0.75" customHeight="1">
      <c r="A50" s="1284" t="s">
        <v>186</v>
      </c>
      <c r="B50" s="1284" t="s">
        <v>187</v>
      </c>
      <c r="C50" s="1284" t="s">
        <v>188</v>
      </c>
      <c r="D50" s="1284" t="s">
        <v>189</v>
      </c>
      <c r="E50" s="3909"/>
      <c r="F50" s="3909"/>
      <c r="G50" s="3909"/>
      <c r="H50" s="3909"/>
      <c r="I50" s="3929"/>
      <c r="J50" s="3929"/>
      <c r="K50" s="3906"/>
      <c r="L50" s="1285"/>
      <c r="P50" s="3907"/>
      <c r="Q50" s="3907"/>
      <c r="R50" s="278"/>
      <c r="S50" s="1264"/>
      <c r="T50" s="214"/>
      <c r="U50" s="214"/>
      <c r="V50" s="246"/>
      <c r="W50" s="246"/>
      <c r="X50" s="246"/>
      <c r="Y50" s="250" t="str">
        <f>Z49&amp;"-"&amp;AB49</f>
        <v>-</v>
      </c>
      <c r="Z50" s="3912"/>
      <c r="AA50" s="3759"/>
      <c r="AB50" s="3912"/>
      <c r="AC50" s="3759"/>
      <c r="AD50" s="246"/>
      <c r="AE50" s="246"/>
      <c r="AF50" s="246"/>
      <c r="AG50" s="250" t="str">
        <f>AH49&amp;"-"&amp;AJ49</f>
        <v>-</v>
      </c>
      <c r="AH50" s="3912"/>
      <c r="AI50" s="3759"/>
      <c r="AJ50" s="3931"/>
      <c r="AK50" s="3759"/>
      <c r="AL50" s="1271"/>
      <c r="AM50" s="3904"/>
      <c r="AO50" s="424"/>
      <c r="AP50" s="424" t="str">
        <f t="shared" si="1"/>
        <v/>
      </c>
      <c r="AQ50" s="424"/>
      <c r="AR50" s="424"/>
    </row>
    <row r="51" spans="1:44" ht="11.25" customHeight="1">
      <c r="A51" s="1284" t="s">
        <v>186</v>
      </c>
      <c r="B51" s="1284" t="s">
        <v>187</v>
      </c>
      <c r="C51" s="1284" t="s">
        <v>188</v>
      </c>
      <c r="D51" s="1284" t="s">
        <v>189</v>
      </c>
      <c r="E51" s="3909"/>
      <c r="F51" s="3909"/>
      <c r="G51" s="3909"/>
      <c r="H51" s="3909"/>
      <c r="I51" s="3929"/>
      <c r="J51" s="3906"/>
      <c r="K51" s="1284"/>
      <c r="L51" s="1285"/>
      <c r="P51" s="3907"/>
      <c r="Q51" s="3907"/>
      <c r="R51" s="277"/>
      <c r="S51" s="1203"/>
      <c r="T51" s="202" t="s">
        <v>442</v>
      </c>
      <c r="U51" s="291"/>
      <c r="V51" s="291"/>
      <c r="W51" s="291"/>
      <c r="X51" s="291"/>
      <c r="Y51" s="291"/>
      <c r="Z51" s="291"/>
      <c r="AA51" s="291"/>
      <c r="AB51" s="291"/>
      <c r="AC51" s="291"/>
      <c r="AD51" s="291"/>
      <c r="AE51" s="291"/>
      <c r="AF51" s="291"/>
      <c r="AG51" s="291"/>
      <c r="AH51" s="291"/>
      <c r="AI51" s="291"/>
      <c r="AJ51" s="291"/>
      <c r="AK51" s="291"/>
      <c r="AL51" s="245"/>
      <c r="AM51" s="3905"/>
      <c r="AO51" s="424"/>
      <c r="AP51" s="424" t="str">
        <f t="shared" si="1"/>
        <v>Добавить вид теплоносителя (параметры теплоносителя)</v>
      </c>
      <c r="AQ51" s="424"/>
      <c r="AR51" s="424"/>
    </row>
    <row r="52" spans="1:44" ht="11.25" customHeight="1">
      <c r="A52" s="1284" t="s">
        <v>186</v>
      </c>
      <c r="B52" s="1284" t="s">
        <v>187</v>
      </c>
      <c r="C52" s="1284" t="s">
        <v>188</v>
      </c>
      <c r="D52" s="1284" t="s">
        <v>189</v>
      </c>
      <c r="E52" s="3909"/>
      <c r="F52" s="3909"/>
      <c r="G52" s="3909"/>
      <c r="H52" s="3909"/>
      <c r="I52" s="3906"/>
      <c r="J52" s="1284"/>
      <c r="K52" s="1284"/>
      <c r="L52" s="1285"/>
      <c r="P52" s="3907"/>
      <c r="Q52" s="1253"/>
      <c r="R52" s="277"/>
      <c r="S52" s="1203"/>
      <c r="T52" s="288" t="s">
        <v>443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186</v>
      </c>
      <c r="B53" s="1284" t="s">
        <v>187</v>
      </c>
      <c r="C53" s="1284" t="s">
        <v>188</v>
      </c>
      <c r="D53" s="1284" t="s">
        <v>189</v>
      </c>
      <c r="E53" s="3909"/>
      <c r="F53" s="3909"/>
      <c r="G53" s="3909"/>
      <c r="H53" s="3908"/>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186</v>
      </c>
      <c r="B54" s="1265" t="s">
        <v>187</v>
      </c>
      <c r="C54" s="1265" t="s">
        <v>188</v>
      </c>
      <c r="D54" s="1237"/>
      <c r="E54" s="3909"/>
      <c r="F54" s="3909"/>
      <c r="G54" s="3908"/>
      <c r="H54" s="1237"/>
      <c r="I54" s="1237"/>
      <c r="J54" s="1237"/>
      <c r="K54" s="1237"/>
      <c r="L54" s="1261"/>
      <c r="M54" s="1238"/>
      <c r="N54" s="1238"/>
      <c r="P54" s="1239"/>
      <c r="Q54" s="1240"/>
      <c r="R54" s="1239"/>
      <c r="S54" s="1245"/>
      <c r="T54" s="1248" t="s">
        <v>445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186</v>
      </c>
      <c r="B55" s="1265" t="s">
        <v>187</v>
      </c>
      <c r="C55" s="1237"/>
      <c r="D55" s="1237"/>
      <c r="E55" s="3909"/>
      <c r="F55" s="3908"/>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186</v>
      </c>
      <c r="B56" s="1265"/>
      <c r="C56" s="1265"/>
      <c r="D56" s="1265"/>
      <c r="E56" s="3908"/>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262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3928"/>
      <c r="U59" s="3928"/>
      <c r="V59" s="3928"/>
      <c r="W59" s="3928"/>
      <c r="X59" s="3928"/>
      <c r="Y59" s="3928"/>
      <c r="Z59" s="3928"/>
      <c r="AA59" s="3928"/>
      <c r="AB59" s="3928"/>
      <c r="AC59" s="3928"/>
      <c r="AD59" s="3928"/>
      <c r="AE59" s="3928"/>
      <c r="AF59" s="3928"/>
      <c r="AG59" s="3928"/>
      <c r="AH59" s="3928"/>
      <c r="AI59" s="3928"/>
      <c r="AJ59" s="3928"/>
      <c r="AK59" s="3928"/>
      <c r="AL59" s="3928"/>
      <c r="AM59" s="3928"/>
    </row>
    <row r="60" spans="1:44" ht="27.75" customHeight="1">
      <c r="O60" s="460"/>
      <c r="T60" s="3928"/>
      <c r="U60" s="3928"/>
      <c r="V60" s="3928"/>
      <c r="W60" s="3928"/>
      <c r="X60" s="3928"/>
      <c r="Y60" s="3928"/>
      <c r="Z60" s="3928"/>
      <c r="AA60" s="3928"/>
      <c r="AB60" s="3928"/>
      <c r="AC60" s="3928"/>
      <c r="AD60" s="3928"/>
      <c r="AE60" s="3928"/>
      <c r="AF60" s="3928"/>
      <c r="AG60" s="3928"/>
      <c r="AH60" s="3928"/>
      <c r="AI60" s="3928"/>
      <c r="AJ60" s="3928"/>
      <c r="AK60" s="3928"/>
      <c r="AL60" s="3928"/>
      <c r="AM60" s="3928"/>
    </row>
    <row r="61" spans="1:44" ht="39.75" customHeight="1">
      <c r="O61" s="460"/>
      <c r="T61" s="3928"/>
      <c r="U61" s="3928"/>
      <c r="V61" s="3928"/>
      <c r="W61" s="3928"/>
      <c r="X61" s="3928"/>
      <c r="Y61" s="3928"/>
      <c r="Z61" s="3928"/>
      <c r="AA61" s="3928"/>
      <c r="AB61" s="3928"/>
      <c r="AC61" s="3928"/>
      <c r="AD61" s="3928"/>
      <c r="AE61" s="3928"/>
      <c r="AF61" s="3928"/>
      <c r="AG61" s="3928"/>
      <c r="AH61" s="3928"/>
      <c r="AI61" s="3928"/>
      <c r="AJ61" s="3928"/>
      <c r="AK61" s="3928"/>
      <c r="AL61" s="3928"/>
      <c r="AM61" s="3928"/>
    </row>
    <row r="62" spans="1:44" ht="14.25" customHeight="1">
      <c r="O62" s="460"/>
    </row>
    <row r="63" spans="1:44" ht="19.5" customHeight="1">
      <c r="O63" s="460"/>
      <c r="S63" s="1169"/>
      <c r="T63" s="3828"/>
      <c r="U63" s="3928"/>
      <c r="V63" s="3928"/>
      <c r="W63" s="3928"/>
      <c r="X63" s="3928"/>
      <c r="Y63" s="3928"/>
      <c r="Z63" s="3928"/>
      <c r="AA63" s="3928"/>
      <c r="AB63" s="3928"/>
      <c r="AC63" s="3928"/>
      <c r="AD63" s="3928"/>
      <c r="AE63" s="3928"/>
      <c r="AF63" s="3928"/>
      <c r="AG63" s="3928"/>
      <c r="AH63" s="3928"/>
      <c r="AI63" s="3928"/>
      <c r="AJ63" s="3928"/>
      <c r="AK63" s="3928"/>
      <c r="AL63" s="3928"/>
      <c r="AM63" s="3928"/>
    </row>
    <row r="64" spans="1:44" ht="27.75" customHeight="1">
      <c r="O64" s="460"/>
      <c r="T64" s="3928"/>
      <c r="U64" s="3928"/>
      <c r="V64" s="3928"/>
      <c r="W64" s="3928"/>
      <c r="X64" s="3928"/>
      <c r="Y64" s="3928"/>
      <c r="Z64" s="3928"/>
      <c r="AA64" s="3928"/>
      <c r="AB64" s="3928"/>
      <c r="AC64" s="3928"/>
      <c r="AD64" s="3928"/>
      <c r="AE64" s="3928"/>
      <c r="AF64" s="3928"/>
      <c r="AG64" s="3928"/>
      <c r="AH64" s="3928"/>
      <c r="AI64" s="3928"/>
      <c r="AJ64" s="3928"/>
      <c r="AK64" s="3928"/>
      <c r="AL64" s="3928"/>
      <c r="AM64" s="3928"/>
    </row>
    <row r="65" spans="20:39" ht="33.75" customHeight="1">
      <c r="T65" s="3928"/>
      <c r="U65" s="3928"/>
      <c r="V65" s="3928"/>
      <c r="W65" s="3928"/>
      <c r="X65" s="3928"/>
      <c r="Y65" s="3928"/>
      <c r="Z65" s="3928"/>
      <c r="AA65" s="3928"/>
      <c r="AB65" s="3928"/>
      <c r="AC65" s="3928"/>
      <c r="AD65" s="3928"/>
      <c r="AE65" s="3928"/>
      <c r="AF65" s="3928"/>
      <c r="AG65" s="3928"/>
      <c r="AH65" s="3928"/>
      <c r="AI65" s="3928"/>
      <c r="AJ65" s="3928"/>
      <c r="AK65" s="3928"/>
      <c r="AL65" s="3928"/>
      <c r="AM65" s="39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3908">
        <v>1</v>
      </c>
      <c r="F2" s="1284"/>
      <c r="G2" s="1284"/>
      <c r="H2" s="1284"/>
      <c r="I2" s="1284"/>
      <c r="J2" s="1284"/>
      <c r="K2" s="1284"/>
      <c r="L2" s="1285"/>
      <c r="M2" s="1286"/>
      <c r="N2" s="1286"/>
      <c r="O2" s="1286"/>
      <c r="P2" s="282"/>
      <c r="Q2" s="281"/>
      <c r="R2" s="276"/>
      <c r="S2" s="1258" t="e">
        <f>INDEX(PT_DIFFERENTIATION_NUM_NTAR,MATCH(A2,PT_DIFFERENTIATION_NTAR_ID,0))</f>
        <v>#N/A</v>
      </c>
      <c r="T2" s="212" t="s">
        <v>141</v>
      </c>
      <c r="U2" s="214"/>
      <c r="V2" s="3894"/>
      <c r="W2" s="3895"/>
      <c r="X2" s="3895"/>
      <c r="Y2" s="3895"/>
      <c r="Z2" s="3895"/>
      <c r="AA2" s="3895"/>
      <c r="AB2" s="3895"/>
      <c r="AC2" s="3896"/>
      <c r="AD2" s="3894" t="e">
        <f>INDEX(PT_DIFFERENTIATION_NTAR,MATCH(A2,PT_DIFFERENTIATION_NTAR_ID,0))</f>
        <v>#N/A</v>
      </c>
      <c r="AE2" s="3895"/>
      <c r="AF2" s="3895"/>
      <c r="AG2" s="3895"/>
      <c r="AH2" s="3895"/>
      <c r="AI2" s="3895"/>
      <c r="AJ2" s="3895"/>
      <c r="AK2" s="3895"/>
      <c r="AL2" s="3896"/>
      <c r="AM2" s="1182" t="s">
        <v>427</v>
      </c>
      <c r="AO2" s="424"/>
      <c r="AP2" s="424" t="str">
        <f t="shared" ref="AP2:AP15" si="0">IF(T2="","",T2)</f>
        <v>Наименование тарифа</v>
      </c>
      <c r="AQ2" s="424"/>
      <c r="AR2" s="424"/>
    </row>
    <row r="3" spans="1:44" ht="21" hidden="1" customHeight="1">
      <c r="A3" s="1284"/>
      <c r="B3" s="1284"/>
      <c r="C3" s="1284"/>
      <c r="D3" s="1284"/>
      <c r="E3" s="3909"/>
      <c r="F3" s="3908">
        <v>1</v>
      </c>
      <c r="G3" s="1284"/>
      <c r="H3" s="1284"/>
      <c r="I3" s="1284"/>
      <c r="J3" s="1284"/>
      <c r="K3" s="1284"/>
      <c r="L3" s="1285"/>
      <c r="M3" s="1286"/>
      <c r="N3" s="1286"/>
      <c r="O3" s="1286"/>
      <c r="P3" s="1254"/>
      <c r="Q3" s="273"/>
      <c r="R3" s="274"/>
      <c r="S3" s="1258" t="e">
        <f>INDEX(PT_DIFFERENTIATION_NUM_TER,MATCH(B3,PT_DIFFERENTIATION_TER_ID,0))</f>
        <v>#N/A</v>
      </c>
      <c r="T3" s="224" t="s">
        <v>428</v>
      </c>
      <c r="U3" s="214"/>
      <c r="V3" s="3894"/>
      <c r="W3" s="3895"/>
      <c r="X3" s="3895"/>
      <c r="Y3" s="3895"/>
      <c r="Z3" s="3895"/>
      <c r="AA3" s="3895"/>
      <c r="AB3" s="3895"/>
      <c r="AC3" s="3896"/>
      <c r="AD3" s="3894" t="e">
        <f>INDEX(PT_DIFFERENTIATION_TER,MATCH(B3,PT_DIFFERENTIATION_TER_ID,0))</f>
        <v>#N/A</v>
      </c>
      <c r="AE3" s="3895"/>
      <c r="AF3" s="3895"/>
      <c r="AG3" s="3895"/>
      <c r="AH3" s="3895"/>
      <c r="AI3" s="3895"/>
      <c r="AJ3" s="3895"/>
      <c r="AK3" s="3895"/>
      <c r="AL3" s="3896"/>
      <c r="AM3" s="1182" t="s">
        <v>429</v>
      </c>
      <c r="AO3" s="424"/>
      <c r="AP3" s="424" t="str">
        <f t="shared" si="0"/>
        <v>Территория действия тарифа</v>
      </c>
      <c r="AQ3" s="424"/>
      <c r="AR3" s="424"/>
    </row>
    <row r="4" spans="1:44" ht="23.25" hidden="1" customHeight="1">
      <c r="A4" s="1284"/>
      <c r="B4" s="1284"/>
      <c r="C4" s="1284"/>
      <c r="D4" s="1284"/>
      <c r="E4" s="3909"/>
      <c r="F4" s="3909"/>
      <c r="G4" s="3908">
        <v>1</v>
      </c>
      <c r="H4" s="1284"/>
      <c r="I4" s="1284"/>
      <c r="J4" s="1284"/>
      <c r="K4" s="1284"/>
      <c r="L4" s="1285"/>
      <c r="M4" s="1286"/>
      <c r="N4" s="1286"/>
      <c r="O4" s="1286"/>
      <c r="P4" s="275"/>
      <c r="Q4" s="273"/>
      <c r="R4" s="274"/>
      <c r="S4" s="1258" t="e">
        <f>INDEX(PT_DIFFERENTIATION_NUM_CS,MATCH(C4,PT_DIFFERENTIATION_CS_ID,0))</f>
        <v>#N/A</v>
      </c>
      <c r="T4" s="225" t="s">
        <v>430</v>
      </c>
      <c r="U4" s="214"/>
      <c r="V4" s="3894"/>
      <c r="W4" s="3895"/>
      <c r="X4" s="3895"/>
      <c r="Y4" s="3895"/>
      <c r="Z4" s="3895"/>
      <c r="AA4" s="3895"/>
      <c r="AB4" s="3895"/>
      <c r="AC4" s="3896"/>
      <c r="AD4" s="3894" t="e">
        <f>INDEX(PT_DIFFERENTIATION_CS,MATCH(C4,PT_DIFFERENTIATION_CS_ID,0))</f>
        <v>#N/A</v>
      </c>
      <c r="AE4" s="3895"/>
      <c r="AF4" s="3895"/>
      <c r="AG4" s="3895"/>
      <c r="AH4" s="3895"/>
      <c r="AI4" s="3895"/>
      <c r="AJ4" s="3895"/>
      <c r="AK4" s="3895"/>
      <c r="AL4" s="3896"/>
      <c r="AM4" s="1182" t="s">
        <v>431</v>
      </c>
      <c r="AO4" s="424"/>
      <c r="AP4" s="424" t="str">
        <f t="shared" si="0"/>
        <v xml:space="preserve">Наименование системы теплоснабжения </v>
      </c>
      <c r="AQ4" s="424"/>
      <c r="AR4" s="424"/>
    </row>
    <row r="5" spans="1:44" ht="21" hidden="1" customHeight="1">
      <c r="A5" s="1284"/>
      <c r="B5" s="1284"/>
      <c r="C5" s="1284"/>
      <c r="D5" s="1284"/>
      <c r="E5" s="3909"/>
      <c r="F5" s="3909"/>
      <c r="G5" s="3909"/>
      <c r="H5" s="3908">
        <v>1</v>
      </c>
      <c r="I5" s="1284"/>
      <c r="J5" s="1284"/>
      <c r="K5" s="1284"/>
      <c r="L5" s="1285"/>
      <c r="M5" s="1286"/>
      <c r="N5" s="1286"/>
      <c r="O5" s="1286"/>
      <c r="P5" s="275"/>
      <c r="Q5" s="273"/>
      <c r="R5" s="274"/>
      <c r="S5" s="1258" t="e">
        <f>INDEX(PT_DIFFERENTIATION_NUM_IST_TE,MATCH(D5,PT_DIFFERENTIATION_IST_TE_ID,0))</f>
        <v>#N/A</v>
      </c>
      <c r="T5" s="226" t="s">
        <v>432</v>
      </c>
      <c r="U5" s="214"/>
      <c r="V5" s="3894"/>
      <c r="W5" s="3895"/>
      <c r="X5" s="3895"/>
      <c r="Y5" s="3895"/>
      <c r="Z5" s="3895"/>
      <c r="AA5" s="3895"/>
      <c r="AB5" s="3895"/>
      <c r="AC5" s="3896"/>
      <c r="AD5" s="3894" t="e">
        <f>INDEX(PT_DIFFERENTIATION_IST_TE,MATCH(D5,PT_DIFFERENTIATION_IST_TE_ID,0))</f>
        <v>#N/A</v>
      </c>
      <c r="AE5" s="3895"/>
      <c r="AF5" s="3895"/>
      <c r="AG5" s="3895"/>
      <c r="AH5" s="3895"/>
      <c r="AI5" s="3895"/>
      <c r="AJ5" s="3895"/>
      <c r="AK5" s="3895"/>
      <c r="AL5" s="3896"/>
      <c r="AM5" s="1182" t="s">
        <v>433</v>
      </c>
      <c r="AO5" s="424"/>
      <c r="AP5" s="424" t="str">
        <f t="shared" si="0"/>
        <v xml:space="preserve">Источник тепловой энергии  </v>
      </c>
      <c r="AQ5" s="424"/>
      <c r="AR5" s="424"/>
    </row>
    <row r="6" spans="1:44" ht="14.25" hidden="1" customHeight="1">
      <c r="A6" s="1284"/>
      <c r="B6" s="1284"/>
      <c r="C6" s="1284"/>
      <c r="D6" s="1284"/>
      <c r="E6" s="3909"/>
      <c r="F6" s="3909"/>
      <c r="G6" s="3909"/>
      <c r="H6" s="3909"/>
      <c r="I6" s="3906" t="e">
        <f>S5&amp;".1"</f>
        <v>#N/A</v>
      </c>
      <c r="J6" s="1284"/>
      <c r="K6" s="1284"/>
      <c r="L6" s="1285" t="s">
        <v>434</v>
      </c>
      <c r="M6" s="460"/>
      <c r="P6" s="3907">
        <v>1</v>
      </c>
      <c r="Q6" s="1253"/>
      <c r="R6" s="277"/>
      <c r="S6" s="953"/>
      <c r="T6" s="1304"/>
      <c r="U6" s="1305"/>
      <c r="V6" s="3935"/>
      <c r="W6" s="3936"/>
      <c r="X6" s="3936"/>
      <c r="Y6" s="3936"/>
      <c r="Z6" s="3936"/>
      <c r="AA6" s="3936"/>
      <c r="AB6" s="3936"/>
      <c r="AC6" s="3937"/>
      <c r="AD6" s="3935"/>
      <c r="AE6" s="3936"/>
      <c r="AF6" s="3936"/>
      <c r="AG6" s="3936"/>
      <c r="AH6" s="3936"/>
      <c r="AI6" s="3936"/>
      <c r="AJ6" s="3936"/>
      <c r="AK6" s="3936"/>
      <c r="AL6" s="3937"/>
      <c r="AM6" s="1306"/>
      <c r="AO6" s="424"/>
      <c r="AP6" s="424" t="str">
        <f t="shared" si="0"/>
        <v/>
      </c>
      <c r="AQ6" s="424"/>
      <c r="AR6" s="424"/>
    </row>
    <row r="7" spans="1:44" ht="21" hidden="1" customHeight="1">
      <c r="A7" s="1284"/>
      <c r="B7" s="1284"/>
      <c r="C7" s="1284"/>
      <c r="D7" s="1284"/>
      <c r="E7" s="3909"/>
      <c r="F7" s="3909"/>
      <c r="G7" s="3909"/>
      <c r="H7" s="3909"/>
      <c r="I7" s="3929"/>
      <c r="J7" s="3906" t="e">
        <f>I6&amp;".1"</f>
        <v>#N/A</v>
      </c>
      <c r="K7" s="1284"/>
      <c r="L7" s="1285" t="s">
        <v>437</v>
      </c>
      <c r="M7" s="460"/>
      <c r="N7" s="1287"/>
      <c r="P7" s="3907"/>
      <c r="Q7" s="3907">
        <v>1</v>
      </c>
      <c r="R7" s="278"/>
      <c r="S7" s="1258" t="e">
        <f>$J7</f>
        <v>#N/A</v>
      </c>
      <c r="T7" s="201" t="s">
        <v>438</v>
      </c>
      <c r="U7" s="214"/>
      <c r="V7" s="3897"/>
      <c r="W7" s="3898"/>
      <c r="X7" s="3898"/>
      <c r="Y7" s="3898"/>
      <c r="Z7" s="3898"/>
      <c r="AA7" s="3898"/>
      <c r="AB7" s="3898"/>
      <c r="AC7" s="3899"/>
      <c r="AD7" s="3897"/>
      <c r="AE7" s="3898"/>
      <c r="AF7" s="3898"/>
      <c r="AG7" s="3898"/>
      <c r="AH7" s="3898"/>
      <c r="AI7" s="3898"/>
      <c r="AJ7" s="3898"/>
      <c r="AK7" s="3898"/>
      <c r="AL7" s="3899"/>
      <c r="AM7" s="1182" t="s">
        <v>439</v>
      </c>
      <c r="AO7" s="424"/>
      <c r="AP7" s="424" t="str">
        <f t="shared" si="0"/>
        <v>Группа потребителей</v>
      </c>
      <c r="AQ7" s="424"/>
      <c r="AR7" s="424"/>
    </row>
    <row r="8" spans="1:44" ht="21" hidden="1" customHeight="1">
      <c r="A8" s="1284"/>
      <c r="B8" s="1284"/>
      <c r="C8" s="1284"/>
      <c r="D8" s="1284"/>
      <c r="E8" s="3909"/>
      <c r="F8" s="3909"/>
      <c r="G8" s="3909"/>
      <c r="H8" s="3909"/>
      <c r="I8" s="3929"/>
      <c r="J8" s="3929"/>
      <c r="K8" s="3906" t="e">
        <f>J7&amp;".1"</f>
        <v>#N/A</v>
      </c>
      <c r="L8" s="1285" t="s">
        <v>440</v>
      </c>
      <c r="M8" s="460"/>
      <c r="N8" s="1287"/>
      <c r="O8" s="1287"/>
      <c r="P8" s="3907"/>
      <c r="Q8" s="3907"/>
      <c r="R8" s="278">
        <v>1</v>
      </c>
      <c r="S8" s="1258" t="e">
        <f>$K8</f>
        <v>#N/A</v>
      </c>
      <c r="T8" s="1269"/>
      <c r="U8" s="214"/>
      <c r="V8" s="666"/>
      <c r="W8" s="246"/>
      <c r="X8" s="666"/>
      <c r="Y8" s="1181"/>
      <c r="Z8" s="3911"/>
      <c r="AA8" s="3759" t="s">
        <v>60</v>
      </c>
      <c r="AB8" s="3911"/>
      <c r="AC8" s="3759" t="s">
        <v>60</v>
      </c>
      <c r="AD8" s="666"/>
      <c r="AE8" s="246"/>
      <c r="AF8" s="666"/>
      <c r="AG8" s="1181"/>
      <c r="AH8" s="3911"/>
      <c r="AI8" s="3759" t="s">
        <v>60</v>
      </c>
      <c r="AJ8" s="3911"/>
      <c r="AK8" s="3759" t="s">
        <v>60</v>
      </c>
      <c r="AL8" s="246"/>
      <c r="AM8" s="3903" t="s">
        <v>441</v>
      </c>
      <c r="AN8" s="435" t="e">
        <f ca="1">STRCHECKDATE(V9:AL9)</f>
        <v>#NAME?</v>
      </c>
      <c r="AO8" s="424"/>
      <c r="AP8" s="424" t="str">
        <f t="shared" si="0"/>
        <v/>
      </c>
      <c r="AQ8" s="424"/>
      <c r="AR8" s="424"/>
    </row>
    <row r="9" spans="1:44" ht="14.25" hidden="1" customHeight="1">
      <c r="A9" s="1284"/>
      <c r="B9" s="1284"/>
      <c r="C9" s="1284"/>
      <c r="D9" s="1284"/>
      <c r="E9" s="3909"/>
      <c r="F9" s="3909"/>
      <c r="G9" s="3909"/>
      <c r="H9" s="3909"/>
      <c r="I9" s="3929"/>
      <c r="J9" s="3929"/>
      <c r="K9" s="3906"/>
      <c r="L9" s="1285"/>
      <c r="M9" s="460"/>
      <c r="N9" s="1287"/>
      <c r="O9" s="1287"/>
      <c r="P9" s="3907"/>
      <c r="Q9" s="3907"/>
      <c r="R9" s="278"/>
      <c r="S9" s="1264"/>
      <c r="T9" s="214"/>
      <c r="U9" s="214"/>
      <c r="V9" s="246"/>
      <c r="W9" s="246"/>
      <c r="X9" s="246"/>
      <c r="Y9" s="250" t="str">
        <f>Z8&amp;"-"&amp;AB8</f>
        <v>-</v>
      </c>
      <c r="Z9" s="3912"/>
      <c r="AA9" s="3759"/>
      <c r="AB9" s="3912"/>
      <c r="AC9" s="3759"/>
      <c r="AD9" s="246"/>
      <c r="AE9" s="246"/>
      <c r="AF9" s="246"/>
      <c r="AG9" s="250" t="str">
        <f>AH8&amp;"-"&amp;AJ8</f>
        <v>-</v>
      </c>
      <c r="AH9" s="3912"/>
      <c r="AI9" s="3759"/>
      <c r="AJ9" s="3912"/>
      <c r="AK9" s="3759"/>
      <c r="AL9" s="246"/>
      <c r="AM9" s="3904"/>
      <c r="AO9" s="424"/>
      <c r="AP9" s="424" t="str">
        <f t="shared" si="0"/>
        <v/>
      </c>
      <c r="AQ9" s="424"/>
      <c r="AR9" s="424"/>
    </row>
    <row r="10" spans="1:44" ht="15" hidden="1" customHeight="1">
      <c r="A10" s="1284"/>
      <c r="B10" s="1284"/>
      <c r="C10" s="1284"/>
      <c r="D10" s="1284"/>
      <c r="E10" s="3909"/>
      <c r="F10" s="3909"/>
      <c r="G10" s="3909"/>
      <c r="H10" s="3909"/>
      <c r="I10" s="3929"/>
      <c r="J10" s="3906"/>
      <c r="K10" s="1284"/>
      <c r="L10" s="1285"/>
      <c r="M10" s="460"/>
      <c r="N10" s="1287"/>
      <c r="P10" s="3907"/>
      <c r="Q10" s="3907"/>
      <c r="R10" s="277"/>
      <c r="S10" s="1203"/>
      <c r="T10" s="202" t="s">
        <v>442</v>
      </c>
      <c r="U10" s="291"/>
      <c r="V10" s="291"/>
      <c r="W10" s="291"/>
      <c r="X10" s="291"/>
      <c r="Y10" s="291"/>
      <c r="Z10" s="291"/>
      <c r="AA10" s="291"/>
      <c r="AB10" s="291"/>
      <c r="AC10" s="291"/>
      <c r="AD10" s="291"/>
      <c r="AE10" s="291"/>
      <c r="AF10" s="291"/>
      <c r="AG10" s="291"/>
      <c r="AH10" s="291"/>
      <c r="AI10" s="291"/>
      <c r="AJ10" s="291"/>
      <c r="AK10" s="291"/>
      <c r="AL10" s="245"/>
      <c r="AM10" s="3905"/>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3909"/>
      <c r="F11" s="3909"/>
      <c r="G11" s="3909"/>
      <c r="H11" s="3909"/>
      <c r="I11" s="3906"/>
      <c r="J11" s="1284"/>
      <c r="K11" s="1284"/>
      <c r="L11" s="1285"/>
      <c r="M11" s="460"/>
      <c r="P11" s="3907"/>
      <c r="Q11" s="1253"/>
      <c r="R11" s="277"/>
      <c r="S11" s="1203"/>
      <c r="T11" s="288" t="s">
        <v>443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909"/>
      <c r="F12" s="3909"/>
      <c r="G12" s="3909"/>
      <c r="H12" s="3908"/>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3909"/>
      <c r="F13" s="3909"/>
      <c r="G13" s="3908"/>
      <c r="H13" s="1237"/>
      <c r="I13" s="1237"/>
      <c r="J13" s="1237"/>
      <c r="K13" s="1237"/>
      <c r="L13" s="1261"/>
      <c r="M13" s="1238"/>
      <c r="N13" s="1238"/>
      <c r="P13" s="1239"/>
      <c r="Q13" s="1240"/>
      <c r="R13" s="1239"/>
      <c r="S13" s="1241"/>
      <c r="T13" s="1242" t="s">
        <v>445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3909"/>
      <c r="F14" s="3908"/>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3908"/>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913"/>
      <c r="AI17" s="3914" t="s">
        <v>60</v>
      </c>
      <c r="AJ17" s="3913"/>
      <c r="AK17" s="3914" t="s">
        <v>60</v>
      </c>
    </row>
    <row r="18" spans="1:44" ht="14.25" hidden="1" customHeight="1">
      <c r="AD18" s="1281"/>
      <c r="AE18" s="1281"/>
      <c r="AF18" s="1281"/>
      <c r="AG18" s="250" t="str">
        <f>AH17&amp;"-"&amp;AJ17</f>
        <v>-</v>
      </c>
      <c r="AH18" s="3914"/>
      <c r="AI18" s="3914"/>
      <c r="AJ18" s="3914"/>
      <c r="AK18" s="3914"/>
    </row>
    <row r="19" spans="1:44" ht="14.25" hidden="1" customHeight="1">
      <c r="AK19" s="249"/>
    </row>
    <row r="20" spans="1:44" s="1287" customFormat="1" ht="22.5" hidden="1" customHeight="1">
      <c r="L20" s="1251"/>
      <c r="M20" s="1283"/>
      <c r="N20" s="1283"/>
      <c r="O20" s="1288" t="s">
        <v>446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447</v>
      </c>
      <c r="P22" s="1283"/>
      <c r="Q22" s="1292"/>
      <c r="R22" s="1292"/>
      <c r="S22" s="646"/>
      <c r="T22" s="1065" t="s">
        <v>448</v>
      </c>
      <c r="AA22" s="104" t="s">
        <v>449</v>
      </c>
      <c r="AC22" s="104" t="s">
        <v>450</v>
      </c>
      <c r="AD22" s="1065" t="s">
        <v>448</v>
      </c>
      <c r="AI22" s="104" t="s">
        <v>451</v>
      </c>
      <c r="AK22" s="104" t="s">
        <v>450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38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52"/>
      <c r="U26" s="3852"/>
      <c r="V26" s="3852"/>
      <c r="W26" s="3852"/>
      <c r="X26" s="3852"/>
      <c r="Y26" s="3852"/>
      <c r="Z26" s="3852"/>
      <c r="AA26" s="3852"/>
      <c r="AB26" s="3852"/>
      <c r="AC26" s="3852"/>
      <c r="AD26" s="3852"/>
      <c r="AE26" s="3852"/>
      <c r="AF26" s="3852"/>
      <c r="AG26" s="3852"/>
      <c r="AH26" s="3852"/>
      <c r="AI26" s="3852"/>
      <c r="AJ26" s="3852"/>
      <c r="AK26" s="1157"/>
    </row>
    <row r="27" spans="1:44" ht="14.25" customHeight="1">
      <c r="Q27" s="300"/>
      <c r="R27" s="300"/>
      <c r="S27" s="3839" t="str">
        <f>IF(org=0,"Не определено",org)</f>
        <v>ГУП СК "Ставрополькрайводоканал"</v>
      </c>
      <c r="T27" s="3839"/>
      <c r="U27" s="3839"/>
      <c r="V27" s="3839"/>
      <c r="W27" s="3839"/>
      <c r="X27" s="3839"/>
      <c r="Y27" s="3839"/>
      <c r="Z27" s="3839"/>
      <c r="AA27" s="3839"/>
      <c r="AB27" s="3839"/>
      <c r="AC27" s="3839"/>
      <c r="AD27" s="3839"/>
      <c r="AE27" s="3839"/>
      <c r="AF27" s="3839"/>
      <c r="AG27" s="3839"/>
      <c r="AH27" s="3839"/>
      <c r="AI27" s="3839"/>
      <c r="AJ27" s="383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900" t="s">
        <v>38</v>
      </c>
      <c r="T29" s="3900"/>
      <c r="U29" s="1293"/>
      <c r="V29" s="3901" t="str">
        <f>IF(TITLE_NAME_OR_PR_CHANGE="",IF(TITLE_NAME_OR_PR="","",TITLE_NAME_OR_PR),TITLE_NAME_OR_PR_CHANGE)</f>
        <v>Региональная тарифная комиссия Ставропольского края</v>
      </c>
      <c r="W29" s="3901"/>
      <c r="X29" s="3901"/>
      <c r="Y29" s="3901"/>
      <c r="Z29" s="3901"/>
      <c r="AA29" s="3901"/>
      <c r="AB29" s="3901"/>
      <c r="AC29" s="248"/>
      <c r="AD29" s="3901" t="str">
        <f>IF(TITLE_NAME_OR_PR_CHANGE="",IF(TITLE_NAME_OR_PR="","",TITLE_NAME_OR_PR),TITLE_NAME_OR_PR_CHANGE)</f>
        <v>Региональная тарифная комиссия Ставропольского края</v>
      </c>
      <c r="AE29" s="3901"/>
      <c r="AF29" s="3901"/>
      <c r="AG29" s="3901"/>
      <c r="AH29" s="3901"/>
      <c r="AI29" s="3901"/>
      <c r="AJ29" s="3901"/>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900" t="s">
        <v>452</v>
      </c>
      <c r="T30" s="3900"/>
      <c r="U30" s="1293"/>
      <c r="V30" s="3910">
        <f>IF(TITLE_DATE_PR_CHANGE="",IF(TITLE_DATE_PR="","",TITLE_DATE_PR),TITLE_DATE_PR_CHANGE)</f>
        <v>45278</v>
      </c>
      <c r="W30" s="3910"/>
      <c r="X30" s="3910"/>
      <c r="Y30" s="3910"/>
      <c r="Z30" s="3910"/>
      <c r="AA30" s="3910"/>
      <c r="AB30" s="3910"/>
      <c r="AC30" s="248"/>
      <c r="AD30" s="3910">
        <f>IF(TITLE_DATE_PR_CHANGE="",IF(TITLE_DATE_PR="","",TITLE_DATE_PR),TITLE_DATE_PR_CHANGE)</f>
        <v>45278</v>
      </c>
      <c r="AE30" s="3910"/>
      <c r="AF30" s="3910"/>
      <c r="AG30" s="3910"/>
      <c r="AH30" s="3910"/>
      <c r="AI30" s="3910"/>
      <c r="AJ30" s="3910"/>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900" t="s">
        <v>453</v>
      </c>
      <c r="T31" s="3900"/>
      <c r="U31" s="1293"/>
      <c r="V31" s="3901" t="str">
        <f>IF(TITLE_NUMBER_PR_CHANGE="",IF(TITLE_NUMBER_PR="","",TITLE_NUMBER_PR),TITLE_NUMBER_PR_CHANGE)</f>
        <v>79/2</v>
      </c>
      <c r="W31" s="3901"/>
      <c r="X31" s="3901"/>
      <c r="Y31" s="3901"/>
      <c r="Z31" s="3901"/>
      <c r="AA31" s="3901"/>
      <c r="AB31" s="3901"/>
      <c r="AC31" s="248"/>
      <c r="AD31" s="3901" t="str">
        <f>IF(TITLE_NUMBER_PR_CHANGE="",IF(TITLE_NUMBER_PR="","",TITLE_NUMBER_PR),TITLE_NUMBER_PR_CHANGE)</f>
        <v>79/2</v>
      </c>
      <c r="AE31" s="3901"/>
      <c r="AF31" s="3901"/>
      <c r="AG31" s="3901"/>
      <c r="AH31" s="3901"/>
      <c r="AI31" s="3901"/>
      <c r="AJ31" s="3901"/>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900" t="s">
        <v>40</v>
      </c>
      <c r="T32" s="3900"/>
      <c r="U32" s="1293"/>
      <c r="V32" s="3901" t="str">
        <f>IF(TITLE_IST_PUB_CHANGE="",IF(TITLE_IST_PUB="","",TITLE_IST_PUB),TITLE_IST_PUB_CHANGE)</f>
        <v>http://pravo.stavregion.ru/</v>
      </c>
      <c r="W32" s="3901"/>
      <c r="X32" s="3901"/>
      <c r="Y32" s="3901"/>
      <c r="Z32" s="3901"/>
      <c r="AA32" s="3901"/>
      <c r="AB32" s="3901"/>
      <c r="AC32" s="248"/>
      <c r="AD32" s="3901" t="str">
        <f>IF(TITLE_IST_PUB_CHANGE="",IF(TITLE_IST_PUB="","",TITLE_IST_PUB),TITLE_IST_PUB_CHANGE)</f>
        <v>http://pravo.stavregion.ru/</v>
      </c>
      <c r="AE32" s="3901"/>
      <c r="AF32" s="3901"/>
      <c r="AG32" s="3901"/>
      <c r="AH32" s="3901"/>
      <c r="AI32" s="3901"/>
      <c r="AJ32" s="3901"/>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900" t="s">
        <v>454</v>
      </c>
      <c r="T34" s="3900"/>
      <c r="U34" s="1293"/>
      <c r="V34" s="3910">
        <f>IF(TITLE_DATE_PR_CHANGE="",IF(TITLE_DATE_PR="","",TITLE_DATE_PR),TITLE_DATE_PR_CHANGE)</f>
        <v>45278</v>
      </c>
      <c r="W34" s="3910"/>
      <c r="X34" s="3910"/>
      <c r="Y34" s="3910"/>
      <c r="Z34" s="3910"/>
      <c r="AA34" s="3910"/>
      <c r="AB34" s="3910"/>
      <c r="AC34" s="248"/>
      <c r="AD34" s="3910">
        <f>IF(TITLE_DATE_PR_CHANGE="",IF(TITLE_DATE_PR="","",TITLE_DATE_PR),TITLE_DATE_PR_CHANGE)</f>
        <v>45278</v>
      </c>
      <c r="AE34" s="3910"/>
      <c r="AF34" s="3910"/>
      <c r="AG34" s="3910"/>
      <c r="AH34" s="3910"/>
      <c r="AI34" s="3910"/>
      <c r="AJ34" s="3910"/>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3900" t="s">
        <v>455</v>
      </c>
      <c r="T35" s="3900"/>
      <c r="U35" s="1293"/>
      <c r="V35" s="3901" t="str">
        <f>IF(TITLE_NUMBER_PR_CHANGE="",IF(TITLE_NUMBER_PR="","",TITLE_NUMBER_PR),TITLE_NUMBER_PR_CHANGE)</f>
        <v>79/2</v>
      </c>
      <c r="W35" s="3901"/>
      <c r="X35" s="3901"/>
      <c r="Y35" s="3901"/>
      <c r="Z35" s="3901"/>
      <c r="AA35" s="3901"/>
      <c r="AB35" s="3901"/>
      <c r="AC35" s="248"/>
      <c r="AD35" s="3901" t="str">
        <f>IF(TITLE_NUMBER_PR_CHANGE="",IF(TITLE_NUMBER_PR="","",TITLE_NUMBER_PR),TITLE_NUMBER_PR_CHANGE)</f>
        <v>79/2</v>
      </c>
      <c r="AE35" s="3901"/>
      <c r="AF35" s="3901"/>
      <c r="AG35" s="3901"/>
      <c r="AH35" s="3901"/>
      <c r="AI35" s="3901"/>
      <c r="AJ35" s="3901"/>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456</v>
      </c>
      <c r="AD36" s="248"/>
      <c r="AE36" s="248"/>
      <c r="AF36" s="248"/>
      <c r="AG36" s="248"/>
      <c r="AH36" s="248"/>
      <c r="AI36" s="248"/>
      <c r="AJ36" s="248"/>
      <c r="AK36" s="194" t="s">
        <v>456</v>
      </c>
      <c r="AN36" s="292"/>
      <c r="AO36" s="292"/>
      <c r="AP36" s="292"/>
      <c r="AQ36" s="292"/>
      <c r="AR36" s="292"/>
    </row>
    <row r="37" spans="1:44" ht="14.25" customHeight="1">
      <c r="Q37" s="300"/>
      <c r="R37" s="300"/>
      <c r="S37" s="1200"/>
      <c r="T37" s="286"/>
      <c r="U37" s="1158"/>
      <c r="V37" s="3902"/>
      <c r="W37" s="3902"/>
      <c r="X37" s="3902"/>
      <c r="Y37" s="3902"/>
      <c r="Z37" s="3902"/>
      <c r="AA37" s="3902"/>
      <c r="AB37" s="3902"/>
      <c r="AC37" s="3902"/>
      <c r="AD37" s="3902"/>
      <c r="AE37" s="3902"/>
      <c r="AF37" s="3902"/>
      <c r="AG37" s="3902"/>
      <c r="AH37" s="3902"/>
      <c r="AI37" s="3902"/>
      <c r="AJ37" s="3902"/>
      <c r="AK37" s="3902"/>
    </row>
    <row r="38" spans="1:44" ht="14.25" customHeight="1">
      <c r="Q38" s="300"/>
      <c r="R38" s="300"/>
      <c r="S38" s="3778" t="s">
        <v>329</v>
      </c>
      <c r="T38" s="3778"/>
      <c r="U38" s="3778"/>
      <c r="V38" s="3778"/>
      <c r="W38" s="3778"/>
      <c r="X38" s="3778"/>
      <c r="Y38" s="3778"/>
      <c r="Z38" s="3778"/>
      <c r="AA38" s="3778"/>
      <c r="AB38" s="3778"/>
      <c r="AC38" s="3778"/>
      <c r="AD38" s="3778"/>
      <c r="AE38" s="3778"/>
      <c r="AF38" s="3778"/>
      <c r="AG38" s="3778"/>
      <c r="AH38" s="3778"/>
      <c r="AI38" s="3778"/>
      <c r="AJ38" s="3778"/>
      <c r="AK38" s="3778"/>
      <c r="AL38" s="3778"/>
      <c r="AM38" s="3778" t="s">
        <v>330</v>
      </c>
    </row>
    <row r="39" spans="1:44" ht="14.25" customHeight="1">
      <c r="Q39" s="300"/>
      <c r="R39" s="300"/>
      <c r="S39" s="3916" t="s">
        <v>86</v>
      </c>
      <c r="T39" s="3868" t="s">
        <v>457</v>
      </c>
      <c r="U39" s="215"/>
      <c r="V39" s="3917" t="s">
        <v>458</v>
      </c>
      <c r="W39" s="3918"/>
      <c r="X39" s="3918"/>
      <c r="Y39" s="3918"/>
      <c r="Z39" s="3918"/>
      <c r="AA39" s="3918"/>
      <c r="AB39" s="3919"/>
      <c r="AC39" s="3920" t="s">
        <v>459</v>
      </c>
      <c r="AD39" s="3917" t="s">
        <v>458</v>
      </c>
      <c r="AE39" s="3918"/>
      <c r="AF39" s="3918"/>
      <c r="AG39" s="3918"/>
      <c r="AH39" s="3918"/>
      <c r="AI39" s="3918"/>
      <c r="AJ39" s="3919"/>
      <c r="AK39" s="3920" t="s">
        <v>460</v>
      </c>
      <c r="AL39" s="3923" t="s">
        <v>461</v>
      </c>
      <c r="AM39" s="3778"/>
    </row>
    <row r="40" spans="1:44" ht="33.75" customHeight="1">
      <c r="Q40" s="300"/>
      <c r="R40" s="300"/>
      <c r="S40" s="3916"/>
      <c r="T40" s="3868"/>
      <c r="U40" s="942"/>
      <c r="V40" s="3838" t="s">
        <v>462</v>
      </c>
      <c r="W40" s="3926"/>
      <c r="X40" s="3749" t="s">
        <v>464</v>
      </c>
      <c r="Y40" s="3748"/>
      <c r="Z40" s="3749" t="s">
        <v>465</v>
      </c>
      <c r="AA40" s="3754"/>
      <c r="AB40" s="3748"/>
      <c r="AC40" s="3921"/>
      <c r="AD40" s="3838" t="s">
        <v>462</v>
      </c>
      <c r="AE40" s="3926"/>
      <c r="AF40" s="3749" t="s">
        <v>464</v>
      </c>
      <c r="AG40" s="3748"/>
      <c r="AH40" s="3749" t="s">
        <v>465</v>
      </c>
      <c r="AI40" s="3754"/>
      <c r="AJ40" s="3748"/>
      <c r="AK40" s="3921"/>
      <c r="AL40" s="3924"/>
      <c r="AM40" s="3778"/>
    </row>
    <row r="41" spans="1:44" ht="33.75" customHeight="1">
      <c r="A41" s="1291"/>
      <c r="B41" s="1291" t="s">
        <v>153</v>
      </c>
      <c r="C41" s="1291" t="s">
        <v>154</v>
      </c>
      <c r="D41" s="1291" t="s">
        <v>155</v>
      </c>
      <c r="E41" s="1285" t="s">
        <v>466</v>
      </c>
      <c r="F41" s="1285" t="s">
        <v>467</v>
      </c>
      <c r="G41" s="1285" t="s">
        <v>468</v>
      </c>
      <c r="H41" s="1285" t="s">
        <v>469</v>
      </c>
      <c r="I41" s="1285" t="s">
        <v>470</v>
      </c>
      <c r="J41" s="1285" t="s">
        <v>471</v>
      </c>
      <c r="K41" s="1285" t="s">
        <v>472</v>
      </c>
      <c r="L41" s="1285" t="s">
        <v>447</v>
      </c>
      <c r="Q41" s="300"/>
      <c r="R41" s="300"/>
      <c r="S41" s="3916"/>
      <c r="T41" s="3868"/>
      <c r="U41" s="216"/>
      <c r="V41" s="3887"/>
      <c r="W41" s="3927"/>
      <c r="X41" s="1133" t="s">
        <v>473</v>
      </c>
      <c r="Y41" s="1133" t="s">
        <v>474</v>
      </c>
      <c r="Z41" s="1260" t="s">
        <v>475</v>
      </c>
      <c r="AA41" s="3876" t="s">
        <v>476</v>
      </c>
      <c r="AB41" s="3878"/>
      <c r="AC41" s="3922"/>
      <c r="AD41" s="3887"/>
      <c r="AE41" s="3927"/>
      <c r="AF41" s="1133" t="s">
        <v>473</v>
      </c>
      <c r="AG41" s="1133" t="s">
        <v>474</v>
      </c>
      <c r="AH41" s="1260" t="s">
        <v>475</v>
      </c>
      <c r="AI41" s="3876" t="s">
        <v>476</v>
      </c>
      <c r="AJ41" s="3878"/>
      <c r="AK41" s="3922"/>
      <c r="AL41" s="3925"/>
      <c r="AM41" s="377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129</v>
      </c>
      <c r="T42" s="1177" t="s">
        <v>102</v>
      </c>
      <c r="U42" s="1159" t="str">
        <f ca="1">OFFSET(U42,0,-1)</f>
        <v>2</v>
      </c>
      <c r="V42" s="1257">
        <f ca="1">OFFSET(V42,0,-1)+1</f>
        <v>3</v>
      </c>
      <c r="W42" s="1257"/>
      <c r="X42" s="1257">
        <f ca="1">OFFSET(X42,0,-1)+1</f>
        <v>1</v>
      </c>
      <c r="Y42" s="1257">
        <f ca="1">OFFSET(Y42,0,-1)+1</f>
        <v>2</v>
      </c>
      <c r="Z42" s="1257">
        <f ca="1">OFFSET(Z42,0,-1)+1</f>
        <v>3</v>
      </c>
      <c r="AA42" s="3915">
        <f ca="1">OFFSET(AA42,0,-1)+1</f>
        <v>4</v>
      </c>
      <c r="AB42" s="3915"/>
      <c r="AC42" s="1257">
        <f ca="1">OFFSET(AC42,0,-2)+1</f>
        <v>5</v>
      </c>
      <c r="AD42" s="1257">
        <f ca="1">OFFSET(AD42,0,-1)+1</f>
        <v>6</v>
      </c>
      <c r="AE42" s="1257"/>
      <c r="AF42" s="1257">
        <f ca="1">OFFSET(AF42,0,-1)+1</f>
        <v>1</v>
      </c>
      <c r="AG42" s="1257">
        <f ca="1">OFFSET(AG42,0,-1)+1</f>
        <v>2</v>
      </c>
      <c r="AH42" s="1257">
        <f ca="1">OFFSET(AH42,0,-1)+1</f>
        <v>3</v>
      </c>
      <c r="AI42" s="3915">
        <f ca="1">OFFSET(AI42,0,-1)+1</f>
        <v>4</v>
      </c>
      <c r="AJ42" s="3915"/>
      <c r="AK42" s="1257">
        <f ca="1">OFFSET(AK42,0,-2)+1</f>
        <v>5</v>
      </c>
      <c r="AL42" s="1159">
        <f ca="1">OFFSET(AL42,0,-1)</f>
        <v>5</v>
      </c>
      <c r="AM42" s="1257">
        <f ca="1">OFFSET(AM42,0,-1)+1</f>
        <v>6</v>
      </c>
      <c r="AN42" s="435"/>
      <c r="AO42" s="435"/>
      <c r="AP42" s="435"/>
      <c r="AQ42" s="435"/>
      <c r="AR42" s="435"/>
    </row>
    <row r="43" spans="1:44" ht="21" customHeight="1">
      <c r="A43" s="1284" t="s">
        <v>198</v>
      </c>
      <c r="B43" s="1284"/>
      <c r="C43" s="1284"/>
      <c r="D43" s="1284"/>
      <c r="E43" s="3908">
        <v>1</v>
      </c>
      <c r="F43" s="1284"/>
      <c r="G43" s="1284"/>
      <c r="H43" s="1284"/>
      <c r="I43" s="1284"/>
      <c r="J43" s="1284"/>
      <c r="K43" s="1284"/>
      <c r="L43" s="1285"/>
      <c r="M43" s="1286"/>
      <c r="N43" s="1286"/>
      <c r="O43" s="1286"/>
      <c r="P43" s="282"/>
      <c r="Q43" s="281"/>
      <c r="R43" s="276"/>
      <c r="S43" s="1258">
        <f>INDEX(PT_DIFFERENTIATION_NUM_NTAR,MATCH(A43,PT_DIFFERENTIATION_NTAR_ID,0))</f>
        <v>0</v>
      </c>
      <c r="T43" s="212" t="s">
        <v>141</v>
      </c>
      <c r="U43" s="214"/>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198</v>
      </c>
      <c r="B44" s="1284" t="s">
        <v>199</v>
      </c>
      <c r="C44" s="1284"/>
      <c r="D44" s="1284"/>
      <c r="E44" s="3909"/>
      <c r="F44" s="3908">
        <v>1</v>
      </c>
      <c r="G44" s="1284"/>
      <c r="H44" s="1284"/>
      <c r="I44" s="1284"/>
      <c r="J44" s="1284"/>
      <c r="K44" s="1284"/>
      <c r="L44" s="1285"/>
      <c r="M44" s="1286"/>
      <c r="N44" s="1286"/>
      <c r="O44" s="1286"/>
      <c r="P44" s="1254"/>
      <c r="Q44" s="273"/>
      <c r="R44" s="274"/>
      <c r="S44" s="1258" t="str">
        <f>INDEX(PT_DIFFERENTIATION_NUM_TER,MATCH(B44,PT_DIFFERENTIATION_TER_ID,0))</f>
        <v>.</v>
      </c>
      <c r="T44" s="224" t="s">
        <v>428</v>
      </c>
      <c r="U44" s="214"/>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182" t="s">
        <v>429</v>
      </c>
      <c r="AO44" s="424"/>
      <c r="AP44" s="424" t="str">
        <f t="shared" si="1"/>
        <v>Территория действия тарифа</v>
      </c>
      <c r="AQ44" s="424"/>
      <c r="AR44" s="424"/>
    </row>
    <row r="45" spans="1:44" ht="23.25" customHeight="1">
      <c r="A45" s="1284" t="s">
        <v>198</v>
      </c>
      <c r="B45" s="1284" t="s">
        <v>199</v>
      </c>
      <c r="C45" s="1284" t="s">
        <v>200</v>
      </c>
      <c r="D45" s="1284"/>
      <c r="E45" s="3909"/>
      <c r="F45" s="3909"/>
      <c r="G45" s="3908">
        <v>1</v>
      </c>
      <c r="H45" s="1284"/>
      <c r="I45" s="1284"/>
      <c r="J45" s="1284"/>
      <c r="K45" s="1284"/>
      <c r="L45" s="1285"/>
      <c r="M45" s="1286"/>
      <c r="N45" s="1286"/>
      <c r="O45" s="1286"/>
      <c r="P45" s="275"/>
      <c r="Q45" s="273"/>
      <c r="R45" s="274"/>
      <c r="S45" s="1258" t="str">
        <f>INDEX(PT_DIFFERENTIATION_NUM_CS,MATCH(C45,PT_DIFFERENTIATION_CS_ID,0))</f>
        <v>..</v>
      </c>
      <c r="T45" s="225" t="s">
        <v>430</v>
      </c>
      <c r="U45" s="214"/>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182" t="s">
        <v>431</v>
      </c>
      <c r="AO45" s="424"/>
      <c r="AP45" s="424" t="str">
        <f t="shared" si="1"/>
        <v xml:space="preserve">Наименование системы теплоснабжения </v>
      </c>
      <c r="AQ45" s="424"/>
      <c r="AR45" s="424"/>
    </row>
    <row r="46" spans="1:44" ht="21" customHeight="1">
      <c r="A46" s="1284" t="s">
        <v>198</v>
      </c>
      <c r="B46" s="1284" t="s">
        <v>199</v>
      </c>
      <c r="C46" s="1284" t="s">
        <v>200</v>
      </c>
      <c r="D46" s="1284" t="s">
        <v>201</v>
      </c>
      <c r="E46" s="3909"/>
      <c r="F46" s="3909"/>
      <c r="G46" s="3909"/>
      <c r="H46" s="3908">
        <v>1</v>
      </c>
      <c r="I46" s="1284"/>
      <c r="J46" s="1284"/>
      <c r="K46" s="1284"/>
      <c r="L46" s="1285"/>
      <c r="M46" s="1286"/>
      <c r="N46" s="1286"/>
      <c r="O46" s="1286"/>
      <c r="P46" s="275"/>
      <c r="Q46" s="273"/>
      <c r="R46" s="274"/>
      <c r="S46" s="1258" t="str">
        <f>INDEX(PT_DIFFERENTIATION_NUM_IST_TE,MATCH(D46,PT_DIFFERENTIATION_IST_TE_ID,0))</f>
        <v>...</v>
      </c>
      <c r="T46" s="226" t="s">
        <v>432</v>
      </c>
      <c r="U46" s="214"/>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182" t="s">
        <v>433</v>
      </c>
      <c r="AO46" s="424"/>
      <c r="AP46" s="424" t="str">
        <f t="shared" si="1"/>
        <v xml:space="preserve">Источник тепловой энергии  </v>
      </c>
      <c r="AQ46" s="424"/>
      <c r="AR46" s="424"/>
    </row>
    <row r="47" spans="1:44" s="1562" customFormat="1" ht="0" hidden="1" customHeight="1">
      <c r="A47" s="1265" t="s">
        <v>198</v>
      </c>
      <c r="B47" s="1265" t="s">
        <v>199</v>
      </c>
      <c r="C47" s="1265" t="s">
        <v>200</v>
      </c>
      <c r="D47" s="1265" t="s">
        <v>201</v>
      </c>
      <c r="E47" s="3909"/>
      <c r="F47" s="3909"/>
      <c r="G47" s="3909"/>
      <c r="H47" s="3909"/>
      <c r="I47" s="3906" t="str">
        <f>S46&amp;".1"</f>
        <v>....1</v>
      </c>
      <c r="J47" s="1265"/>
      <c r="K47" s="1265"/>
      <c r="L47" s="1268" t="s">
        <v>434</v>
      </c>
      <c r="M47" s="434"/>
      <c r="N47" s="434"/>
      <c r="O47" s="434"/>
      <c r="P47" s="3907">
        <v>1</v>
      </c>
      <c r="Q47" s="1253"/>
      <c r="R47" s="277"/>
      <c r="S47" s="953"/>
      <c r="T47" s="1304"/>
      <c r="U47" s="1305"/>
      <c r="V47" s="3935"/>
      <c r="W47" s="3936"/>
      <c r="X47" s="3936"/>
      <c r="Y47" s="3936"/>
      <c r="Z47" s="3936"/>
      <c r="AA47" s="3936"/>
      <c r="AB47" s="3936"/>
      <c r="AC47" s="3937"/>
      <c r="AD47" s="3935"/>
      <c r="AE47" s="3936"/>
      <c r="AF47" s="3936"/>
      <c r="AG47" s="3936"/>
      <c r="AH47" s="3936"/>
      <c r="AI47" s="3936"/>
      <c r="AJ47" s="3936"/>
      <c r="AK47" s="3936"/>
      <c r="AL47" s="3937"/>
      <c r="AM47" s="1306"/>
      <c r="AO47" s="424"/>
      <c r="AP47" s="424" t="str">
        <f t="shared" si="1"/>
        <v/>
      </c>
      <c r="AQ47" s="424"/>
      <c r="AR47" s="424"/>
    </row>
    <row r="48" spans="1:44" ht="21" customHeight="1">
      <c r="A48" s="1284" t="s">
        <v>198</v>
      </c>
      <c r="B48" s="1284" t="s">
        <v>199</v>
      </c>
      <c r="C48" s="1284" t="s">
        <v>200</v>
      </c>
      <c r="D48" s="1284" t="s">
        <v>201</v>
      </c>
      <c r="E48" s="3909"/>
      <c r="F48" s="3909"/>
      <c r="G48" s="3909"/>
      <c r="H48" s="3909"/>
      <c r="I48" s="3929"/>
      <c r="J48" s="3906" t="str">
        <f>S46&amp;".1"</f>
        <v>....1</v>
      </c>
      <c r="K48" s="1284"/>
      <c r="L48" s="1285" t="s">
        <v>437</v>
      </c>
      <c r="P48" s="3907"/>
      <c r="Q48" s="3907">
        <v>1</v>
      </c>
      <c r="R48" s="278"/>
      <c r="S48" s="1258" t="str">
        <f>$J48</f>
        <v>....1</v>
      </c>
      <c r="T48" s="201" t="s">
        <v>438</v>
      </c>
      <c r="U48" s="214"/>
      <c r="V48" s="3897"/>
      <c r="W48" s="3898"/>
      <c r="X48" s="3898"/>
      <c r="Y48" s="3898"/>
      <c r="Z48" s="3898"/>
      <c r="AA48" s="3898"/>
      <c r="AB48" s="3898"/>
      <c r="AC48" s="3899"/>
      <c r="AD48" s="3897"/>
      <c r="AE48" s="3898"/>
      <c r="AF48" s="3898"/>
      <c r="AG48" s="3898"/>
      <c r="AH48" s="3898"/>
      <c r="AI48" s="3898"/>
      <c r="AJ48" s="3898"/>
      <c r="AK48" s="3898"/>
      <c r="AL48" s="3899"/>
      <c r="AM48" s="1182" t="s">
        <v>439</v>
      </c>
      <c r="AO48" s="424"/>
      <c r="AP48" s="424" t="str">
        <f t="shared" si="1"/>
        <v>Группа потребителей</v>
      </c>
      <c r="AQ48" s="424"/>
      <c r="AR48" s="424"/>
    </row>
    <row r="49" spans="1:44" ht="21" customHeight="1">
      <c r="A49" s="1284" t="s">
        <v>198</v>
      </c>
      <c r="B49" s="1284" t="s">
        <v>199</v>
      </c>
      <c r="C49" s="1284" t="s">
        <v>200</v>
      </c>
      <c r="D49" s="1284" t="s">
        <v>201</v>
      </c>
      <c r="E49" s="3909"/>
      <c r="F49" s="3909"/>
      <c r="G49" s="3909"/>
      <c r="H49" s="3909"/>
      <c r="I49" s="3929"/>
      <c r="J49" s="3929"/>
      <c r="K49" s="3906" t="str">
        <f>J48&amp;".1"</f>
        <v>....1.1</v>
      </c>
      <c r="L49" s="1285" t="s">
        <v>440</v>
      </c>
      <c r="P49" s="3907"/>
      <c r="Q49" s="3907"/>
      <c r="R49" s="278">
        <v>1</v>
      </c>
      <c r="S49" s="1258" t="str">
        <f>$K49</f>
        <v>....1.1</v>
      </c>
      <c r="T49" s="1269"/>
      <c r="U49" s="214"/>
      <c r="V49" s="666"/>
      <c r="W49" s="246"/>
      <c r="X49" s="666"/>
      <c r="Y49" s="1181"/>
      <c r="Z49" s="3911"/>
      <c r="AA49" s="3759" t="s">
        <v>60</v>
      </c>
      <c r="AB49" s="3911"/>
      <c r="AC49" s="3759" t="s">
        <v>60</v>
      </c>
      <c r="AD49" s="666"/>
      <c r="AE49" s="246"/>
      <c r="AF49" s="666"/>
      <c r="AG49" s="1181"/>
      <c r="AH49" s="3911"/>
      <c r="AI49" s="3759" t="s">
        <v>60</v>
      </c>
      <c r="AJ49" s="3930"/>
      <c r="AK49" s="3759" t="s">
        <v>60</v>
      </c>
      <c r="AL49" s="1270"/>
      <c r="AM49" s="3903" t="s">
        <v>478</v>
      </c>
      <c r="AN49" s="435" t="e">
        <f ca="1">STRCHECKDATE(V50:AL50)</f>
        <v>#NAME?</v>
      </c>
      <c r="AO49" s="424"/>
      <c r="AP49" s="424" t="str">
        <f t="shared" si="1"/>
        <v/>
      </c>
      <c r="AQ49" s="424"/>
      <c r="AR49" s="424"/>
    </row>
    <row r="50" spans="1:44" ht="0.75" customHeight="1">
      <c r="A50" s="1284" t="s">
        <v>198</v>
      </c>
      <c r="B50" s="1284" t="s">
        <v>199</v>
      </c>
      <c r="C50" s="1284" t="s">
        <v>200</v>
      </c>
      <c r="D50" s="1284" t="s">
        <v>201</v>
      </c>
      <c r="E50" s="3909"/>
      <c r="F50" s="3909"/>
      <c r="G50" s="3909"/>
      <c r="H50" s="3909"/>
      <c r="I50" s="3929"/>
      <c r="J50" s="3929"/>
      <c r="K50" s="3906"/>
      <c r="L50" s="1285"/>
      <c r="P50" s="3907"/>
      <c r="Q50" s="3907"/>
      <c r="R50" s="278"/>
      <c r="S50" s="1264"/>
      <c r="T50" s="214"/>
      <c r="U50" s="214"/>
      <c r="V50" s="246"/>
      <c r="W50" s="246"/>
      <c r="X50" s="246"/>
      <c r="Y50" s="250" t="str">
        <f>Z49&amp;"-"&amp;AB49</f>
        <v>-</v>
      </c>
      <c r="Z50" s="3912"/>
      <c r="AA50" s="3759"/>
      <c r="AB50" s="3912"/>
      <c r="AC50" s="3759"/>
      <c r="AD50" s="246"/>
      <c r="AE50" s="246"/>
      <c r="AF50" s="246"/>
      <c r="AG50" s="250" t="str">
        <f>AH49&amp;"-"&amp;AJ49</f>
        <v>-</v>
      </c>
      <c r="AH50" s="3912"/>
      <c r="AI50" s="3759"/>
      <c r="AJ50" s="3931"/>
      <c r="AK50" s="3759"/>
      <c r="AL50" s="1271"/>
      <c r="AM50" s="3904"/>
      <c r="AO50" s="424"/>
      <c r="AP50" s="424" t="str">
        <f t="shared" si="1"/>
        <v/>
      </c>
      <c r="AQ50" s="424"/>
      <c r="AR50" s="424"/>
    </row>
    <row r="51" spans="1:44" ht="11.25" customHeight="1">
      <c r="A51" s="1284" t="s">
        <v>198</v>
      </c>
      <c r="B51" s="1284" t="s">
        <v>199</v>
      </c>
      <c r="C51" s="1284" t="s">
        <v>200</v>
      </c>
      <c r="D51" s="1284" t="s">
        <v>201</v>
      </c>
      <c r="E51" s="3909"/>
      <c r="F51" s="3909"/>
      <c r="G51" s="3909"/>
      <c r="H51" s="3909"/>
      <c r="I51" s="3929"/>
      <c r="J51" s="3906"/>
      <c r="K51" s="1284"/>
      <c r="L51" s="1285"/>
      <c r="P51" s="3907"/>
      <c r="Q51" s="3907"/>
      <c r="R51" s="277"/>
      <c r="S51" s="1203"/>
      <c r="T51" s="202" t="s">
        <v>442</v>
      </c>
      <c r="U51" s="291"/>
      <c r="V51" s="291"/>
      <c r="W51" s="291"/>
      <c r="X51" s="291"/>
      <c r="Y51" s="291"/>
      <c r="Z51" s="291"/>
      <c r="AA51" s="291"/>
      <c r="AB51" s="291"/>
      <c r="AC51" s="291"/>
      <c r="AD51" s="291"/>
      <c r="AE51" s="291"/>
      <c r="AF51" s="291"/>
      <c r="AG51" s="291"/>
      <c r="AH51" s="291"/>
      <c r="AI51" s="291"/>
      <c r="AJ51" s="291"/>
      <c r="AK51" s="291"/>
      <c r="AL51" s="245"/>
      <c r="AM51" s="3905"/>
      <c r="AO51" s="424"/>
      <c r="AP51" s="424" t="str">
        <f t="shared" si="1"/>
        <v>Добавить вид теплоносителя (параметры теплоносителя)</v>
      </c>
      <c r="AQ51" s="424"/>
      <c r="AR51" s="424"/>
    </row>
    <row r="52" spans="1:44" ht="11.25" customHeight="1">
      <c r="A52" s="1284" t="s">
        <v>198</v>
      </c>
      <c r="B52" s="1284" t="s">
        <v>199</v>
      </c>
      <c r="C52" s="1284" t="s">
        <v>200</v>
      </c>
      <c r="D52" s="1284" t="s">
        <v>201</v>
      </c>
      <c r="E52" s="3909"/>
      <c r="F52" s="3909"/>
      <c r="G52" s="3909"/>
      <c r="H52" s="3909"/>
      <c r="I52" s="3906"/>
      <c r="J52" s="1284"/>
      <c r="K52" s="1284"/>
      <c r="L52" s="1285"/>
      <c r="P52" s="3907"/>
      <c r="Q52" s="1253"/>
      <c r="R52" s="277"/>
      <c r="S52" s="1203"/>
      <c r="T52" s="288" t="s">
        <v>443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198</v>
      </c>
      <c r="B53" s="1284" t="s">
        <v>199</v>
      </c>
      <c r="C53" s="1284" t="s">
        <v>200</v>
      </c>
      <c r="D53" s="1284" t="s">
        <v>201</v>
      </c>
      <c r="E53" s="3909"/>
      <c r="F53" s="3909"/>
      <c r="G53" s="3909"/>
      <c r="H53" s="3908"/>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198</v>
      </c>
      <c r="B54" s="1265" t="s">
        <v>199</v>
      </c>
      <c r="C54" s="1265" t="s">
        <v>200</v>
      </c>
      <c r="D54" s="1237"/>
      <c r="E54" s="3909"/>
      <c r="F54" s="3909"/>
      <c r="G54" s="3908"/>
      <c r="H54" s="1237"/>
      <c r="I54" s="1237"/>
      <c r="J54" s="1237"/>
      <c r="K54" s="1237"/>
      <c r="L54" s="1261"/>
      <c r="M54" s="1238"/>
      <c r="N54" s="1238"/>
      <c r="P54" s="1239"/>
      <c r="Q54" s="1240"/>
      <c r="R54" s="1239"/>
      <c r="S54" s="1245"/>
      <c r="T54" s="1248" t="s">
        <v>445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198</v>
      </c>
      <c r="B55" s="1265" t="s">
        <v>199</v>
      </c>
      <c r="C55" s="1237"/>
      <c r="D55" s="1237"/>
      <c r="E55" s="3909"/>
      <c r="F55" s="3908"/>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198</v>
      </c>
      <c r="B56" s="1265"/>
      <c r="C56" s="1265"/>
      <c r="D56" s="1265"/>
      <c r="E56" s="3908"/>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262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3928"/>
      <c r="U59" s="3928"/>
      <c r="V59" s="3928"/>
      <c r="W59" s="3928"/>
      <c r="X59" s="3928"/>
      <c r="Y59" s="3928"/>
      <c r="Z59" s="3928"/>
      <c r="AA59" s="3928"/>
      <c r="AB59" s="3928"/>
      <c r="AC59" s="3928"/>
      <c r="AD59" s="3928"/>
      <c r="AE59" s="3928"/>
      <c r="AF59" s="3928"/>
      <c r="AG59" s="3928"/>
      <c r="AH59" s="3928"/>
      <c r="AI59" s="3928"/>
      <c r="AJ59" s="3928"/>
      <c r="AK59" s="3928"/>
      <c r="AL59" s="3928"/>
      <c r="AM59" s="3928"/>
    </row>
    <row r="60" spans="1:44" ht="29.25" customHeight="1">
      <c r="O60" s="460"/>
      <c r="T60" s="3928"/>
      <c r="U60" s="3928"/>
      <c r="V60" s="3928"/>
      <c r="W60" s="3928"/>
      <c r="X60" s="3928"/>
      <c r="Y60" s="3928"/>
      <c r="Z60" s="3928"/>
      <c r="AA60" s="3928"/>
      <c r="AB60" s="3928"/>
      <c r="AC60" s="3928"/>
      <c r="AD60" s="3928"/>
      <c r="AE60" s="3928"/>
      <c r="AF60" s="3928"/>
      <c r="AG60" s="3928"/>
      <c r="AH60" s="3928"/>
      <c r="AI60" s="3928"/>
      <c r="AJ60" s="3928"/>
      <c r="AK60" s="3928"/>
      <c r="AL60" s="3928"/>
      <c r="AM60" s="3928"/>
    </row>
    <row r="61" spans="1:44" ht="39.75" customHeight="1">
      <c r="O61" s="460"/>
      <c r="T61" s="3928"/>
      <c r="U61" s="3928"/>
      <c r="V61" s="3928"/>
      <c r="W61" s="3928"/>
      <c r="X61" s="3928"/>
      <c r="Y61" s="3928"/>
      <c r="Z61" s="3928"/>
      <c r="AA61" s="3928"/>
      <c r="AB61" s="3928"/>
      <c r="AC61" s="3928"/>
      <c r="AD61" s="3928"/>
      <c r="AE61" s="3928"/>
      <c r="AF61" s="3928"/>
      <c r="AG61" s="3928"/>
      <c r="AH61" s="3928"/>
      <c r="AI61" s="3928"/>
      <c r="AJ61" s="3928"/>
      <c r="AK61" s="3928"/>
      <c r="AL61" s="3928"/>
      <c r="AM61" s="3928"/>
    </row>
    <row r="62" spans="1:44" ht="14.25" customHeight="1">
      <c r="O62" s="460"/>
    </row>
    <row r="63" spans="1:44" ht="19.5" customHeight="1">
      <c r="O63" s="460"/>
      <c r="S63" s="1169"/>
      <c r="T63" s="3828"/>
      <c r="U63" s="3928"/>
      <c r="V63" s="3928"/>
      <c r="W63" s="3928"/>
      <c r="X63" s="3928"/>
      <c r="Y63" s="3928"/>
      <c r="Z63" s="3928"/>
      <c r="AA63" s="3928"/>
      <c r="AB63" s="3928"/>
      <c r="AC63" s="3928"/>
      <c r="AD63" s="3928"/>
      <c r="AE63" s="3928"/>
      <c r="AF63" s="3928"/>
      <c r="AG63" s="3928"/>
      <c r="AH63" s="3928"/>
      <c r="AI63" s="3928"/>
      <c r="AJ63" s="3928"/>
      <c r="AK63" s="3928"/>
      <c r="AL63" s="3928"/>
      <c r="AM63" s="3928"/>
    </row>
    <row r="64" spans="1:44" ht="27.75" customHeight="1">
      <c r="O64" s="460"/>
      <c r="T64" s="3928"/>
      <c r="U64" s="3928"/>
      <c r="V64" s="3928"/>
      <c r="W64" s="3928"/>
      <c r="X64" s="3928"/>
      <c r="Y64" s="3928"/>
      <c r="Z64" s="3928"/>
      <c r="AA64" s="3928"/>
      <c r="AB64" s="3928"/>
      <c r="AC64" s="3928"/>
      <c r="AD64" s="3928"/>
      <c r="AE64" s="3928"/>
      <c r="AF64" s="3928"/>
      <c r="AG64" s="3928"/>
      <c r="AH64" s="3928"/>
      <c r="AI64" s="3928"/>
      <c r="AJ64" s="3928"/>
      <c r="AK64" s="3928"/>
      <c r="AL64" s="3928"/>
      <c r="AM64" s="3928"/>
    </row>
    <row r="65" spans="20:39" ht="33.75" customHeight="1">
      <c r="T65" s="3928"/>
      <c r="U65" s="3928"/>
      <c r="V65" s="3928"/>
      <c r="W65" s="3928"/>
      <c r="X65" s="3928"/>
      <c r="Y65" s="3928"/>
      <c r="Z65" s="3928"/>
      <c r="AA65" s="3928"/>
      <c r="AB65" s="3928"/>
      <c r="AC65" s="3928"/>
      <c r="AD65" s="3928"/>
      <c r="AE65" s="3928"/>
      <c r="AF65" s="3928"/>
      <c r="AG65" s="3928"/>
      <c r="AH65" s="3928"/>
      <c r="AI65" s="3928"/>
      <c r="AJ65" s="3928"/>
      <c r="AK65" s="3928"/>
      <c r="AL65" s="3928"/>
      <c r="AM65" s="39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817" hidden="1" customWidth="1"/>
    <col min="17" max="18" width="3.7109375" style="265" customWidth="1"/>
    <col min="19" max="19" width="12.7109375" style="1820"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3908">
        <v>1</v>
      </c>
      <c r="F2" s="1284"/>
      <c r="G2" s="1284"/>
      <c r="H2" s="1284"/>
      <c r="I2" s="1284"/>
      <c r="J2" s="1284"/>
      <c r="K2" s="1284"/>
      <c r="L2" s="1285"/>
      <c r="M2" s="1286"/>
      <c r="N2" s="1286"/>
      <c r="O2" s="1286"/>
      <c r="P2" s="282"/>
      <c r="Q2" s="281"/>
      <c r="R2" s="276"/>
      <c r="S2" s="1258" t="e">
        <f>INDEX(PT_DIFFERENTIATION_NUM_NTAR,MATCH(A2,PT_DIFFERENTIATION_NTAR_ID,0))</f>
        <v>#N/A</v>
      </c>
      <c r="T2" s="212" t="s">
        <v>141</v>
      </c>
      <c r="U2" s="214"/>
      <c r="V2" s="3894"/>
      <c r="W2" s="3895"/>
      <c r="X2" s="3895"/>
      <c r="Y2" s="3895"/>
      <c r="Z2" s="3895"/>
      <c r="AA2" s="3895"/>
      <c r="AB2" s="3895"/>
      <c r="AC2" s="3896"/>
      <c r="AD2" s="3894" t="e">
        <f>INDEX(PT_DIFFERENTIATION_NTAR,MATCH(A2,PT_DIFFERENTIATION_NTAR_ID,0))</f>
        <v>#N/A</v>
      </c>
      <c r="AE2" s="3895"/>
      <c r="AF2" s="3895"/>
      <c r="AG2" s="3895"/>
      <c r="AH2" s="3895"/>
      <c r="AI2" s="3895"/>
      <c r="AJ2" s="3895"/>
      <c r="AK2" s="3895"/>
      <c r="AL2" s="3896"/>
      <c r="AM2" s="1182" t="s">
        <v>427</v>
      </c>
      <c r="AO2" s="424"/>
      <c r="AP2" s="424" t="str">
        <f t="shared" ref="AP2:AP15" si="0">IF(T2="","",T2)</f>
        <v>Наименование тарифа</v>
      </c>
      <c r="AQ2" s="424"/>
      <c r="AR2" s="424"/>
    </row>
    <row r="3" spans="1:44" ht="21" hidden="1" customHeight="1">
      <c r="A3" s="1284"/>
      <c r="B3" s="1284"/>
      <c r="C3" s="1284"/>
      <c r="D3" s="1284"/>
      <c r="E3" s="3909"/>
      <c r="F3" s="3908">
        <v>1</v>
      </c>
      <c r="G3" s="1284"/>
      <c r="H3" s="1284"/>
      <c r="I3" s="1284"/>
      <c r="J3" s="1284"/>
      <c r="K3" s="1284"/>
      <c r="L3" s="1285"/>
      <c r="M3" s="1286"/>
      <c r="N3" s="1286"/>
      <c r="O3" s="1286"/>
      <c r="P3" s="1254"/>
      <c r="Q3" s="273"/>
      <c r="R3" s="274"/>
      <c r="S3" s="1258" t="e">
        <f>INDEX(PT_DIFFERENTIATION_NUM_TER,MATCH(B3,PT_DIFFERENTIATION_TER_ID,0))</f>
        <v>#N/A</v>
      </c>
      <c r="T3" s="224" t="s">
        <v>428</v>
      </c>
      <c r="U3" s="214"/>
      <c r="V3" s="3894"/>
      <c r="W3" s="3895"/>
      <c r="X3" s="3895"/>
      <c r="Y3" s="3895"/>
      <c r="Z3" s="3895"/>
      <c r="AA3" s="3895"/>
      <c r="AB3" s="3895"/>
      <c r="AC3" s="3896"/>
      <c r="AD3" s="3894" t="e">
        <f>INDEX(PT_DIFFERENTIATION_TER,MATCH(B3,PT_DIFFERENTIATION_TER_ID,0))</f>
        <v>#N/A</v>
      </c>
      <c r="AE3" s="3895"/>
      <c r="AF3" s="3895"/>
      <c r="AG3" s="3895"/>
      <c r="AH3" s="3895"/>
      <c r="AI3" s="3895"/>
      <c r="AJ3" s="3895"/>
      <c r="AK3" s="3895"/>
      <c r="AL3" s="3896"/>
      <c r="AM3" s="1182" t="s">
        <v>429</v>
      </c>
      <c r="AO3" s="424"/>
      <c r="AP3" s="424" t="str">
        <f t="shared" si="0"/>
        <v>Территория действия тарифа</v>
      </c>
      <c r="AQ3" s="424"/>
      <c r="AR3" s="424"/>
    </row>
    <row r="4" spans="1:44" ht="23.25" hidden="1" customHeight="1">
      <c r="A4" s="1284"/>
      <c r="B4" s="1284"/>
      <c r="C4" s="1284"/>
      <c r="D4" s="1284"/>
      <c r="E4" s="3909"/>
      <c r="F4" s="3909"/>
      <c r="G4" s="3908">
        <v>1</v>
      </c>
      <c r="H4" s="1284"/>
      <c r="I4" s="1284"/>
      <c r="J4" s="1284"/>
      <c r="K4" s="1284"/>
      <c r="L4" s="1285"/>
      <c r="M4" s="1286"/>
      <c r="N4" s="1286"/>
      <c r="O4" s="1286"/>
      <c r="P4" s="275"/>
      <c r="Q4" s="273"/>
      <c r="R4" s="274"/>
      <c r="S4" s="1258" t="e">
        <f>INDEX(PT_DIFFERENTIATION_NUM_CS,MATCH(C4,PT_DIFFERENTIATION_CS_ID,0))</f>
        <v>#N/A</v>
      </c>
      <c r="T4" s="225" t="s">
        <v>430</v>
      </c>
      <c r="U4" s="214"/>
      <c r="V4" s="3894"/>
      <c r="W4" s="3895"/>
      <c r="X4" s="3895"/>
      <c r="Y4" s="3895"/>
      <c r="Z4" s="3895"/>
      <c r="AA4" s="3895"/>
      <c r="AB4" s="3895"/>
      <c r="AC4" s="3896"/>
      <c r="AD4" s="3894" t="e">
        <f>INDEX(PT_DIFFERENTIATION_CS,MATCH(C4,PT_DIFFERENTIATION_CS_ID,0))</f>
        <v>#N/A</v>
      </c>
      <c r="AE4" s="3895"/>
      <c r="AF4" s="3895"/>
      <c r="AG4" s="3895"/>
      <c r="AH4" s="3895"/>
      <c r="AI4" s="3895"/>
      <c r="AJ4" s="3895"/>
      <c r="AK4" s="3895"/>
      <c r="AL4" s="3896"/>
      <c r="AM4" s="1182" t="s">
        <v>431</v>
      </c>
      <c r="AO4" s="424"/>
      <c r="AP4" s="424" t="str">
        <f t="shared" si="0"/>
        <v xml:space="preserve">Наименование системы теплоснабжения </v>
      </c>
      <c r="AQ4" s="424"/>
      <c r="AR4" s="424"/>
    </row>
    <row r="5" spans="1:44" ht="21" hidden="1" customHeight="1">
      <c r="A5" s="1284"/>
      <c r="B5" s="1284"/>
      <c r="C5" s="1284"/>
      <c r="D5" s="1284"/>
      <c r="E5" s="3909"/>
      <c r="F5" s="3909"/>
      <c r="G5" s="3909"/>
      <c r="H5" s="3908">
        <v>1</v>
      </c>
      <c r="I5" s="1284"/>
      <c r="J5" s="1284"/>
      <c r="K5" s="1284"/>
      <c r="L5" s="1285"/>
      <c r="M5" s="1286"/>
      <c r="N5" s="1286"/>
      <c r="O5" s="1286"/>
      <c r="P5" s="275"/>
      <c r="Q5" s="273"/>
      <c r="R5" s="274"/>
      <c r="S5" s="1258" t="e">
        <f>INDEX(PT_DIFFERENTIATION_NUM_IST_TE,MATCH(D5,PT_DIFFERENTIATION_IST_TE_ID,0))</f>
        <v>#N/A</v>
      </c>
      <c r="T5" s="226" t="s">
        <v>432</v>
      </c>
      <c r="U5" s="214"/>
      <c r="V5" s="3894"/>
      <c r="W5" s="3895"/>
      <c r="X5" s="3895"/>
      <c r="Y5" s="3895"/>
      <c r="Z5" s="3895"/>
      <c r="AA5" s="3895"/>
      <c r="AB5" s="3895"/>
      <c r="AC5" s="3896"/>
      <c r="AD5" s="3894" t="e">
        <f>INDEX(PT_DIFFERENTIATION_IST_TE,MATCH(D5,PT_DIFFERENTIATION_IST_TE_ID,0))</f>
        <v>#N/A</v>
      </c>
      <c r="AE5" s="3895"/>
      <c r="AF5" s="3895"/>
      <c r="AG5" s="3895"/>
      <c r="AH5" s="3895"/>
      <c r="AI5" s="3895"/>
      <c r="AJ5" s="3895"/>
      <c r="AK5" s="3895"/>
      <c r="AL5" s="3896"/>
      <c r="AM5" s="1182" t="s">
        <v>433</v>
      </c>
      <c r="AO5" s="424"/>
      <c r="AP5" s="424" t="str">
        <f t="shared" si="0"/>
        <v xml:space="preserve">Источник тепловой энергии  </v>
      </c>
      <c r="AQ5" s="424"/>
      <c r="AR5" s="424"/>
    </row>
    <row r="6" spans="1:44" ht="14.25" hidden="1" customHeight="1">
      <c r="A6" s="1284"/>
      <c r="B6" s="1284"/>
      <c r="C6" s="1284"/>
      <c r="D6" s="1284"/>
      <c r="E6" s="3909"/>
      <c r="F6" s="3909"/>
      <c r="G6" s="3909"/>
      <c r="H6" s="3909"/>
      <c r="I6" s="3906" t="e">
        <f>S5&amp;".1"</f>
        <v>#N/A</v>
      </c>
      <c r="J6" s="1284"/>
      <c r="K6" s="1284"/>
      <c r="L6" s="1285" t="s">
        <v>434</v>
      </c>
      <c r="M6" s="460"/>
      <c r="P6" s="3907">
        <v>1</v>
      </c>
      <c r="Q6" s="1253"/>
      <c r="R6" s="277"/>
      <c r="S6" s="953"/>
      <c r="T6" s="1304"/>
      <c r="U6" s="1305"/>
      <c r="V6" s="3935"/>
      <c r="W6" s="3936"/>
      <c r="X6" s="3936"/>
      <c r="Y6" s="3936"/>
      <c r="Z6" s="3936"/>
      <c r="AA6" s="3936"/>
      <c r="AB6" s="3936"/>
      <c r="AC6" s="3937"/>
      <c r="AD6" s="3935"/>
      <c r="AE6" s="3936"/>
      <c r="AF6" s="3936"/>
      <c r="AG6" s="3936"/>
      <c r="AH6" s="3936"/>
      <c r="AI6" s="3936"/>
      <c r="AJ6" s="3936"/>
      <c r="AK6" s="3936"/>
      <c r="AL6" s="3937"/>
      <c r="AM6" s="1306"/>
      <c r="AO6" s="424"/>
      <c r="AP6" s="424" t="str">
        <f t="shared" si="0"/>
        <v/>
      </c>
      <c r="AQ6" s="424"/>
      <c r="AR6" s="424"/>
    </row>
    <row r="7" spans="1:44" ht="21" hidden="1" customHeight="1">
      <c r="A7" s="1284"/>
      <c r="B7" s="1284"/>
      <c r="C7" s="1284"/>
      <c r="D7" s="1284"/>
      <c r="E7" s="3909"/>
      <c r="F7" s="3909"/>
      <c r="G7" s="3909"/>
      <c r="H7" s="3909"/>
      <c r="I7" s="3929"/>
      <c r="J7" s="3906" t="e">
        <f>I6&amp;".1"</f>
        <v>#N/A</v>
      </c>
      <c r="K7" s="1284"/>
      <c r="L7" s="1285" t="s">
        <v>437</v>
      </c>
      <c r="M7" s="460"/>
      <c r="N7" s="1287"/>
      <c r="P7" s="3907"/>
      <c r="Q7" s="3907">
        <v>1</v>
      </c>
      <c r="R7" s="278"/>
      <c r="S7" s="1258" t="e">
        <f>$J7</f>
        <v>#N/A</v>
      </c>
      <c r="T7" s="201" t="s">
        <v>438</v>
      </c>
      <c r="U7" s="214"/>
      <c r="V7" s="3897"/>
      <c r="W7" s="3898"/>
      <c r="X7" s="3898"/>
      <c r="Y7" s="3898"/>
      <c r="Z7" s="3898"/>
      <c r="AA7" s="3898"/>
      <c r="AB7" s="3898"/>
      <c r="AC7" s="3899"/>
      <c r="AD7" s="3897"/>
      <c r="AE7" s="3898"/>
      <c r="AF7" s="3898"/>
      <c r="AG7" s="3898"/>
      <c r="AH7" s="3898"/>
      <c r="AI7" s="3898"/>
      <c r="AJ7" s="3898"/>
      <c r="AK7" s="3898"/>
      <c r="AL7" s="3899"/>
      <c r="AM7" s="1182" t="s">
        <v>439</v>
      </c>
      <c r="AO7" s="424"/>
      <c r="AP7" s="424" t="str">
        <f t="shared" si="0"/>
        <v>Группа потребителей</v>
      </c>
      <c r="AQ7" s="424"/>
      <c r="AR7" s="424"/>
    </row>
    <row r="8" spans="1:44" ht="21" hidden="1" customHeight="1">
      <c r="A8" s="1284"/>
      <c r="B8" s="1284"/>
      <c r="C8" s="1284"/>
      <c r="D8" s="1284"/>
      <c r="E8" s="3909"/>
      <c r="F8" s="3909"/>
      <c r="G8" s="3909"/>
      <c r="H8" s="3909"/>
      <c r="I8" s="3929"/>
      <c r="J8" s="3929"/>
      <c r="K8" s="3906" t="e">
        <f>J7&amp;".1"</f>
        <v>#N/A</v>
      </c>
      <c r="L8" s="1285" t="s">
        <v>440</v>
      </c>
      <c r="M8" s="460"/>
      <c r="N8" s="1287"/>
      <c r="O8" s="1287"/>
      <c r="P8" s="3907"/>
      <c r="Q8" s="3907"/>
      <c r="R8" s="278">
        <v>1</v>
      </c>
      <c r="S8" s="1258" t="e">
        <f>$K8</f>
        <v>#N/A</v>
      </c>
      <c r="T8" s="1269"/>
      <c r="U8" s="214"/>
      <c r="V8" s="666"/>
      <c r="W8" s="246"/>
      <c r="X8" s="666"/>
      <c r="Y8" s="1181"/>
      <c r="Z8" s="3911"/>
      <c r="AA8" s="3759" t="s">
        <v>60</v>
      </c>
      <c r="AB8" s="3911"/>
      <c r="AC8" s="3759" t="s">
        <v>60</v>
      </c>
      <c r="AD8" s="666"/>
      <c r="AE8" s="246"/>
      <c r="AF8" s="666"/>
      <c r="AG8" s="1181"/>
      <c r="AH8" s="3911"/>
      <c r="AI8" s="3759" t="s">
        <v>60</v>
      </c>
      <c r="AJ8" s="3911"/>
      <c r="AK8" s="3759" t="s">
        <v>60</v>
      </c>
      <c r="AL8" s="246"/>
      <c r="AM8" s="3903" t="s">
        <v>441</v>
      </c>
      <c r="AN8" s="435" t="e">
        <f ca="1">STRCHECKDATE(V9:AL9)</f>
        <v>#NAME?</v>
      </c>
      <c r="AO8" s="424"/>
      <c r="AP8" s="424" t="str">
        <f t="shared" si="0"/>
        <v/>
      </c>
      <c r="AQ8" s="424"/>
      <c r="AR8" s="424"/>
    </row>
    <row r="9" spans="1:44" ht="14.25" hidden="1" customHeight="1">
      <c r="A9" s="1284"/>
      <c r="B9" s="1284"/>
      <c r="C9" s="1284"/>
      <c r="D9" s="1284"/>
      <c r="E9" s="3909"/>
      <c r="F9" s="3909"/>
      <c r="G9" s="3909"/>
      <c r="H9" s="3909"/>
      <c r="I9" s="3929"/>
      <c r="J9" s="3929"/>
      <c r="K9" s="3906"/>
      <c r="L9" s="1285"/>
      <c r="M9" s="460"/>
      <c r="N9" s="1287"/>
      <c r="O9" s="1287"/>
      <c r="P9" s="3907"/>
      <c r="Q9" s="3907"/>
      <c r="R9" s="278"/>
      <c r="S9" s="1264"/>
      <c r="T9" s="214"/>
      <c r="U9" s="214"/>
      <c r="V9" s="246"/>
      <c r="W9" s="246"/>
      <c r="X9" s="246"/>
      <c r="Y9" s="250" t="str">
        <f>Z8&amp;"-"&amp;AB8</f>
        <v>-</v>
      </c>
      <c r="Z9" s="3912"/>
      <c r="AA9" s="3759"/>
      <c r="AB9" s="3912"/>
      <c r="AC9" s="3759"/>
      <c r="AD9" s="246"/>
      <c r="AE9" s="246"/>
      <c r="AF9" s="246"/>
      <c r="AG9" s="250" t="str">
        <f>AH8&amp;"-"&amp;AJ8</f>
        <v>-</v>
      </c>
      <c r="AH9" s="3912"/>
      <c r="AI9" s="3759"/>
      <c r="AJ9" s="3912"/>
      <c r="AK9" s="3759"/>
      <c r="AL9" s="246"/>
      <c r="AM9" s="3904"/>
      <c r="AO9" s="424"/>
      <c r="AP9" s="424" t="str">
        <f t="shared" si="0"/>
        <v/>
      </c>
      <c r="AQ9" s="424"/>
      <c r="AR9" s="424"/>
    </row>
    <row r="10" spans="1:44" ht="15" hidden="1" customHeight="1">
      <c r="A10" s="1284"/>
      <c r="B10" s="1284"/>
      <c r="C10" s="1284"/>
      <c r="D10" s="1284"/>
      <c r="E10" s="3909"/>
      <c r="F10" s="3909"/>
      <c r="G10" s="3909"/>
      <c r="H10" s="3909"/>
      <c r="I10" s="3929"/>
      <c r="J10" s="3906"/>
      <c r="K10" s="1284"/>
      <c r="L10" s="1285"/>
      <c r="M10" s="460"/>
      <c r="N10" s="1287"/>
      <c r="P10" s="3907"/>
      <c r="Q10" s="3907"/>
      <c r="R10" s="277"/>
      <c r="S10" s="1203"/>
      <c r="T10" s="202" t="s">
        <v>442</v>
      </c>
      <c r="U10" s="291"/>
      <c r="V10" s="291"/>
      <c r="W10" s="291"/>
      <c r="X10" s="291"/>
      <c r="Y10" s="291"/>
      <c r="Z10" s="291"/>
      <c r="AA10" s="291"/>
      <c r="AB10" s="291"/>
      <c r="AC10" s="291"/>
      <c r="AD10" s="291"/>
      <c r="AE10" s="291"/>
      <c r="AF10" s="291"/>
      <c r="AG10" s="291"/>
      <c r="AH10" s="291"/>
      <c r="AI10" s="291"/>
      <c r="AJ10" s="291"/>
      <c r="AK10" s="291"/>
      <c r="AL10" s="245"/>
      <c r="AM10" s="3905"/>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3909"/>
      <c r="F11" s="3909"/>
      <c r="G11" s="3909"/>
      <c r="H11" s="3909"/>
      <c r="I11" s="3906"/>
      <c r="J11" s="1284"/>
      <c r="K11" s="1284"/>
      <c r="L11" s="1285"/>
      <c r="M11" s="460"/>
      <c r="P11" s="3907"/>
      <c r="Q11" s="1253"/>
      <c r="R11" s="277"/>
      <c r="S11" s="1203"/>
      <c r="T11" s="288" t="s">
        <v>443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3909"/>
      <c r="F12" s="3909"/>
      <c r="G12" s="3909"/>
      <c r="H12" s="3908"/>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3909"/>
      <c r="F13" s="3909"/>
      <c r="G13" s="3908"/>
      <c r="H13" s="1237"/>
      <c r="I13" s="1237"/>
      <c r="J13" s="1237"/>
      <c r="K13" s="1237"/>
      <c r="L13" s="1261"/>
      <c r="M13" s="1238"/>
      <c r="N13" s="1238"/>
      <c r="P13" s="1239"/>
      <c r="Q13" s="1240"/>
      <c r="R13" s="1239"/>
      <c r="S13" s="1241"/>
      <c r="T13" s="1242" t="s">
        <v>445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3909"/>
      <c r="F14" s="3908"/>
      <c r="G14" s="1237"/>
      <c r="H14" s="1237"/>
      <c r="I14" s="1237"/>
      <c r="J14" s="1237"/>
      <c r="K14" s="1237"/>
      <c r="L14" s="1261"/>
      <c r="M14" s="1244"/>
      <c r="N14" s="1244"/>
      <c r="P14" s="1239"/>
      <c r="Q14" s="1240"/>
      <c r="R14" s="1239"/>
      <c r="S14" s="1245"/>
      <c r="T14" s="1246" t="s">
        <v>240</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3908"/>
      <c r="F15" s="1237"/>
      <c r="G15" s="1237"/>
      <c r="H15" s="1237"/>
      <c r="I15" s="1237"/>
      <c r="J15" s="1237"/>
      <c r="K15" s="1237"/>
      <c r="L15" s="1261"/>
      <c r="M15" s="1244"/>
      <c r="N15" s="1244"/>
      <c r="P15" s="1239"/>
      <c r="Q15" s="1240"/>
      <c r="R15" s="1239"/>
      <c r="S15" s="1245"/>
      <c r="T15" s="1248" t="s">
        <v>241</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3913"/>
      <c r="AI17" s="3914" t="s">
        <v>60</v>
      </c>
      <c r="AJ17" s="3913"/>
      <c r="AK17" s="3914" t="s">
        <v>60</v>
      </c>
    </row>
    <row r="18" spans="1:44" ht="14.25" hidden="1" customHeight="1">
      <c r="AD18" s="1281"/>
      <c r="AE18" s="1281"/>
      <c r="AF18" s="1281"/>
      <c r="AG18" s="250" t="str">
        <f>AH17&amp;"-"&amp;AJ17</f>
        <v>-</v>
      </c>
      <c r="AH18" s="3914"/>
      <c r="AI18" s="3914"/>
      <c r="AJ18" s="3914"/>
      <c r="AK18" s="3914"/>
    </row>
    <row r="19" spans="1:44" ht="14.25" hidden="1" customHeight="1">
      <c r="AK19" s="249"/>
    </row>
    <row r="20" spans="1:44" s="1287" customFormat="1" ht="22.5" hidden="1" customHeight="1">
      <c r="L20" s="1251"/>
      <c r="M20" s="1283"/>
      <c r="N20" s="1283"/>
      <c r="O20" s="1288" t="s">
        <v>446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447</v>
      </c>
      <c r="P22" s="1283"/>
      <c r="Q22" s="1292"/>
      <c r="R22" s="1292"/>
      <c r="S22" s="646"/>
      <c r="T22" s="1065" t="s">
        <v>448</v>
      </c>
      <c r="AA22" s="104" t="s">
        <v>449</v>
      </c>
      <c r="AC22" s="104" t="s">
        <v>450</v>
      </c>
      <c r="AD22" s="1065" t="s">
        <v>448</v>
      </c>
      <c r="AI22" s="104" t="s">
        <v>451</v>
      </c>
      <c r="AK22" s="104" t="s">
        <v>450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38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92"/>
      <c r="U26" s="3892"/>
      <c r="V26" s="3892"/>
      <c r="W26" s="3892"/>
      <c r="X26" s="3892"/>
      <c r="Y26" s="3892"/>
      <c r="Z26" s="3892"/>
      <c r="AA26" s="3892"/>
      <c r="AB26" s="3892"/>
      <c r="AC26" s="3892"/>
      <c r="AD26" s="3892"/>
      <c r="AE26" s="3892"/>
      <c r="AF26" s="3892"/>
      <c r="AG26" s="3892"/>
      <c r="AH26" s="3892"/>
      <c r="AI26" s="3892"/>
      <c r="AJ26" s="3892"/>
      <c r="AK26" s="1157"/>
    </row>
    <row r="27" spans="1:44" ht="14.25" customHeight="1">
      <c r="Q27" s="300"/>
      <c r="R27" s="300"/>
      <c r="S27" s="3839" t="str">
        <f>IF(org=0,"Не определено",org)</f>
        <v>ГУП СК "Ставрополькрайводоканал"</v>
      </c>
      <c r="T27" s="3839"/>
      <c r="U27" s="3839"/>
      <c r="V27" s="3839"/>
      <c r="W27" s="3839"/>
      <c r="X27" s="3839"/>
      <c r="Y27" s="3839"/>
      <c r="Z27" s="3839"/>
      <c r="AA27" s="3839"/>
      <c r="AB27" s="3839"/>
      <c r="AC27" s="3839"/>
      <c r="AD27" s="3839"/>
      <c r="AE27" s="3839"/>
      <c r="AF27" s="3839"/>
      <c r="AG27" s="3839"/>
      <c r="AH27" s="3839"/>
      <c r="AI27" s="3839"/>
      <c r="AJ27" s="383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3900" t="s">
        <v>38</v>
      </c>
      <c r="T29" s="3900"/>
      <c r="U29" s="1293"/>
      <c r="V29" s="3901" t="str">
        <f>IF(TITLE_NAME_OR_PR_CHANGE="",IF(TITLE_NAME_OR_PR="","",TITLE_NAME_OR_PR),TITLE_NAME_OR_PR_CHANGE)</f>
        <v>Региональная тарифная комиссия Ставропольского края</v>
      </c>
      <c r="W29" s="3901"/>
      <c r="X29" s="3901"/>
      <c r="Y29" s="3901"/>
      <c r="Z29" s="3901"/>
      <c r="AA29" s="3901"/>
      <c r="AB29" s="3901"/>
      <c r="AC29" s="248"/>
      <c r="AD29" s="3901" t="str">
        <f>IF(TITLE_NAME_OR_PR_CHANGE="",IF(TITLE_NAME_OR_PR="","",TITLE_NAME_OR_PR),TITLE_NAME_OR_PR_CHANGE)</f>
        <v>Региональная тарифная комиссия Ставропольского края</v>
      </c>
      <c r="AE29" s="3901"/>
      <c r="AF29" s="3901"/>
      <c r="AG29" s="3901"/>
      <c r="AH29" s="3901"/>
      <c r="AI29" s="3901"/>
      <c r="AJ29" s="3901"/>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3900" t="s">
        <v>452</v>
      </c>
      <c r="T30" s="3900"/>
      <c r="U30" s="1293"/>
      <c r="V30" s="3910">
        <f>IF(TITLE_DATE_PR_CHANGE="",IF(TITLE_DATE_PR="","",TITLE_DATE_PR),TITLE_DATE_PR_CHANGE)</f>
        <v>45278</v>
      </c>
      <c r="W30" s="3910"/>
      <c r="X30" s="3910"/>
      <c r="Y30" s="3910"/>
      <c r="Z30" s="3910"/>
      <c r="AA30" s="3910"/>
      <c r="AB30" s="3910"/>
      <c r="AC30" s="248"/>
      <c r="AD30" s="3910">
        <f>IF(TITLE_DATE_PR_CHANGE="",IF(TITLE_DATE_PR="","",TITLE_DATE_PR),TITLE_DATE_PR_CHANGE)</f>
        <v>45278</v>
      </c>
      <c r="AE30" s="3910"/>
      <c r="AF30" s="3910"/>
      <c r="AG30" s="3910"/>
      <c r="AH30" s="3910"/>
      <c r="AI30" s="3910"/>
      <c r="AJ30" s="3910"/>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3900" t="s">
        <v>453</v>
      </c>
      <c r="T31" s="3900"/>
      <c r="U31" s="1293"/>
      <c r="V31" s="3901" t="str">
        <f>IF(TITLE_NUMBER_PR_CHANGE="",IF(TITLE_NUMBER_PR="","",TITLE_NUMBER_PR),TITLE_NUMBER_PR_CHANGE)</f>
        <v>79/2</v>
      </c>
      <c r="W31" s="3901"/>
      <c r="X31" s="3901"/>
      <c r="Y31" s="3901"/>
      <c r="Z31" s="3901"/>
      <c r="AA31" s="3901"/>
      <c r="AB31" s="3901"/>
      <c r="AC31" s="248"/>
      <c r="AD31" s="3901" t="str">
        <f>IF(TITLE_NUMBER_PR_CHANGE="",IF(TITLE_NUMBER_PR="","",TITLE_NUMBER_PR),TITLE_NUMBER_PR_CHANGE)</f>
        <v>79/2</v>
      </c>
      <c r="AE31" s="3901"/>
      <c r="AF31" s="3901"/>
      <c r="AG31" s="3901"/>
      <c r="AH31" s="3901"/>
      <c r="AI31" s="3901"/>
      <c r="AJ31" s="3901"/>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3900" t="s">
        <v>40</v>
      </c>
      <c r="T32" s="3900"/>
      <c r="U32" s="1293"/>
      <c r="V32" s="3901" t="str">
        <f>IF(TITLE_IST_PUB_CHANGE="",IF(TITLE_IST_PUB="","",TITLE_IST_PUB),TITLE_IST_PUB_CHANGE)</f>
        <v>http://pravo.stavregion.ru/</v>
      </c>
      <c r="W32" s="3901"/>
      <c r="X32" s="3901"/>
      <c r="Y32" s="3901"/>
      <c r="Z32" s="3901"/>
      <c r="AA32" s="3901"/>
      <c r="AB32" s="3901"/>
      <c r="AC32" s="248"/>
      <c r="AD32" s="3901" t="str">
        <f>IF(TITLE_IST_PUB_CHANGE="",IF(TITLE_IST_PUB="","",TITLE_IST_PUB),TITLE_IST_PUB_CHANGE)</f>
        <v>http://pravo.stavregion.ru/</v>
      </c>
      <c r="AE32" s="3901"/>
      <c r="AF32" s="3901"/>
      <c r="AG32" s="3901"/>
      <c r="AH32" s="3901"/>
      <c r="AI32" s="3901"/>
      <c r="AJ32" s="3901"/>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3900" t="s">
        <v>454</v>
      </c>
      <c r="T34" s="3900"/>
      <c r="U34" s="1293"/>
      <c r="V34" s="3910">
        <f>IF(TITLE_DATE_PR_CHANGE="",IF(TITLE_DATE_PR="","",TITLE_DATE_PR),TITLE_DATE_PR_CHANGE)</f>
        <v>45278</v>
      </c>
      <c r="W34" s="3910"/>
      <c r="X34" s="3910"/>
      <c r="Y34" s="3910"/>
      <c r="Z34" s="3910"/>
      <c r="AA34" s="3910"/>
      <c r="AB34" s="3910"/>
      <c r="AC34" s="248"/>
      <c r="AD34" s="3910">
        <f>IF(TITLE_DATE_PR_CHANGE="",IF(TITLE_DATE_PR="","",TITLE_DATE_PR),TITLE_DATE_PR_CHANGE)</f>
        <v>45278</v>
      </c>
      <c r="AE34" s="3910"/>
      <c r="AF34" s="3910"/>
      <c r="AG34" s="3910"/>
      <c r="AH34" s="3910"/>
      <c r="AI34" s="3910"/>
      <c r="AJ34" s="3910"/>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3900" t="s">
        <v>455</v>
      </c>
      <c r="T35" s="3900"/>
      <c r="U35" s="1293"/>
      <c r="V35" s="3901" t="str">
        <f>IF(TITLE_NUMBER_PR_CHANGE="",IF(TITLE_NUMBER_PR="","",TITLE_NUMBER_PR),TITLE_NUMBER_PR_CHANGE)</f>
        <v>79/2</v>
      </c>
      <c r="W35" s="3901"/>
      <c r="X35" s="3901"/>
      <c r="Y35" s="3901"/>
      <c r="Z35" s="3901"/>
      <c r="AA35" s="3901"/>
      <c r="AB35" s="3901"/>
      <c r="AC35" s="248"/>
      <c r="AD35" s="3901" t="str">
        <f>IF(TITLE_NUMBER_PR_CHANGE="",IF(TITLE_NUMBER_PR="","",TITLE_NUMBER_PR),TITLE_NUMBER_PR_CHANGE)</f>
        <v>79/2</v>
      </c>
      <c r="AE35" s="3901"/>
      <c r="AF35" s="3901"/>
      <c r="AG35" s="3901"/>
      <c r="AH35" s="3901"/>
      <c r="AI35" s="3901"/>
      <c r="AJ35" s="3901"/>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456</v>
      </c>
      <c r="AD36" s="248"/>
      <c r="AE36" s="248"/>
      <c r="AF36" s="248"/>
      <c r="AG36" s="248"/>
      <c r="AH36" s="248"/>
      <c r="AI36" s="248"/>
      <c r="AJ36" s="248"/>
      <c r="AK36" s="194" t="s">
        <v>456</v>
      </c>
      <c r="AN36" s="292"/>
      <c r="AO36" s="292"/>
      <c r="AP36" s="292"/>
      <c r="AQ36" s="292"/>
      <c r="AR36" s="292"/>
    </row>
    <row r="37" spans="1:44" ht="14.25" customHeight="1">
      <c r="Q37" s="300"/>
      <c r="R37" s="300"/>
      <c r="S37" s="1200"/>
      <c r="T37" s="286"/>
      <c r="U37" s="1158"/>
      <c r="V37" s="3902"/>
      <c r="W37" s="3902"/>
      <c r="X37" s="3902"/>
      <c r="Y37" s="3902"/>
      <c r="Z37" s="3902"/>
      <c r="AA37" s="3902"/>
      <c r="AB37" s="3902"/>
      <c r="AC37" s="3902"/>
      <c r="AD37" s="3902"/>
      <c r="AE37" s="3902"/>
      <c r="AF37" s="3902"/>
      <c r="AG37" s="3902"/>
      <c r="AH37" s="3902"/>
      <c r="AI37" s="3902"/>
      <c r="AJ37" s="3902"/>
      <c r="AK37" s="3902"/>
    </row>
    <row r="38" spans="1:44" ht="14.25" customHeight="1">
      <c r="Q38" s="300"/>
      <c r="R38" s="300"/>
      <c r="S38" s="3778" t="s">
        <v>329</v>
      </c>
      <c r="T38" s="3778"/>
      <c r="U38" s="3778"/>
      <c r="V38" s="3778"/>
      <c r="W38" s="3778"/>
      <c r="X38" s="3778"/>
      <c r="Y38" s="3778"/>
      <c r="Z38" s="3778"/>
      <c r="AA38" s="3778"/>
      <c r="AB38" s="3778"/>
      <c r="AC38" s="3778"/>
      <c r="AD38" s="3778"/>
      <c r="AE38" s="3778"/>
      <c r="AF38" s="3778"/>
      <c r="AG38" s="3778"/>
      <c r="AH38" s="3778"/>
      <c r="AI38" s="3778"/>
      <c r="AJ38" s="3778"/>
      <c r="AK38" s="3778"/>
      <c r="AL38" s="3778"/>
      <c r="AM38" s="3778" t="s">
        <v>330</v>
      </c>
    </row>
    <row r="39" spans="1:44" ht="14.25" customHeight="1">
      <c r="Q39" s="300"/>
      <c r="R39" s="300"/>
      <c r="S39" s="3916" t="s">
        <v>86</v>
      </c>
      <c r="T39" s="3868" t="s">
        <v>457</v>
      </c>
      <c r="U39" s="215"/>
      <c r="V39" s="3917" t="s">
        <v>458</v>
      </c>
      <c r="W39" s="3918"/>
      <c r="X39" s="3918"/>
      <c r="Y39" s="3918"/>
      <c r="Z39" s="3918"/>
      <c r="AA39" s="3918"/>
      <c r="AB39" s="3919"/>
      <c r="AC39" s="3920" t="s">
        <v>459</v>
      </c>
      <c r="AD39" s="3917" t="s">
        <v>458</v>
      </c>
      <c r="AE39" s="3918"/>
      <c r="AF39" s="3918"/>
      <c r="AG39" s="3918"/>
      <c r="AH39" s="3918"/>
      <c r="AI39" s="3918"/>
      <c r="AJ39" s="3919"/>
      <c r="AK39" s="3920" t="s">
        <v>460</v>
      </c>
      <c r="AL39" s="3923" t="s">
        <v>461</v>
      </c>
      <c r="AM39" s="3778"/>
    </row>
    <row r="40" spans="1:44" ht="33.75" customHeight="1">
      <c r="Q40" s="300"/>
      <c r="R40" s="300"/>
      <c r="S40" s="3916"/>
      <c r="T40" s="3868"/>
      <c r="U40" s="942"/>
      <c r="V40" s="3838" t="s">
        <v>462</v>
      </c>
      <c r="W40" s="3926"/>
      <c r="X40" s="3749" t="s">
        <v>464</v>
      </c>
      <c r="Y40" s="3748"/>
      <c r="Z40" s="3749" t="s">
        <v>465</v>
      </c>
      <c r="AA40" s="3754"/>
      <c r="AB40" s="3748"/>
      <c r="AC40" s="3921"/>
      <c r="AD40" s="3838" t="s">
        <v>462</v>
      </c>
      <c r="AE40" s="3926"/>
      <c r="AF40" s="3749" t="s">
        <v>464</v>
      </c>
      <c r="AG40" s="3748"/>
      <c r="AH40" s="3749" t="s">
        <v>465</v>
      </c>
      <c r="AI40" s="3754"/>
      <c r="AJ40" s="3748"/>
      <c r="AK40" s="3921"/>
      <c r="AL40" s="3924"/>
      <c r="AM40" s="3778"/>
    </row>
    <row r="41" spans="1:44" ht="33.75" customHeight="1">
      <c r="A41" s="1291"/>
      <c r="B41" s="1291" t="s">
        <v>153</v>
      </c>
      <c r="C41" s="1291" t="s">
        <v>154</v>
      </c>
      <c r="D41" s="1291" t="s">
        <v>155</v>
      </c>
      <c r="E41" s="1285" t="s">
        <v>466</v>
      </c>
      <c r="F41" s="1285" t="s">
        <v>467</v>
      </c>
      <c r="G41" s="1285" t="s">
        <v>468</v>
      </c>
      <c r="H41" s="1285" t="s">
        <v>469</v>
      </c>
      <c r="I41" s="1285" t="s">
        <v>470</v>
      </c>
      <c r="J41" s="1285" t="s">
        <v>471</v>
      </c>
      <c r="K41" s="1285" t="s">
        <v>472</v>
      </c>
      <c r="L41" s="1285" t="s">
        <v>447</v>
      </c>
      <c r="Q41" s="300"/>
      <c r="R41" s="300"/>
      <c r="S41" s="3916"/>
      <c r="T41" s="3868"/>
      <c r="U41" s="216"/>
      <c r="V41" s="3887"/>
      <c r="W41" s="3927"/>
      <c r="X41" s="1133" t="s">
        <v>473</v>
      </c>
      <c r="Y41" s="1133" t="s">
        <v>474</v>
      </c>
      <c r="Z41" s="1260" t="s">
        <v>475</v>
      </c>
      <c r="AA41" s="3876" t="s">
        <v>476</v>
      </c>
      <c r="AB41" s="3878"/>
      <c r="AC41" s="3922"/>
      <c r="AD41" s="3887"/>
      <c r="AE41" s="3927"/>
      <c r="AF41" s="1133" t="s">
        <v>473</v>
      </c>
      <c r="AG41" s="1133" t="s">
        <v>474</v>
      </c>
      <c r="AH41" s="1260" t="s">
        <v>475</v>
      </c>
      <c r="AI41" s="3876" t="s">
        <v>476</v>
      </c>
      <c r="AJ41" s="3878"/>
      <c r="AK41" s="3922"/>
      <c r="AL41" s="3925"/>
      <c r="AM41" s="377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129</v>
      </c>
      <c r="T42" s="1177" t="s">
        <v>102</v>
      </c>
      <c r="U42" s="1159" t="str">
        <f ca="1">OFFSET(U42,0,-1)</f>
        <v>2</v>
      </c>
      <c r="V42" s="1257">
        <f ca="1">OFFSET(V42,0,-1)+1</f>
        <v>3</v>
      </c>
      <c r="W42" s="1257"/>
      <c r="X42" s="1257">
        <f ca="1">OFFSET(X42,0,-1)+1</f>
        <v>1</v>
      </c>
      <c r="Y42" s="1257">
        <f ca="1">OFFSET(Y42,0,-1)+1</f>
        <v>2</v>
      </c>
      <c r="Z42" s="1257">
        <f ca="1">OFFSET(Z42,0,-1)+1</f>
        <v>3</v>
      </c>
      <c r="AA42" s="3915">
        <f ca="1">OFFSET(AA42,0,-1)+1</f>
        <v>4</v>
      </c>
      <c r="AB42" s="3915"/>
      <c r="AC42" s="1257">
        <f ca="1">OFFSET(AC42,0,-2)+1</f>
        <v>5</v>
      </c>
      <c r="AD42" s="1257">
        <f ca="1">OFFSET(AD42,0,-1)+1</f>
        <v>6</v>
      </c>
      <c r="AE42" s="1257"/>
      <c r="AF42" s="1257">
        <f ca="1">OFFSET(AF42,0,-1)+1</f>
        <v>1</v>
      </c>
      <c r="AG42" s="1257">
        <f ca="1">OFFSET(AG42,0,-1)+1</f>
        <v>2</v>
      </c>
      <c r="AH42" s="1257">
        <f ca="1">OFFSET(AH42,0,-1)+1</f>
        <v>3</v>
      </c>
      <c r="AI42" s="3915">
        <f ca="1">OFFSET(AI42,0,-1)+1</f>
        <v>4</v>
      </c>
      <c r="AJ42" s="3915"/>
      <c r="AK42" s="1257">
        <f ca="1">OFFSET(AK42,0,-2)+1</f>
        <v>5</v>
      </c>
      <c r="AL42" s="1159">
        <f ca="1">OFFSET(AL42,0,-1)</f>
        <v>5</v>
      </c>
      <c r="AM42" s="1257">
        <f ca="1">OFFSET(AM42,0,-1)+1</f>
        <v>6</v>
      </c>
      <c r="AN42" s="435"/>
      <c r="AO42" s="435"/>
      <c r="AP42" s="435"/>
      <c r="AQ42" s="435"/>
      <c r="AR42" s="435"/>
    </row>
    <row r="43" spans="1:44" ht="21" customHeight="1">
      <c r="A43" s="1284" t="s">
        <v>204</v>
      </c>
      <c r="B43" s="1284"/>
      <c r="C43" s="1284"/>
      <c r="D43" s="1284"/>
      <c r="E43" s="3908">
        <v>1</v>
      </c>
      <c r="F43" s="1284"/>
      <c r="G43" s="1284"/>
      <c r="H43" s="1284"/>
      <c r="I43" s="1284"/>
      <c r="J43" s="1284"/>
      <c r="K43" s="1284"/>
      <c r="L43" s="1285"/>
      <c r="M43" s="1286"/>
      <c r="N43" s="1286"/>
      <c r="O43" s="1286"/>
      <c r="P43" s="282"/>
      <c r="Q43" s="281"/>
      <c r="R43" s="276"/>
      <c r="S43" s="1258">
        <f>INDEX(PT_DIFFERENTIATION_NUM_NTAR,MATCH(A43,PT_DIFFERENTIATION_NTAR_ID,0))</f>
        <v>0</v>
      </c>
      <c r="T43" s="212" t="s">
        <v>141</v>
      </c>
      <c r="U43" s="214"/>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204</v>
      </c>
      <c r="B44" s="1284" t="s">
        <v>205</v>
      </c>
      <c r="C44" s="1284"/>
      <c r="D44" s="1284"/>
      <c r="E44" s="3909"/>
      <c r="F44" s="3908">
        <v>1</v>
      </c>
      <c r="G44" s="1284"/>
      <c r="H44" s="1284"/>
      <c r="I44" s="1284"/>
      <c r="J44" s="1284"/>
      <c r="K44" s="1284"/>
      <c r="L44" s="1285"/>
      <c r="M44" s="1286"/>
      <c r="N44" s="1286"/>
      <c r="O44" s="1286"/>
      <c r="P44" s="1254"/>
      <c r="Q44" s="273"/>
      <c r="R44" s="274"/>
      <c r="S44" s="1258" t="str">
        <f>INDEX(PT_DIFFERENTIATION_NUM_TER,MATCH(B44,PT_DIFFERENTIATION_TER_ID,0))</f>
        <v>.</v>
      </c>
      <c r="T44" s="224" t="s">
        <v>428</v>
      </c>
      <c r="U44" s="214"/>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182" t="s">
        <v>429</v>
      </c>
      <c r="AO44" s="424"/>
      <c r="AP44" s="424" t="str">
        <f t="shared" si="1"/>
        <v>Территория действия тарифа</v>
      </c>
      <c r="AQ44" s="424"/>
      <c r="AR44" s="424"/>
    </row>
    <row r="45" spans="1:44" ht="23.25" customHeight="1">
      <c r="A45" s="1284" t="s">
        <v>204</v>
      </c>
      <c r="B45" s="1284" t="s">
        <v>205</v>
      </c>
      <c r="C45" s="1284" t="s">
        <v>206</v>
      </c>
      <c r="D45" s="1284"/>
      <c r="E45" s="3909"/>
      <c r="F45" s="3909"/>
      <c r="G45" s="3908">
        <v>1</v>
      </c>
      <c r="H45" s="1284"/>
      <c r="I45" s="1284"/>
      <c r="J45" s="1284"/>
      <c r="K45" s="1284"/>
      <c r="L45" s="1285"/>
      <c r="M45" s="1286"/>
      <c r="N45" s="1286"/>
      <c r="O45" s="1286"/>
      <c r="P45" s="275"/>
      <c r="Q45" s="273"/>
      <c r="R45" s="274"/>
      <c r="S45" s="1258" t="str">
        <f>INDEX(PT_DIFFERENTIATION_NUM_CS,MATCH(C45,PT_DIFFERENTIATION_CS_ID,0))</f>
        <v>..</v>
      </c>
      <c r="T45" s="225" t="s">
        <v>430</v>
      </c>
      <c r="U45" s="214"/>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182" t="s">
        <v>431</v>
      </c>
      <c r="AO45" s="424"/>
      <c r="AP45" s="424" t="str">
        <f t="shared" si="1"/>
        <v xml:space="preserve">Наименование системы теплоснабжения </v>
      </c>
      <c r="AQ45" s="424"/>
      <c r="AR45" s="424"/>
    </row>
    <row r="46" spans="1:44" ht="21" customHeight="1">
      <c r="A46" s="1284" t="s">
        <v>204</v>
      </c>
      <c r="B46" s="1284" t="s">
        <v>205</v>
      </c>
      <c r="C46" s="1284" t="s">
        <v>206</v>
      </c>
      <c r="D46" s="1284" t="s">
        <v>207</v>
      </c>
      <c r="E46" s="3909"/>
      <c r="F46" s="3909"/>
      <c r="G46" s="3909"/>
      <c r="H46" s="3908">
        <v>1</v>
      </c>
      <c r="I46" s="1284"/>
      <c r="J46" s="1284"/>
      <c r="K46" s="1284"/>
      <c r="L46" s="1285"/>
      <c r="M46" s="1286"/>
      <c r="N46" s="1286"/>
      <c r="O46" s="1286"/>
      <c r="P46" s="275"/>
      <c r="Q46" s="273"/>
      <c r="R46" s="274"/>
      <c r="S46" s="1258" t="str">
        <f>INDEX(PT_DIFFERENTIATION_NUM_IST_TE,MATCH(D46,PT_DIFFERENTIATION_IST_TE_ID,0))</f>
        <v>...</v>
      </c>
      <c r="T46" s="226" t="s">
        <v>432</v>
      </c>
      <c r="U46" s="214"/>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182" t="s">
        <v>433</v>
      </c>
      <c r="AO46" s="424"/>
      <c r="AP46" s="424" t="str">
        <f t="shared" si="1"/>
        <v xml:space="preserve">Источник тепловой энергии  </v>
      </c>
      <c r="AQ46" s="424"/>
      <c r="AR46" s="424"/>
    </row>
    <row r="47" spans="1:44" s="1562" customFormat="1" ht="0" hidden="1" customHeight="1">
      <c r="A47" s="1265" t="s">
        <v>204</v>
      </c>
      <c r="B47" s="1265" t="s">
        <v>205</v>
      </c>
      <c r="C47" s="1265" t="s">
        <v>206</v>
      </c>
      <c r="D47" s="1265" t="s">
        <v>207</v>
      </c>
      <c r="E47" s="3909"/>
      <c r="F47" s="3909"/>
      <c r="G47" s="3909"/>
      <c r="H47" s="3909"/>
      <c r="I47" s="3906" t="str">
        <f>S46&amp;".1"</f>
        <v>....1</v>
      </c>
      <c r="J47" s="1265"/>
      <c r="K47" s="1265"/>
      <c r="L47" s="1268" t="s">
        <v>434</v>
      </c>
      <c r="M47" s="434"/>
      <c r="N47" s="434"/>
      <c r="O47" s="434"/>
      <c r="P47" s="3907">
        <v>1</v>
      </c>
      <c r="Q47" s="1253"/>
      <c r="R47" s="277"/>
      <c r="S47" s="953"/>
      <c r="T47" s="1304"/>
      <c r="U47" s="1305"/>
      <c r="V47" s="3935"/>
      <c r="W47" s="3936"/>
      <c r="X47" s="3936"/>
      <c r="Y47" s="3936"/>
      <c r="Z47" s="3936"/>
      <c r="AA47" s="3936"/>
      <c r="AB47" s="3936"/>
      <c r="AC47" s="3937"/>
      <c r="AD47" s="3935"/>
      <c r="AE47" s="3936"/>
      <c r="AF47" s="3936"/>
      <c r="AG47" s="3936"/>
      <c r="AH47" s="3936"/>
      <c r="AI47" s="3936"/>
      <c r="AJ47" s="3936"/>
      <c r="AK47" s="3936"/>
      <c r="AL47" s="3937"/>
      <c r="AM47" s="1306"/>
      <c r="AO47" s="424"/>
      <c r="AP47" s="424" t="str">
        <f t="shared" si="1"/>
        <v/>
      </c>
      <c r="AQ47" s="424"/>
      <c r="AR47" s="424"/>
    </row>
    <row r="48" spans="1:44" ht="21" customHeight="1">
      <c r="A48" s="1284" t="s">
        <v>204</v>
      </c>
      <c r="B48" s="1284" t="s">
        <v>205</v>
      </c>
      <c r="C48" s="1284" t="s">
        <v>206</v>
      </c>
      <c r="D48" s="1284" t="s">
        <v>207</v>
      </c>
      <c r="E48" s="3909"/>
      <c r="F48" s="3909"/>
      <c r="G48" s="3909"/>
      <c r="H48" s="3909"/>
      <c r="I48" s="3929"/>
      <c r="J48" s="3906" t="str">
        <f>S46&amp;".1"</f>
        <v>....1</v>
      </c>
      <c r="K48" s="1284"/>
      <c r="L48" s="1285" t="s">
        <v>437</v>
      </c>
      <c r="P48" s="3907"/>
      <c r="Q48" s="3907">
        <v>1</v>
      </c>
      <c r="R48" s="278"/>
      <c r="S48" s="1258" t="str">
        <f>$J48</f>
        <v>....1</v>
      </c>
      <c r="T48" s="201" t="s">
        <v>438</v>
      </c>
      <c r="U48" s="214"/>
      <c r="V48" s="3897"/>
      <c r="W48" s="3898"/>
      <c r="X48" s="3898"/>
      <c r="Y48" s="3898"/>
      <c r="Z48" s="3898"/>
      <c r="AA48" s="3898"/>
      <c r="AB48" s="3898"/>
      <c r="AC48" s="3899"/>
      <c r="AD48" s="3897"/>
      <c r="AE48" s="3898"/>
      <c r="AF48" s="3898"/>
      <c r="AG48" s="3898"/>
      <c r="AH48" s="3898"/>
      <c r="AI48" s="3898"/>
      <c r="AJ48" s="3898"/>
      <c r="AK48" s="3898"/>
      <c r="AL48" s="3899"/>
      <c r="AM48" s="1182" t="s">
        <v>439</v>
      </c>
      <c r="AO48" s="424"/>
      <c r="AP48" s="424" t="str">
        <f t="shared" si="1"/>
        <v>Группа потребителей</v>
      </c>
      <c r="AQ48" s="424"/>
      <c r="AR48" s="424"/>
    </row>
    <row r="49" spans="1:44" ht="21" customHeight="1">
      <c r="A49" s="1284" t="s">
        <v>204</v>
      </c>
      <c r="B49" s="1284" t="s">
        <v>205</v>
      </c>
      <c r="C49" s="1284" t="s">
        <v>206</v>
      </c>
      <c r="D49" s="1284" t="s">
        <v>207</v>
      </c>
      <c r="E49" s="3909"/>
      <c r="F49" s="3909"/>
      <c r="G49" s="3909"/>
      <c r="H49" s="3909"/>
      <c r="I49" s="3929"/>
      <c r="J49" s="3929"/>
      <c r="K49" s="3906" t="str">
        <f>J48&amp;".1"</f>
        <v>....1.1</v>
      </c>
      <c r="L49" s="1285" t="s">
        <v>440</v>
      </c>
      <c r="P49" s="3907"/>
      <c r="Q49" s="3907"/>
      <c r="R49" s="278">
        <v>1</v>
      </c>
      <c r="S49" s="1258" t="str">
        <f>$K49</f>
        <v>....1.1</v>
      </c>
      <c r="T49" s="1269"/>
      <c r="U49" s="214"/>
      <c r="V49" s="666"/>
      <c r="W49" s="246"/>
      <c r="X49" s="666"/>
      <c r="Y49" s="1181"/>
      <c r="Z49" s="3911"/>
      <c r="AA49" s="3759" t="s">
        <v>60</v>
      </c>
      <c r="AB49" s="3911"/>
      <c r="AC49" s="3759" t="s">
        <v>60</v>
      </c>
      <c r="AD49" s="666"/>
      <c r="AE49" s="246"/>
      <c r="AF49" s="666"/>
      <c r="AG49" s="1181"/>
      <c r="AH49" s="3911"/>
      <c r="AI49" s="3759" t="s">
        <v>60</v>
      </c>
      <c r="AJ49" s="3930"/>
      <c r="AK49" s="3759" t="s">
        <v>60</v>
      </c>
      <c r="AL49" s="1270"/>
      <c r="AM49" s="3903" t="s">
        <v>478</v>
      </c>
      <c r="AN49" s="435" t="e">
        <f ca="1">STRCHECKDATE(V50:AL50)</f>
        <v>#NAME?</v>
      </c>
      <c r="AO49" s="424"/>
      <c r="AP49" s="424" t="str">
        <f t="shared" si="1"/>
        <v/>
      </c>
      <c r="AQ49" s="424"/>
      <c r="AR49" s="424"/>
    </row>
    <row r="50" spans="1:44" ht="0" hidden="1" customHeight="1">
      <c r="A50" s="1284" t="s">
        <v>204</v>
      </c>
      <c r="B50" s="1284" t="s">
        <v>205</v>
      </c>
      <c r="C50" s="1284" t="s">
        <v>206</v>
      </c>
      <c r="D50" s="1284" t="s">
        <v>207</v>
      </c>
      <c r="E50" s="3909"/>
      <c r="F50" s="3909"/>
      <c r="G50" s="3909"/>
      <c r="H50" s="3909"/>
      <c r="I50" s="3929"/>
      <c r="J50" s="3929"/>
      <c r="K50" s="3906"/>
      <c r="L50" s="1285"/>
      <c r="P50" s="3907"/>
      <c r="Q50" s="3907"/>
      <c r="R50" s="278"/>
      <c r="S50" s="1264"/>
      <c r="T50" s="214"/>
      <c r="U50" s="214"/>
      <c r="V50" s="246"/>
      <c r="W50" s="246"/>
      <c r="X50" s="246"/>
      <c r="Y50" s="250" t="str">
        <f>Z49&amp;"-"&amp;AB49</f>
        <v>-</v>
      </c>
      <c r="Z50" s="3912"/>
      <c r="AA50" s="3759"/>
      <c r="AB50" s="3912"/>
      <c r="AC50" s="3759"/>
      <c r="AD50" s="246"/>
      <c r="AE50" s="246"/>
      <c r="AF50" s="246"/>
      <c r="AG50" s="250" t="str">
        <f>AH49&amp;"-"&amp;AJ49</f>
        <v>-</v>
      </c>
      <c r="AH50" s="3912"/>
      <c r="AI50" s="3759"/>
      <c r="AJ50" s="3931"/>
      <c r="AK50" s="3759"/>
      <c r="AL50" s="1271"/>
      <c r="AM50" s="3904"/>
      <c r="AO50" s="424"/>
      <c r="AP50" s="424" t="str">
        <f t="shared" si="1"/>
        <v/>
      </c>
      <c r="AQ50" s="424"/>
      <c r="AR50" s="424"/>
    </row>
    <row r="51" spans="1:44" ht="11.25" customHeight="1">
      <c r="A51" s="1284" t="s">
        <v>204</v>
      </c>
      <c r="B51" s="1284" t="s">
        <v>205</v>
      </c>
      <c r="C51" s="1284" t="s">
        <v>206</v>
      </c>
      <c r="D51" s="1284" t="s">
        <v>207</v>
      </c>
      <c r="E51" s="3909"/>
      <c r="F51" s="3909"/>
      <c r="G51" s="3909"/>
      <c r="H51" s="3909"/>
      <c r="I51" s="3929"/>
      <c r="J51" s="3906"/>
      <c r="K51" s="1284"/>
      <c r="L51" s="1285"/>
      <c r="P51" s="3907"/>
      <c r="Q51" s="3907"/>
      <c r="R51" s="277"/>
      <c r="S51" s="1203"/>
      <c r="T51" s="202" t="s">
        <v>442</v>
      </c>
      <c r="U51" s="291"/>
      <c r="V51" s="291"/>
      <c r="W51" s="291"/>
      <c r="X51" s="291"/>
      <c r="Y51" s="291"/>
      <c r="Z51" s="291"/>
      <c r="AA51" s="291"/>
      <c r="AB51" s="291"/>
      <c r="AC51" s="291"/>
      <c r="AD51" s="291"/>
      <c r="AE51" s="291"/>
      <c r="AF51" s="291"/>
      <c r="AG51" s="291"/>
      <c r="AH51" s="291"/>
      <c r="AI51" s="291"/>
      <c r="AJ51" s="291"/>
      <c r="AK51" s="291"/>
      <c r="AL51" s="245"/>
      <c r="AM51" s="3905"/>
      <c r="AO51" s="424"/>
      <c r="AP51" s="424" t="str">
        <f t="shared" si="1"/>
        <v>Добавить вид теплоносителя (параметры теплоносителя)</v>
      </c>
      <c r="AQ51" s="424"/>
      <c r="AR51" s="424"/>
    </row>
    <row r="52" spans="1:44" ht="11.25" customHeight="1">
      <c r="A52" s="1284" t="s">
        <v>204</v>
      </c>
      <c r="B52" s="1284" t="s">
        <v>205</v>
      </c>
      <c r="C52" s="1284" t="s">
        <v>206</v>
      </c>
      <c r="D52" s="1284" t="s">
        <v>207</v>
      </c>
      <c r="E52" s="3909"/>
      <c r="F52" s="3909"/>
      <c r="G52" s="3909"/>
      <c r="H52" s="3909"/>
      <c r="I52" s="3906"/>
      <c r="J52" s="1284"/>
      <c r="K52" s="1284"/>
      <c r="L52" s="1285"/>
      <c r="P52" s="3907"/>
      <c r="Q52" s="1253"/>
      <c r="R52" s="277"/>
      <c r="S52" s="1203"/>
      <c r="T52" s="288" t="s">
        <v>443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204</v>
      </c>
      <c r="B53" s="1284" t="s">
        <v>205</v>
      </c>
      <c r="C53" s="1284" t="s">
        <v>206</v>
      </c>
      <c r="D53" s="1284" t="s">
        <v>207</v>
      </c>
      <c r="E53" s="3909"/>
      <c r="F53" s="3909"/>
      <c r="G53" s="3909"/>
      <c r="H53" s="3908"/>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204</v>
      </c>
      <c r="B54" s="1265" t="s">
        <v>205</v>
      </c>
      <c r="C54" s="1265" t="s">
        <v>206</v>
      </c>
      <c r="D54" s="1237"/>
      <c r="E54" s="3909"/>
      <c r="F54" s="3909"/>
      <c r="G54" s="3908"/>
      <c r="H54" s="1237"/>
      <c r="I54" s="1237"/>
      <c r="J54" s="1237"/>
      <c r="K54" s="1237"/>
      <c r="L54" s="1261"/>
      <c r="M54" s="1238"/>
      <c r="N54" s="1238"/>
      <c r="P54" s="1239"/>
      <c r="Q54" s="1240"/>
      <c r="R54" s="1239"/>
      <c r="S54" s="1245"/>
      <c r="T54" s="1248" t="s">
        <v>445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204</v>
      </c>
      <c r="B55" s="1265" t="s">
        <v>205</v>
      </c>
      <c r="C55" s="1237"/>
      <c r="D55" s="1237"/>
      <c r="E55" s="3909"/>
      <c r="F55" s="3908"/>
      <c r="G55" s="1237"/>
      <c r="H55" s="1237"/>
      <c r="I55" s="1237"/>
      <c r="J55" s="1237"/>
      <c r="K55" s="1237"/>
      <c r="L55" s="1261"/>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204</v>
      </c>
      <c r="B56" s="1265"/>
      <c r="C56" s="1265"/>
      <c r="D56" s="1265"/>
      <c r="E56" s="3908"/>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262</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3928"/>
      <c r="U59" s="3928"/>
      <c r="V59" s="3928"/>
      <c r="W59" s="3928"/>
      <c r="X59" s="3928"/>
      <c r="Y59" s="3928"/>
      <c r="Z59" s="3928"/>
      <c r="AA59" s="3928"/>
      <c r="AB59" s="3928"/>
      <c r="AC59" s="3928"/>
      <c r="AD59" s="3928"/>
      <c r="AE59" s="3928"/>
      <c r="AF59" s="3928"/>
      <c r="AG59" s="3928"/>
      <c r="AH59" s="3928"/>
      <c r="AI59" s="3928"/>
      <c r="AJ59" s="3928"/>
      <c r="AK59" s="3928"/>
      <c r="AL59" s="3928"/>
      <c r="AM59" s="3928"/>
    </row>
    <row r="60" spans="1:44" ht="14.25" customHeight="1">
      <c r="O60" s="460"/>
      <c r="T60" s="3928"/>
      <c r="U60" s="3928"/>
      <c r="V60" s="3928"/>
      <c r="W60" s="3928"/>
      <c r="X60" s="3928"/>
      <c r="Y60" s="3928"/>
      <c r="Z60" s="3928"/>
      <c r="AA60" s="3928"/>
      <c r="AB60" s="3928"/>
      <c r="AC60" s="3928"/>
      <c r="AD60" s="3928"/>
      <c r="AE60" s="3928"/>
      <c r="AF60" s="3928"/>
      <c r="AG60" s="3928"/>
      <c r="AH60" s="3928"/>
      <c r="AI60" s="3928"/>
      <c r="AJ60" s="3928"/>
      <c r="AK60" s="3928"/>
      <c r="AL60" s="3928"/>
      <c r="AM60" s="3928"/>
    </row>
    <row r="61" spans="1:44" ht="14.25" customHeight="1">
      <c r="O61" s="460"/>
      <c r="T61" s="3928"/>
      <c r="U61" s="3928"/>
      <c r="V61" s="3928"/>
      <c r="W61" s="3928"/>
      <c r="X61" s="3928"/>
      <c r="Y61" s="3928"/>
      <c r="Z61" s="3928"/>
      <c r="AA61" s="3928"/>
      <c r="AB61" s="3928"/>
      <c r="AC61" s="3928"/>
      <c r="AD61" s="3928"/>
      <c r="AE61" s="3928"/>
      <c r="AF61" s="3928"/>
      <c r="AG61" s="3928"/>
      <c r="AH61" s="3928"/>
      <c r="AI61" s="3928"/>
      <c r="AJ61" s="3928"/>
      <c r="AK61" s="3928"/>
      <c r="AL61" s="3928"/>
      <c r="AM61" s="3928"/>
    </row>
    <row r="62" spans="1:44" ht="14.25" customHeight="1">
      <c r="O62" s="460"/>
    </row>
    <row r="63" spans="1:44" ht="14.25" customHeight="1">
      <c r="O63" s="460"/>
      <c r="S63" s="1169"/>
      <c r="T63" s="3828"/>
      <c r="U63" s="3928"/>
      <c r="V63" s="3928"/>
      <c r="W63" s="3928"/>
      <c r="X63" s="3928"/>
      <c r="Y63" s="3928"/>
      <c r="Z63" s="3928"/>
      <c r="AA63" s="3928"/>
      <c r="AB63" s="3928"/>
      <c r="AC63" s="3928"/>
      <c r="AD63" s="3928"/>
      <c r="AE63" s="3928"/>
      <c r="AF63" s="3928"/>
      <c r="AG63" s="3928"/>
      <c r="AH63" s="3928"/>
      <c r="AI63" s="3928"/>
      <c r="AJ63" s="3928"/>
      <c r="AK63" s="3928"/>
      <c r="AL63" s="3928"/>
      <c r="AM63" s="3928"/>
    </row>
    <row r="64" spans="1:44" ht="14.25" customHeight="1">
      <c r="O64" s="460"/>
      <c r="T64" s="3928"/>
      <c r="U64" s="3928"/>
      <c r="V64" s="3928"/>
      <c r="W64" s="3928"/>
      <c r="X64" s="3928"/>
      <c r="Y64" s="3928"/>
      <c r="Z64" s="3928"/>
      <c r="AA64" s="3928"/>
      <c r="AB64" s="3928"/>
      <c r="AC64" s="3928"/>
      <c r="AD64" s="3928"/>
      <c r="AE64" s="3928"/>
      <c r="AF64" s="3928"/>
      <c r="AG64" s="3928"/>
      <c r="AH64" s="3928"/>
      <c r="AI64" s="3928"/>
      <c r="AJ64" s="3928"/>
      <c r="AK64" s="3928"/>
      <c r="AL64" s="3928"/>
      <c r="AM64" s="3928"/>
    </row>
    <row r="65" spans="20:39" ht="14.25" customHeight="1">
      <c r="T65" s="3928"/>
      <c r="U65" s="3928"/>
      <c r="V65" s="3928"/>
      <c r="W65" s="3928"/>
      <c r="X65" s="3928"/>
      <c r="Y65" s="3928"/>
      <c r="Z65" s="3928"/>
      <c r="AA65" s="3928"/>
      <c r="AB65" s="3928"/>
      <c r="AC65" s="3928"/>
      <c r="AD65" s="3928"/>
      <c r="AE65" s="3928"/>
      <c r="AF65" s="3928"/>
      <c r="AG65" s="3928"/>
      <c r="AH65" s="3928"/>
      <c r="AI65" s="3928"/>
      <c r="AJ65" s="3928"/>
      <c r="AK65" s="3928"/>
      <c r="AL65" s="3928"/>
      <c r="AM65" s="39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7" hidden="1" customWidth="1"/>
    <col min="16" max="16" width="23.42578125" style="1817" hidden="1" customWidth="1"/>
    <col min="17" max="17" width="3.7109375" style="1817" hidden="1" customWidth="1"/>
    <col min="18" max="20" width="3.7109375" style="265" customWidth="1"/>
    <col min="21" max="21" width="12.7109375" style="1820"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3938">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141</v>
      </c>
      <c r="W2" s="214"/>
      <c r="X2" s="3894"/>
      <c r="Y2" s="3895"/>
      <c r="Z2" s="3895"/>
      <c r="AA2" s="3895"/>
      <c r="AB2" s="3895"/>
      <c r="AC2" s="3895"/>
      <c r="AD2" s="3895"/>
      <c r="AE2" s="3895"/>
      <c r="AF2" s="3896"/>
      <c r="AG2" s="3894" t="e">
        <f>INDEX(PT_DIFFERENTIATION_NTAR,MATCH(A2,PT_DIFFERENTIATION_NTAR_ID,0))</f>
        <v>#N/A</v>
      </c>
      <c r="AH2" s="3895"/>
      <c r="AI2" s="3895"/>
      <c r="AJ2" s="3895"/>
      <c r="AK2" s="3895"/>
      <c r="AL2" s="3895"/>
      <c r="AM2" s="3895"/>
      <c r="AN2" s="3895"/>
      <c r="AO2" s="3895"/>
      <c r="AP2" s="3896"/>
      <c r="AQ2" s="1182" t="s">
        <v>427</v>
      </c>
      <c r="AS2" s="424"/>
      <c r="AT2" s="424" t="str">
        <f t="shared" ref="AT2:AT8" si="0">IF(V2="","",V2)</f>
        <v>Наименование тарифа</v>
      </c>
      <c r="AU2" s="424"/>
      <c r="AV2" s="424"/>
    </row>
    <row r="3" spans="1:48" ht="21" hidden="1" customHeight="1">
      <c r="A3" s="1191"/>
      <c r="B3" s="1191"/>
      <c r="C3" s="1191"/>
      <c r="D3" s="1191"/>
      <c r="E3" s="3939"/>
      <c r="F3" s="3938">
        <v>1</v>
      </c>
      <c r="G3" s="1191"/>
      <c r="H3" s="1191"/>
      <c r="I3" s="1191"/>
      <c r="J3" s="1191"/>
      <c r="K3" s="1191"/>
      <c r="L3" s="1191"/>
      <c r="M3" s="1233"/>
      <c r="N3" s="606"/>
      <c r="O3" s="606"/>
      <c r="P3" s="606"/>
      <c r="Q3" s="1254"/>
      <c r="R3" s="273"/>
      <c r="S3" s="433"/>
      <c r="T3" s="274"/>
      <c r="U3" s="1258" t="e">
        <f>INDEX(PT_DIFFERENTIATION_NUM_TER,MATCH(B3,PT_DIFFERENTIATION_TER_ID,0))</f>
        <v>#N/A</v>
      </c>
      <c r="V3" s="224" t="s">
        <v>428</v>
      </c>
      <c r="W3" s="214"/>
      <c r="X3" s="3894"/>
      <c r="Y3" s="3895"/>
      <c r="Z3" s="3895"/>
      <c r="AA3" s="3895"/>
      <c r="AB3" s="3895"/>
      <c r="AC3" s="3895"/>
      <c r="AD3" s="3895"/>
      <c r="AE3" s="3895"/>
      <c r="AF3" s="3896"/>
      <c r="AG3" s="3894" t="e">
        <f>INDEX(PT_DIFFERENTIATION_TER,MATCH(B3,PT_DIFFERENTIATION_TER_ID,0))</f>
        <v>#N/A</v>
      </c>
      <c r="AH3" s="3895"/>
      <c r="AI3" s="3895"/>
      <c r="AJ3" s="3895"/>
      <c r="AK3" s="3895"/>
      <c r="AL3" s="3895"/>
      <c r="AM3" s="3895"/>
      <c r="AN3" s="3895"/>
      <c r="AO3" s="3895"/>
      <c r="AP3" s="3896"/>
      <c r="AQ3" s="1182" t="s">
        <v>429</v>
      </c>
      <c r="AS3" s="424"/>
      <c r="AT3" s="424" t="str">
        <f t="shared" si="0"/>
        <v>Территория действия тарифа</v>
      </c>
      <c r="AU3" s="424"/>
      <c r="AV3" s="424"/>
    </row>
    <row r="4" spans="1:48" ht="22.5" hidden="1" customHeight="1">
      <c r="A4" s="1191"/>
      <c r="B4" s="1191"/>
      <c r="C4" s="1191"/>
      <c r="D4" s="1191"/>
      <c r="E4" s="3939"/>
      <c r="F4" s="3939"/>
      <c r="G4" s="3938">
        <v>1</v>
      </c>
      <c r="H4" s="1191"/>
      <c r="I4" s="1191"/>
      <c r="J4" s="1191"/>
      <c r="K4" s="1191"/>
      <c r="L4" s="1191"/>
      <c r="M4" s="1233"/>
      <c r="N4" s="606"/>
      <c r="O4" s="606"/>
      <c r="P4" s="606"/>
      <c r="Q4" s="275"/>
      <c r="R4" s="273"/>
      <c r="S4" s="433"/>
      <c r="T4" s="274"/>
      <c r="U4" s="1258" t="e">
        <f>INDEX(PT_DIFFERENTIATION_NUM_CS,MATCH(C4,PT_DIFFERENTIATION_CS_ID,0))</f>
        <v>#N/A</v>
      </c>
      <c r="V4" s="225" t="s">
        <v>430</v>
      </c>
      <c r="W4" s="214"/>
      <c r="X4" s="3894"/>
      <c r="Y4" s="3895"/>
      <c r="Z4" s="3895"/>
      <c r="AA4" s="3895"/>
      <c r="AB4" s="3895"/>
      <c r="AC4" s="3895"/>
      <c r="AD4" s="3895"/>
      <c r="AE4" s="3895"/>
      <c r="AF4" s="3896"/>
      <c r="AG4" s="3894" t="e">
        <f>INDEX(PT_DIFFERENTIATION_CS,MATCH(C4,PT_DIFFERENTIATION_CS_ID,0))</f>
        <v>#N/A</v>
      </c>
      <c r="AH4" s="3895"/>
      <c r="AI4" s="3895"/>
      <c r="AJ4" s="3895"/>
      <c r="AK4" s="3895"/>
      <c r="AL4" s="3895"/>
      <c r="AM4" s="3895"/>
      <c r="AN4" s="3895"/>
      <c r="AO4" s="3895"/>
      <c r="AP4" s="3896"/>
      <c r="AQ4" s="1182" t="s">
        <v>431</v>
      </c>
      <c r="AS4" s="424"/>
      <c r="AT4" s="424" t="str">
        <f t="shared" si="0"/>
        <v xml:space="preserve">Наименование системы теплоснабжения </v>
      </c>
      <c r="AU4" s="424"/>
      <c r="AV4" s="424"/>
    </row>
    <row r="5" spans="1:48" ht="21" hidden="1" customHeight="1">
      <c r="A5" s="1191"/>
      <c r="B5" s="1191"/>
      <c r="C5" s="1191"/>
      <c r="D5" s="1191"/>
      <c r="E5" s="3939"/>
      <c r="F5" s="3939"/>
      <c r="G5" s="3939"/>
      <c r="H5" s="3938">
        <v>1</v>
      </c>
      <c r="I5" s="1191"/>
      <c r="J5" s="1191"/>
      <c r="K5" s="1191"/>
      <c r="L5" s="1191"/>
      <c r="M5" s="1233"/>
      <c r="N5" s="606"/>
      <c r="O5" s="606"/>
      <c r="P5" s="606"/>
      <c r="Q5" s="275"/>
      <c r="R5" s="273"/>
      <c r="S5" s="433"/>
      <c r="T5" s="274"/>
      <c r="U5" s="1258" t="e">
        <f>INDEX(PT_DIFFERENTIATION_NUM_IST_TE,MATCH(D5,PT_DIFFERENTIATION_IST_TE_ID,0))</f>
        <v>#N/A</v>
      </c>
      <c r="V5" s="226" t="s">
        <v>432</v>
      </c>
      <c r="W5" s="214"/>
      <c r="X5" s="3894"/>
      <c r="Y5" s="3895"/>
      <c r="Z5" s="3895"/>
      <c r="AA5" s="3895"/>
      <c r="AB5" s="3895"/>
      <c r="AC5" s="3895"/>
      <c r="AD5" s="3895"/>
      <c r="AE5" s="3895"/>
      <c r="AF5" s="3896"/>
      <c r="AG5" s="3894" t="e">
        <f>INDEX(PT_DIFFERENTIATION_IST_TE,MATCH(D5,PT_DIFFERENTIATION_IST_TE_ID,0))</f>
        <v>#N/A</v>
      </c>
      <c r="AH5" s="3895"/>
      <c r="AI5" s="3895"/>
      <c r="AJ5" s="3895"/>
      <c r="AK5" s="3895"/>
      <c r="AL5" s="3895"/>
      <c r="AM5" s="3895"/>
      <c r="AN5" s="3895"/>
      <c r="AO5" s="3895"/>
      <c r="AP5" s="3896"/>
      <c r="AQ5" s="1182" t="s">
        <v>433</v>
      </c>
      <c r="AS5" s="424"/>
      <c r="AT5" s="424" t="str">
        <f t="shared" si="0"/>
        <v xml:space="preserve">Источник тепловой энергии  </v>
      </c>
      <c r="AU5" s="424"/>
      <c r="AV5" s="424"/>
    </row>
    <row r="6" spans="1:48" ht="14.25" hidden="1" customHeight="1">
      <c r="A6" s="1191"/>
      <c r="B6" s="1191"/>
      <c r="C6" s="1191"/>
      <c r="D6" s="1191"/>
      <c r="E6" s="3939"/>
      <c r="F6" s="3939"/>
      <c r="G6" s="3939"/>
      <c r="H6" s="3939"/>
      <c r="I6" s="3778" t="e">
        <f>U5&amp;".1"</f>
        <v>#N/A</v>
      </c>
      <c r="J6" s="1191"/>
      <c r="K6" s="1191"/>
      <c r="L6" s="1191"/>
      <c r="M6" s="1233" t="s">
        <v>434</v>
      </c>
      <c r="N6" s="433"/>
      <c r="Q6" s="3907">
        <v>1</v>
      </c>
      <c r="R6" s="1253"/>
      <c r="S6" s="1253"/>
      <c r="T6" s="277"/>
      <c r="U6" s="953"/>
      <c r="V6" s="1304"/>
      <c r="W6" s="1305"/>
      <c r="X6" s="3935"/>
      <c r="Y6" s="3936"/>
      <c r="Z6" s="3936"/>
      <c r="AA6" s="3936"/>
      <c r="AB6" s="3936"/>
      <c r="AC6" s="3936"/>
      <c r="AD6" s="3936"/>
      <c r="AE6" s="3936"/>
      <c r="AF6" s="3937"/>
      <c r="AG6" s="3935"/>
      <c r="AH6" s="3936"/>
      <c r="AI6" s="3936"/>
      <c r="AJ6" s="3936"/>
      <c r="AK6" s="3936"/>
      <c r="AL6" s="3936"/>
      <c r="AM6" s="3936"/>
      <c r="AN6" s="3936"/>
      <c r="AO6" s="3936"/>
      <c r="AP6" s="3937"/>
      <c r="AQ6" s="1306"/>
      <c r="AS6" s="424"/>
      <c r="AT6" s="424" t="str">
        <f t="shared" si="0"/>
        <v/>
      </c>
      <c r="AU6" s="424"/>
      <c r="AV6" s="424"/>
    </row>
    <row r="7" spans="1:48" ht="21" hidden="1" customHeight="1">
      <c r="A7" s="1191"/>
      <c r="B7" s="1191"/>
      <c r="C7" s="1191"/>
      <c r="D7" s="1191"/>
      <c r="E7" s="3939"/>
      <c r="F7" s="3939"/>
      <c r="G7" s="3939"/>
      <c r="H7" s="3939"/>
      <c r="I7" s="3749"/>
      <c r="J7" s="3778" t="e">
        <f>I6&amp;".1"</f>
        <v>#N/A</v>
      </c>
      <c r="K7" s="1191"/>
      <c r="L7" s="1191"/>
      <c r="M7" s="1233" t="s">
        <v>437</v>
      </c>
      <c r="N7" s="433"/>
      <c r="O7" s="249"/>
      <c r="Q7" s="3907"/>
      <c r="R7" s="3907">
        <v>1</v>
      </c>
      <c r="S7" s="442"/>
      <c r="T7" s="278"/>
      <c r="U7" s="1258" t="e">
        <f>$J7</f>
        <v>#N/A</v>
      </c>
      <c r="V7" s="201" t="s">
        <v>438</v>
      </c>
      <c r="W7" s="214"/>
      <c r="X7" s="3897"/>
      <c r="Y7" s="3898"/>
      <c r="Z7" s="3898"/>
      <c r="AA7" s="3898"/>
      <c r="AB7" s="3898"/>
      <c r="AC7" s="3890"/>
      <c r="AD7" s="3890"/>
      <c r="AE7" s="3890"/>
      <c r="AF7" s="3940"/>
      <c r="AG7" s="3897"/>
      <c r="AH7" s="3898"/>
      <c r="AI7" s="3898"/>
      <c r="AJ7" s="3898"/>
      <c r="AK7" s="3898"/>
      <c r="AL7" s="3898"/>
      <c r="AM7" s="3898"/>
      <c r="AN7" s="3898"/>
      <c r="AO7" s="3898"/>
      <c r="AP7" s="3899"/>
      <c r="AQ7" s="1182" t="s">
        <v>439</v>
      </c>
      <c r="AS7" s="424"/>
      <c r="AT7" s="424" t="str">
        <f t="shared" si="0"/>
        <v>Группа потребителей</v>
      </c>
      <c r="AU7" s="424"/>
      <c r="AV7" s="424"/>
    </row>
    <row r="8" spans="1:48" ht="21" hidden="1" customHeight="1">
      <c r="A8" s="1191"/>
      <c r="B8" s="1191"/>
      <c r="C8" s="1191"/>
      <c r="D8" s="1191"/>
      <c r="E8" s="3939"/>
      <c r="F8" s="3939"/>
      <c r="G8" s="3939"/>
      <c r="H8" s="3939"/>
      <c r="I8" s="3749"/>
      <c r="J8" s="3749"/>
      <c r="K8" s="3778" t="e">
        <f>J7&amp;".1"</f>
        <v>#N/A</v>
      </c>
      <c r="L8" s="61"/>
      <c r="M8" s="1233" t="s">
        <v>440</v>
      </c>
      <c r="N8" s="433"/>
      <c r="O8" s="249"/>
      <c r="P8" s="249"/>
      <c r="Q8" s="3907"/>
      <c r="R8" s="3907"/>
      <c r="S8" s="3907">
        <v>1</v>
      </c>
      <c r="T8" s="278"/>
      <c r="U8" s="1258" t="e">
        <f>$K8</f>
        <v>#N/A</v>
      </c>
      <c r="V8" s="1269"/>
      <c r="W8" s="214"/>
      <c r="X8" s="666"/>
      <c r="Y8" s="666"/>
      <c r="Z8" s="666"/>
      <c r="AA8" s="666"/>
      <c r="AB8" s="1326"/>
      <c r="AC8" s="3911"/>
      <c r="AD8" s="3759" t="s">
        <v>60</v>
      </c>
      <c r="AE8" s="3911"/>
      <c r="AF8" s="3759" t="s">
        <v>60</v>
      </c>
      <c r="AG8" s="1328"/>
      <c r="AH8" s="666"/>
      <c r="AI8" s="666"/>
      <c r="AJ8" s="666"/>
      <c r="AK8" s="1181"/>
      <c r="AL8" s="3911"/>
      <c r="AM8" s="3759" t="s">
        <v>60</v>
      </c>
      <c r="AN8" s="3911"/>
      <c r="AO8" s="3759" t="s">
        <v>60</v>
      </c>
      <c r="AP8" s="246"/>
      <c r="AQ8" s="1231" t="s">
        <v>479</v>
      </c>
      <c r="AR8" s="435" t="e">
        <f ca="1">STRCHECKDATE(X10:AP10)</f>
        <v>#NAME?</v>
      </c>
      <c r="AS8" s="424"/>
      <c r="AT8" s="424" t="str">
        <f t="shared" si="0"/>
        <v/>
      </c>
      <c r="AU8" s="424"/>
      <c r="AV8" s="424"/>
    </row>
    <row r="9" spans="1:48" ht="21" hidden="1" customHeight="1">
      <c r="A9" s="1191"/>
      <c r="B9" s="1191"/>
      <c r="C9" s="1191"/>
      <c r="D9" s="1191"/>
      <c r="E9" s="3939"/>
      <c r="F9" s="3939"/>
      <c r="G9" s="3939"/>
      <c r="H9" s="3939"/>
      <c r="I9" s="3749"/>
      <c r="J9" s="3749"/>
      <c r="K9" s="3749"/>
      <c r="L9" s="3778" t="e">
        <f>K8&amp;".1"</f>
        <v>#N/A</v>
      </c>
      <c r="M9" s="1233"/>
      <c r="N9" s="433"/>
      <c r="O9" s="249"/>
      <c r="P9" s="249"/>
      <c r="Q9" s="3907"/>
      <c r="R9" s="3907"/>
      <c r="S9" s="3907"/>
      <c r="T9" s="278"/>
      <c r="U9" s="1258" t="e">
        <f>$L9</f>
        <v>#N/A</v>
      </c>
      <c r="V9" s="1312"/>
      <c r="W9" s="214"/>
      <c r="X9" s="246"/>
      <c r="Y9" s="666"/>
      <c r="Z9" s="666"/>
      <c r="AA9" s="666"/>
      <c r="AB9" s="1326"/>
      <c r="AC9" s="3912"/>
      <c r="AD9" s="3759"/>
      <c r="AE9" s="3912"/>
      <c r="AF9" s="3759"/>
      <c r="AG9" s="1328"/>
      <c r="AH9" s="666"/>
      <c r="AI9" s="666"/>
      <c r="AJ9" s="666"/>
      <c r="AK9" s="1181"/>
      <c r="AL9" s="3912"/>
      <c r="AM9" s="3759"/>
      <c r="AN9" s="3912"/>
      <c r="AO9" s="3759"/>
      <c r="AP9" s="246"/>
      <c r="AQ9" s="3903" t="s">
        <v>480</v>
      </c>
      <c r="AS9" s="424"/>
      <c r="AT9" s="424"/>
      <c r="AU9" s="424"/>
      <c r="AV9" s="424"/>
    </row>
    <row r="10" spans="1:48" ht="14.25" hidden="1" customHeight="1">
      <c r="A10" s="1191"/>
      <c r="B10" s="1191"/>
      <c r="C10" s="1191"/>
      <c r="D10" s="1191"/>
      <c r="E10" s="3939"/>
      <c r="F10" s="3939"/>
      <c r="G10" s="3939"/>
      <c r="H10" s="3939"/>
      <c r="I10" s="3749"/>
      <c r="J10" s="3749"/>
      <c r="K10" s="3749"/>
      <c r="L10" s="3778"/>
      <c r="M10" s="1233"/>
      <c r="N10" s="433"/>
      <c r="O10" s="249"/>
      <c r="P10" s="249"/>
      <c r="Q10" s="3907"/>
      <c r="R10" s="3907"/>
      <c r="S10" s="3907"/>
      <c r="T10" s="278"/>
      <c r="U10" s="1264"/>
      <c r="V10" s="214"/>
      <c r="W10" s="214"/>
      <c r="X10" s="246"/>
      <c r="Y10" s="246"/>
      <c r="Z10" s="246"/>
      <c r="AA10" s="246"/>
      <c r="AB10" s="1327" t="str">
        <f>AC8&amp;"-"&amp;AE8</f>
        <v>-</v>
      </c>
      <c r="AC10" s="3912"/>
      <c r="AD10" s="3759"/>
      <c r="AE10" s="3912"/>
      <c r="AF10" s="3759"/>
      <c r="AG10" s="1303"/>
      <c r="AH10" s="246"/>
      <c r="AI10" s="246"/>
      <c r="AJ10" s="246"/>
      <c r="AK10" s="250" t="str">
        <f>AL8&amp;"-"&amp;AN8</f>
        <v>-</v>
      </c>
      <c r="AL10" s="3912"/>
      <c r="AM10" s="3759"/>
      <c r="AN10" s="3912"/>
      <c r="AO10" s="3759"/>
      <c r="AP10" s="246"/>
      <c r="AQ10" s="3904"/>
      <c r="AS10" s="424"/>
      <c r="AT10" s="424" t="str">
        <f>IF(V10="","",V10)</f>
        <v/>
      </c>
      <c r="AU10" s="424"/>
      <c r="AV10" s="424"/>
    </row>
    <row r="11" spans="1:48" ht="11.25" hidden="1" customHeight="1">
      <c r="A11" s="1191"/>
      <c r="B11" s="1191"/>
      <c r="C11" s="1191"/>
      <c r="D11" s="1191"/>
      <c r="E11" s="3939"/>
      <c r="F11" s="3939"/>
      <c r="G11" s="3939"/>
      <c r="H11" s="3939"/>
      <c r="I11" s="3749"/>
      <c r="J11" s="3749"/>
      <c r="K11" s="3778"/>
      <c r="L11" s="1191"/>
      <c r="M11" s="1233"/>
      <c r="N11" s="433"/>
      <c r="O11" s="249"/>
      <c r="P11" s="249"/>
      <c r="Q11" s="3907"/>
      <c r="R11" s="3907"/>
      <c r="S11" s="3907"/>
      <c r="T11" s="278"/>
      <c r="U11" s="1203"/>
      <c r="V11" s="203" t="s">
        <v>481</v>
      </c>
      <c r="W11" s="1313"/>
      <c r="X11" s="1314"/>
      <c r="Y11" s="1314"/>
      <c r="Z11" s="1314"/>
      <c r="AA11" s="1314"/>
      <c r="AB11" s="1315"/>
      <c r="AC11" s="3912"/>
      <c r="AD11" s="3759"/>
      <c r="AE11" s="3912"/>
      <c r="AF11" s="3759"/>
      <c r="AG11" s="1314"/>
      <c r="AH11" s="1314"/>
      <c r="AI11" s="1314"/>
      <c r="AJ11" s="1314"/>
      <c r="AK11" s="1315"/>
      <c r="AL11" s="3912"/>
      <c r="AM11" s="3759"/>
      <c r="AN11" s="3912"/>
      <c r="AO11" s="3759"/>
      <c r="AP11" s="1316"/>
      <c r="AQ11" s="3904"/>
      <c r="AS11" s="424"/>
      <c r="AT11" s="424"/>
      <c r="AU11" s="424"/>
      <c r="AV11" s="424"/>
    </row>
    <row r="12" spans="1:48" ht="15" hidden="1" customHeight="1">
      <c r="A12" s="1191"/>
      <c r="B12" s="1191"/>
      <c r="C12" s="1191"/>
      <c r="D12" s="1191"/>
      <c r="E12" s="3939"/>
      <c r="F12" s="3939"/>
      <c r="G12" s="3939"/>
      <c r="H12" s="3939"/>
      <c r="I12" s="3749"/>
      <c r="J12" s="3778"/>
      <c r="K12" s="1191"/>
      <c r="L12" s="1191"/>
      <c r="M12" s="1233"/>
      <c r="N12" s="433"/>
      <c r="O12" s="249"/>
      <c r="Q12" s="3907"/>
      <c r="R12" s="3907"/>
      <c r="S12" s="1253"/>
      <c r="T12" s="277"/>
      <c r="U12" s="1203"/>
      <c r="V12" s="202" t="s">
        <v>442</v>
      </c>
      <c r="W12" s="291"/>
      <c r="X12" s="291"/>
      <c r="Y12" s="291"/>
      <c r="Z12" s="291"/>
      <c r="AA12" s="291"/>
      <c r="AB12" s="291"/>
      <c r="AC12" s="1329"/>
      <c r="AD12" s="1329"/>
      <c r="AE12" s="1329"/>
      <c r="AF12" s="1329"/>
      <c r="AG12" s="291"/>
      <c r="AH12" s="291"/>
      <c r="AI12" s="291"/>
      <c r="AJ12" s="291"/>
      <c r="AK12" s="291"/>
      <c r="AL12" s="291"/>
      <c r="AM12" s="291"/>
      <c r="AN12" s="291"/>
      <c r="AO12" s="291"/>
      <c r="AP12" s="245"/>
      <c r="AQ12" s="3905"/>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3939"/>
      <c r="F13" s="3939"/>
      <c r="G13" s="3939"/>
      <c r="H13" s="3939"/>
      <c r="I13" s="3778"/>
      <c r="J13" s="1191"/>
      <c r="K13" s="1191"/>
      <c r="L13" s="1191"/>
      <c r="M13" s="1233"/>
      <c r="N13" s="433"/>
      <c r="Q13" s="3907"/>
      <c r="R13" s="1253"/>
      <c r="S13" s="1253"/>
      <c r="T13" s="277"/>
      <c r="U13" s="1203"/>
      <c r="V13" s="288" t="s">
        <v>443</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3939"/>
      <c r="F14" s="3939"/>
      <c r="G14" s="3939"/>
      <c r="H14" s="3938"/>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3939"/>
      <c r="F15" s="3939"/>
      <c r="G15" s="3938"/>
      <c r="H15" s="1295"/>
      <c r="I15" s="1295"/>
      <c r="J15" s="1295"/>
      <c r="K15" s="1295"/>
      <c r="L15" s="1295"/>
      <c r="M15" s="1298"/>
      <c r="N15" s="1299"/>
      <c r="O15" s="1299"/>
      <c r="P15" s="272"/>
      <c r="Q15" s="1239"/>
      <c r="R15" s="1240"/>
      <c r="S15" s="1239"/>
      <c r="T15" s="1239"/>
      <c r="U15" s="1241"/>
      <c r="V15" s="1242" t="s">
        <v>445</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3939"/>
      <c r="F16" s="3938"/>
      <c r="G16" s="1295"/>
      <c r="H16" s="1295"/>
      <c r="I16" s="1295"/>
      <c r="J16" s="1295"/>
      <c r="K16" s="1295"/>
      <c r="L16" s="1295"/>
      <c r="M16" s="1298"/>
      <c r="N16" s="1300"/>
      <c r="O16" s="1300"/>
      <c r="P16" s="272"/>
      <c r="Q16" s="1239"/>
      <c r="R16" s="1240"/>
      <c r="S16" s="1239"/>
      <c r="T16" s="1239"/>
      <c r="U16" s="1245"/>
      <c r="V16" s="1246" t="s">
        <v>240</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3938"/>
      <c r="F17" s="1295"/>
      <c r="G17" s="1295"/>
      <c r="H17" s="1295"/>
      <c r="I17" s="1295"/>
      <c r="J17" s="1295"/>
      <c r="K17" s="1295"/>
      <c r="L17" s="1295"/>
      <c r="M17" s="1298"/>
      <c r="N17" s="1300"/>
      <c r="O17" s="1300"/>
      <c r="P17" s="272"/>
      <c r="Q17" s="1239"/>
      <c r="R17" s="1240"/>
      <c r="S17" s="1239"/>
      <c r="T17" s="1239"/>
      <c r="U17" s="1245"/>
      <c r="V17" s="1248" t="s">
        <v>241</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3913"/>
      <c r="AM19" s="3914" t="s">
        <v>60</v>
      </c>
      <c r="AN19" s="3913"/>
      <c r="AO19" s="3914" t="s">
        <v>60</v>
      </c>
    </row>
    <row r="20" spans="1:48" ht="14.25" hidden="1" customHeight="1">
      <c r="AG20" s="1281"/>
      <c r="AH20" s="1281"/>
      <c r="AI20" s="1281"/>
      <c r="AJ20" s="1281"/>
      <c r="AK20" s="1282"/>
      <c r="AL20" s="3913"/>
      <c r="AM20" s="3914"/>
      <c r="AN20" s="3913"/>
      <c r="AO20" s="3914"/>
    </row>
    <row r="21" spans="1:48" ht="14.25" hidden="1" customHeight="1">
      <c r="AG21" s="1281"/>
      <c r="AH21" s="1281"/>
      <c r="AI21" s="1281"/>
      <c r="AJ21" s="1281"/>
      <c r="AK21" s="1282"/>
      <c r="AL21" s="3913"/>
      <c r="AM21" s="3914"/>
      <c r="AN21" s="3913"/>
      <c r="AO21" s="3914"/>
    </row>
    <row r="22" spans="1:48" ht="14.25" hidden="1" customHeight="1">
      <c r="AG22" s="1281"/>
      <c r="AH22" s="1281"/>
      <c r="AI22" s="1281"/>
      <c r="AJ22" s="1281"/>
      <c r="AK22" s="250" t="str">
        <f>AL19&amp;"-"&amp;AN19</f>
        <v>-</v>
      </c>
      <c r="AL22" s="3914"/>
      <c r="AM22" s="3914"/>
      <c r="AN22" s="3914"/>
      <c r="AO22" s="3914"/>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446</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447</v>
      </c>
      <c r="Q26" s="1283"/>
      <c r="R26" s="1292"/>
      <c r="S26" s="1292"/>
      <c r="T26" s="1292"/>
      <c r="U26" s="646"/>
      <c r="V26" s="1065" t="s">
        <v>448</v>
      </c>
      <c r="AD26" s="104" t="s">
        <v>449</v>
      </c>
      <c r="AF26" s="104" t="s">
        <v>450</v>
      </c>
      <c r="AG26" s="1065" t="s">
        <v>448</v>
      </c>
      <c r="AM26" s="104" t="s">
        <v>451</v>
      </c>
      <c r="AO26" s="104" t="s">
        <v>450</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38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892"/>
      <c r="W30" s="3892"/>
      <c r="X30" s="3892"/>
      <c r="Y30" s="3892"/>
      <c r="Z30" s="3892"/>
      <c r="AA30" s="3892"/>
      <c r="AB30" s="3892"/>
      <c r="AC30" s="3892"/>
      <c r="AD30" s="3892"/>
      <c r="AE30" s="3892"/>
      <c r="AF30" s="3892"/>
      <c r="AG30" s="3892"/>
      <c r="AH30" s="3892"/>
      <c r="AI30" s="3892"/>
      <c r="AJ30" s="3892"/>
      <c r="AK30" s="3892"/>
      <c r="AL30" s="3892"/>
      <c r="AM30" s="3892"/>
      <c r="AN30" s="3892"/>
      <c r="AO30" s="1157"/>
    </row>
    <row r="31" spans="1:48" ht="14.25" customHeight="1">
      <c r="R31" s="300"/>
      <c r="S31" s="300"/>
      <c r="T31" s="300"/>
      <c r="U31" s="3839" t="str">
        <f>IF(org=0,"Не определено",org)</f>
        <v>ГУП СК "Ставрополькрайводоканал"</v>
      </c>
      <c r="V31" s="3839"/>
      <c r="W31" s="3839"/>
      <c r="X31" s="3839"/>
      <c r="Y31" s="3839"/>
      <c r="Z31" s="3839"/>
      <c r="AA31" s="3839"/>
      <c r="AB31" s="3839"/>
      <c r="AC31" s="3839"/>
      <c r="AD31" s="3839"/>
      <c r="AE31" s="3839"/>
      <c r="AF31" s="3839"/>
      <c r="AG31" s="3839"/>
      <c r="AH31" s="3839"/>
      <c r="AI31" s="3839"/>
      <c r="AJ31" s="3839"/>
      <c r="AK31" s="3839"/>
      <c r="AL31" s="3839"/>
      <c r="AM31" s="3839"/>
      <c r="AN31" s="3839"/>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3900" t="s">
        <v>38</v>
      </c>
      <c r="V33" s="3900"/>
      <c r="W33" s="1293"/>
      <c r="X33" s="3901" t="str">
        <f>IF(TITLE_NAME_OR_PR_CHANGE="",IF(TITLE_NAME_OR_PR="","",TITLE_NAME_OR_PR),TITLE_NAME_OR_PR_CHANGE)</f>
        <v>Региональная тарифная комиссия Ставропольского края</v>
      </c>
      <c r="Y33" s="3901"/>
      <c r="Z33" s="3901"/>
      <c r="AA33" s="3901"/>
      <c r="AB33" s="3901"/>
      <c r="AC33" s="3901"/>
      <c r="AD33" s="3901"/>
      <c r="AE33" s="3901"/>
      <c r="AF33" s="248"/>
      <c r="AG33" s="3901" t="str">
        <f>IF(TITLE_NAME_OR_PR_CHANGE="",IF(TITLE_NAME_OR_PR="","",TITLE_NAME_OR_PR),TITLE_NAME_OR_PR_CHANGE)</f>
        <v>Региональная тарифная комиссия Ставропольского края</v>
      </c>
      <c r="AH33" s="3901"/>
      <c r="AI33" s="3901"/>
      <c r="AJ33" s="3901"/>
      <c r="AK33" s="3901"/>
      <c r="AL33" s="3901"/>
      <c r="AM33" s="3901"/>
      <c r="AN33" s="3901"/>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3900" t="s">
        <v>452</v>
      </c>
      <c r="V34" s="3900"/>
      <c r="W34" s="1293"/>
      <c r="X34" s="3910">
        <f>IF(TITLE_DATE_PR_CHANGE="",IF(TITLE_DATE_PR="","",TITLE_DATE_PR),TITLE_DATE_PR_CHANGE)</f>
        <v>45278</v>
      </c>
      <c r="Y34" s="3910"/>
      <c r="Z34" s="3910"/>
      <c r="AA34" s="3910"/>
      <c r="AB34" s="3910"/>
      <c r="AC34" s="3910"/>
      <c r="AD34" s="3910"/>
      <c r="AE34" s="3910"/>
      <c r="AF34" s="248"/>
      <c r="AG34" s="3910">
        <f>IF(TITLE_DATE_PR_CHANGE="",IF(TITLE_DATE_PR="","",TITLE_DATE_PR),TITLE_DATE_PR_CHANGE)</f>
        <v>45278</v>
      </c>
      <c r="AH34" s="3910"/>
      <c r="AI34" s="3910"/>
      <c r="AJ34" s="3910"/>
      <c r="AK34" s="3910"/>
      <c r="AL34" s="3910"/>
      <c r="AM34" s="3910"/>
      <c r="AN34" s="3910"/>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3900" t="s">
        <v>453</v>
      </c>
      <c r="V35" s="3900"/>
      <c r="W35" s="1293"/>
      <c r="X35" s="3901" t="str">
        <f>IF(TITLE_NUMBER_PR_CHANGE="",IF(TITLE_NUMBER_PR="","",TITLE_NUMBER_PR),TITLE_NUMBER_PR_CHANGE)</f>
        <v>79/2</v>
      </c>
      <c r="Y35" s="3901"/>
      <c r="Z35" s="3901"/>
      <c r="AA35" s="3901"/>
      <c r="AB35" s="3901"/>
      <c r="AC35" s="3901"/>
      <c r="AD35" s="3901"/>
      <c r="AE35" s="3901"/>
      <c r="AF35" s="248"/>
      <c r="AG35" s="3901" t="str">
        <f>IF(TITLE_NUMBER_PR_CHANGE="",IF(TITLE_NUMBER_PR="","",TITLE_NUMBER_PR),TITLE_NUMBER_PR_CHANGE)</f>
        <v>79/2</v>
      </c>
      <c r="AH35" s="3901"/>
      <c r="AI35" s="3901"/>
      <c r="AJ35" s="3901"/>
      <c r="AK35" s="3901"/>
      <c r="AL35" s="3901"/>
      <c r="AM35" s="3901"/>
      <c r="AN35" s="3901"/>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3900" t="s">
        <v>40</v>
      </c>
      <c r="V36" s="3900"/>
      <c r="W36" s="1293"/>
      <c r="X36" s="3901" t="str">
        <f>IF(TITLE_IST_PUB_CHANGE="",IF(TITLE_IST_PUB="","",TITLE_IST_PUB),TITLE_IST_PUB_CHANGE)</f>
        <v>http://pravo.stavregion.ru/</v>
      </c>
      <c r="Y36" s="3901"/>
      <c r="Z36" s="3901"/>
      <c r="AA36" s="3901"/>
      <c r="AB36" s="3901"/>
      <c r="AC36" s="3901"/>
      <c r="AD36" s="3901"/>
      <c r="AE36" s="3901"/>
      <c r="AF36" s="248"/>
      <c r="AG36" s="3901" t="str">
        <f>IF(TITLE_IST_PUB_CHANGE="",IF(TITLE_IST_PUB="","",TITLE_IST_PUB),TITLE_IST_PUB_CHANGE)</f>
        <v>http://pravo.stavregion.ru/</v>
      </c>
      <c r="AH36" s="3901"/>
      <c r="AI36" s="3901"/>
      <c r="AJ36" s="3901"/>
      <c r="AK36" s="3901"/>
      <c r="AL36" s="3901"/>
      <c r="AM36" s="3901"/>
      <c r="AN36" s="3901"/>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3900" t="s">
        <v>454</v>
      </c>
      <c r="V38" s="3900"/>
      <c r="W38" s="1293"/>
      <c r="X38" s="3910">
        <f>IF(TITLE_DATE_PR_CHANGE="",IF(TITLE_DATE_PR="","",TITLE_DATE_PR),TITLE_DATE_PR_CHANGE)</f>
        <v>45278</v>
      </c>
      <c r="Y38" s="3910"/>
      <c r="Z38" s="3910"/>
      <c r="AA38" s="3910"/>
      <c r="AB38" s="3910"/>
      <c r="AC38" s="3910"/>
      <c r="AD38" s="3910"/>
      <c r="AE38" s="3910"/>
      <c r="AF38" s="248"/>
      <c r="AG38" s="3910">
        <f>IF(TITLE_DATE_PR_CHANGE="",IF(TITLE_DATE_PR="","",TITLE_DATE_PR),TITLE_DATE_PR_CHANGE)</f>
        <v>45278</v>
      </c>
      <c r="AH38" s="3910"/>
      <c r="AI38" s="3910"/>
      <c r="AJ38" s="3910"/>
      <c r="AK38" s="3910"/>
      <c r="AL38" s="3910"/>
      <c r="AM38" s="3910"/>
      <c r="AN38" s="3910"/>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3900" t="s">
        <v>455</v>
      </c>
      <c r="V39" s="3900"/>
      <c r="W39" s="1293"/>
      <c r="X39" s="3901" t="str">
        <f>IF(TITLE_NUMBER_PR_CHANGE="",IF(TITLE_NUMBER_PR="","",TITLE_NUMBER_PR),TITLE_NUMBER_PR_CHANGE)</f>
        <v>79/2</v>
      </c>
      <c r="Y39" s="3901"/>
      <c r="Z39" s="3901"/>
      <c r="AA39" s="3901"/>
      <c r="AB39" s="3901"/>
      <c r="AC39" s="3901"/>
      <c r="AD39" s="3901"/>
      <c r="AE39" s="3901"/>
      <c r="AF39" s="248"/>
      <c r="AG39" s="3901" t="str">
        <f>IF(TITLE_NUMBER_PR_CHANGE="",IF(TITLE_NUMBER_PR="","",TITLE_NUMBER_PR),TITLE_NUMBER_PR_CHANGE)</f>
        <v>79/2</v>
      </c>
      <c r="AH39" s="3901"/>
      <c r="AI39" s="3901"/>
      <c r="AJ39" s="3901"/>
      <c r="AK39" s="3901"/>
      <c r="AL39" s="3901"/>
      <c r="AM39" s="3901"/>
      <c r="AN39" s="3901"/>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456</v>
      </c>
      <c r="AG40" s="248"/>
      <c r="AH40" s="248"/>
      <c r="AI40" s="248"/>
      <c r="AJ40" s="248"/>
      <c r="AK40" s="248"/>
      <c r="AL40" s="248"/>
      <c r="AM40" s="248"/>
      <c r="AN40" s="248"/>
      <c r="AO40" s="194" t="s">
        <v>456</v>
      </c>
      <c r="AR40" s="292"/>
      <c r="AS40" s="292"/>
      <c r="AT40" s="292"/>
      <c r="AU40" s="292"/>
      <c r="AV40" s="292"/>
    </row>
    <row r="41" spans="1:48" ht="14.25" customHeight="1">
      <c r="R41" s="300"/>
      <c r="S41" s="300"/>
      <c r="T41" s="300"/>
      <c r="U41" s="1200"/>
      <c r="V41" s="286"/>
      <c r="W41" s="1158"/>
      <c r="X41" s="3902"/>
      <c r="Y41" s="3902"/>
      <c r="Z41" s="3902"/>
      <c r="AA41" s="3902"/>
      <c r="AB41" s="3902"/>
      <c r="AC41" s="3902"/>
      <c r="AD41" s="3902"/>
      <c r="AE41" s="3902"/>
      <c r="AF41" s="3902"/>
      <c r="AG41" s="3902"/>
      <c r="AH41" s="3902"/>
      <c r="AI41" s="3902"/>
      <c r="AJ41" s="3902"/>
      <c r="AK41" s="3902"/>
      <c r="AL41" s="3902"/>
      <c r="AM41" s="3902"/>
      <c r="AN41" s="3902"/>
      <c r="AO41" s="3902"/>
    </row>
    <row r="42" spans="1:48" ht="14.25" customHeight="1">
      <c r="R42" s="300"/>
      <c r="S42" s="300"/>
      <c r="T42" s="300"/>
      <c r="U42" s="3778" t="s">
        <v>329</v>
      </c>
      <c r="V42" s="3778"/>
      <c r="W42" s="3778"/>
      <c r="X42" s="3778"/>
      <c r="Y42" s="3778"/>
      <c r="Z42" s="3778"/>
      <c r="AA42" s="3778"/>
      <c r="AB42" s="3778"/>
      <c r="AC42" s="3778"/>
      <c r="AD42" s="3778"/>
      <c r="AE42" s="3778"/>
      <c r="AF42" s="3778"/>
      <c r="AG42" s="3778"/>
      <c r="AH42" s="3778"/>
      <c r="AI42" s="3778"/>
      <c r="AJ42" s="3778"/>
      <c r="AK42" s="3778"/>
      <c r="AL42" s="3778"/>
      <c r="AM42" s="3778"/>
      <c r="AN42" s="3778"/>
      <c r="AO42" s="3778"/>
      <c r="AP42" s="3778"/>
      <c r="AQ42" s="3778" t="s">
        <v>330</v>
      </c>
    </row>
    <row r="43" spans="1:48" ht="14.25" customHeight="1">
      <c r="R43" s="300"/>
      <c r="S43" s="300"/>
      <c r="T43" s="300"/>
      <c r="U43" s="3916" t="s">
        <v>86</v>
      </c>
      <c r="V43" s="3868" t="s">
        <v>457</v>
      </c>
      <c r="W43" s="215"/>
      <c r="X43" s="3917" t="s">
        <v>458</v>
      </c>
      <c r="Y43" s="3932"/>
      <c r="Z43" s="3932"/>
      <c r="AA43" s="3932"/>
      <c r="AB43" s="3932"/>
      <c r="AC43" s="3918"/>
      <c r="AD43" s="3918"/>
      <c r="AE43" s="3919"/>
      <c r="AF43" s="3920" t="s">
        <v>459</v>
      </c>
      <c r="AG43" s="3917" t="s">
        <v>458</v>
      </c>
      <c r="AH43" s="3932"/>
      <c r="AI43" s="3932"/>
      <c r="AJ43" s="3932"/>
      <c r="AK43" s="3932"/>
      <c r="AL43" s="3918"/>
      <c r="AM43" s="3918"/>
      <c r="AN43" s="3919"/>
      <c r="AO43" s="3920" t="s">
        <v>460</v>
      </c>
      <c r="AP43" s="3923" t="s">
        <v>461</v>
      </c>
      <c r="AQ43" s="3778"/>
    </row>
    <row r="44" spans="1:48" ht="33.75" customHeight="1">
      <c r="R44" s="300"/>
      <c r="S44" s="300"/>
      <c r="T44" s="300"/>
      <c r="U44" s="3916"/>
      <c r="V44" s="3868"/>
      <c r="W44" s="942"/>
      <c r="X44" s="3853" t="s">
        <v>482</v>
      </c>
      <c r="Y44" s="3778" t="s">
        <v>483</v>
      </c>
      <c r="Z44" s="3778"/>
      <c r="AA44" s="3778"/>
      <c r="AB44" s="3778"/>
      <c r="AC44" s="3853" t="s">
        <v>465</v>
      </c>
      <c r="AD44" s="3941"/>
      <c r="AE44" s="3854"/>
      <c r="AF44" s="3921"/>
      <c r="AG44" s="3853" t="s">
        <v>482</v>
      </c>
      <c r="AH44" s="3778" t="s">
        <v>483</v>
      </c>
      <c r="AI44" s="3778"/>
      <c r="AJ44" s="3778"/>
      <c r="AK44" s="3778"/>
      <c r="AL44" s="3853" t="s">
        <v>465</v>
      </c>
      <c r="AM44" s="3941"/>
      <c r="AN44" s="3854"/>
      <c r="AO44" s="3921"/>
      <c r="AP44" s="3924"/>
      <c r="AQ44" s="3778"/>
    </row>
    <row r="45" spans="1:48" ht="14.25" customHeight="1">
      <c r="R45" s="300"/>
      <c r="S45" s="300"/>
      <c r="T45" s="300"/>
      <c r="U45" s="3916"/>
      <c r="V45" s="3868"/>
      <c r="W45" s="942"/>
      <c r="X45" s="3855"/>
      <c r="Y45" s="3881" t="s">
        <v>484</v>
      </c>
      <c r="Z45" s="3876" t="s">
        <v>485</v>
      </c>
      <c r="AA45" s="3877"/>
      <c r="AB45" s="3878"/>
      <c r="AC45" s="3858"/>
      <c r="AD45" s="3942"/>
      <c r="AE45" s="3859"/>
      <c r="AF45" s="3921"/>
      <c r="AG45" s="3855"/>
      <c r="AH45" s="3881" t="s">
        <v>484</v>
      </c>
      <c r="AI45" s="3876" t="s">
        <v>485</v>
      </c>
      <c r="AJ45" s="3877"/>
      <c r="AK45" s="3878"/>
      <c r="AL45" s="3858"/>
      <c r="AM45" s="3942"/>
      <c r="AN45" s="3859"/>
      <c r="AO45" s="3921"/>
      <c r="AP45" s="3924"/>
      <c r="AQ45" s="3778"/>
    </row>
    <row r="46" spans="1:48" ht="25.5" customHeight="1">
      <c r="R46" s="300"/>
      <c r="S46" s="300"/>
      <c r="T46" s="300"/>
      <c r="U46" s="3916"/>
      <c r="V46" s="3868"/>
      <c r="W46" s="942"/>
      <c r="X46" s="3855"/>
      <c r="Y46" s="3943"/>
      <c r="Z46" s="3881" t="s">
        <v>486</v>
      </c>
      <c r="AA46" s="3876" t="s">
        <v>487</v>
      </c>
      <c r="AB46" s="3878"/>
      <c r="AC46" s="3881" t="s">
        <v>475</v>
      </c>
      <c r="AD46" s="3883" t="s">
        <v>476</v>
      </c>
      <c r="AE46" s="3885"/>
      <c r="AF46" s="3921"/>
      <c r="AG46" s="3855"/>
      <c r="AH46" s="3943"/>
      <c r="AI46" s="3881" t="s">
        <v>486</v>
      </c>
      <c r="AJ46" s="3876" t="s">
        <v>487</v>
      </c>
      <c r="AK46" s="3878"/>
      <c r="AL46" s="3881" t="s">
        <v>475</v>
      </c>
      <c r="AM46" s="3883" t="s">
        <v>476</v>
      </c>
      <c r="AN46" s="3885"/>
      <c r="AO46" s="3921"/>
      <c r="AP46" s="3924"/>
      <c r="AQ46" s="3778"/>
    </row>
    <row r="47" spans="1:48" ht="62.25" customHeight="1">
      <c r="A47" s="1184"/>
      <c r="B47" s="1184" t="s">
        <v>153</v>
      </c>
      <c r="C47" s="1184" t="s">
        <v>154</v>
      </c>
      <c r="D47" s="1184" t="s">
        <v>155</v>
      </c>
      <c r="E47" s="1233" t="s">
        <v>466</v>
      </c>
      <c r="F47" s="1233" t="s">
        <v>467</v>
      </c>
      <c r="G47" s="1233" t="s">
        <v>468</v>
      </c>
      <c r="H47" s="1233" t="s">
        <v>469</v>
      </c>
      <c r="I47" s="1233" t="s">
        <v>470</v>
      </c>
      <c r="J47" s="1233" t="s">
        <v>471</v>
      </c>
      <c r="K47" s="1233" t="s">
        <v>472</v>
      </c>
      <c r="L47" s="1233" t="s">
        <v>488</v>
      </c>
      <c r="M47" s="1233" t="s">
        <v>447</v>
      </c>
      <c r="R47" s="300"/>
      <c r="S47" s="300"/>
      <c r="T47" s="300"/>
      <c r="U47" s="3916"/>
      <c r="V47" s="3868"/>
      <c r="W47" s="216"/>
      <c r="X47" s="3858"/>
      <c r="Y47" s="3882"/>
      <c r="Z47" s="3882"/>
      <c r="AA47" s="1133" t="s">
        <v>489</v>
      </c>
      <c r="AB47" s="1133" t="s">
        <v>490</v>
      </c>
      <c r="AC47" s="3882"/>
      <c r="AD47" s="3884"/>
      <c r="AE47" s="3886"/>
      <c r="AF47" s="3922"/>
      <c r="AG47" s="3858"/>
      <c r="AH47" s="3882"/>
      <c r="AI47" s="3882"/>
      <c r="AJ47" s="1133" t="s">
        <v>489</v>
      </c>
      <c r="AK47" s="1133" t="s">
        <v>490</v>
      </c>
      <c r="AL47" s="3882"/>
      <c r="AM47" s="3884"/>
      <c r="AN47" s="3886"/>
      <c r="AO47" s="3922"/>
      <c r="AP47" s="3925"/>
      <c r="AQ47" s="3778"/>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129</v>
      </c>
      <c r="V48" s="1177" t="s">
        <v>102</v>
      </c>
      <c r="W48" s="1159" t="str">
        <f ca="1">OFFSET(W48,0,-1)</f>
        <v>2</v>
      </c>
      <c r="X48" s="1257">
        <f ca="1">OFFSET(X48,0,-1)+1</f>
        <v>3</v>
      </c>
      <c r="Y48" s="1263"/>
      <c r="Z48" s="1263"/>
      <c r="AA48" s="1263">
        <f ca="1">OFFSET(AA48,0,-1)+1</f>
        <v>1</v>
      </c>
      <c r="AB48" s="1263">
        <f ca="1">OFFSET(AB48,0,-1)+1</f>
        <v>2</v>
      </c>
      <c r="AC48" s="1257">
        <f ca="1">OFFSET(AC48,0,-1)+1</f>
        <v>3</v>
      </c>
      <c r="AD48" s="3915">
        <f ca="1">OFFSET(AD48,0,-1)+1</f>
        <v>4</v>
      </c>
      <c r="AE48" s="3915"/>
      <c r="AF48" s="1257">
        <f ca="1">OFFSET(AF48,0,-2)+1</f>
        <v>5</v>
      </c>
      <c r="AG48" s="1257">
        <f ca="1">OFFSET(AG48,0,-1)+1</f>
        <v>6</v>
      </c>
      <c r="AH48" s="1257"/>
      <c r="AI48" s="1257"/>
      <c r="AJ48" s="1257">
        <f ca="1">OFFSET(AJ48,0,-1)+1</f>
        <v>1</v>
      </c>
      <c r="AK48" s="1257">
        <f ca="1">OFFSET(AK48,0,-1)+1</f>
        <v>2</v>
      </c>
      <c r="AL48" s="1257">
        <f ca="1">OFFSET(AL48,0,-1)+1</f>
        <v>3</v>
      </c>
      <c r="AM48" s="3915">
        <f ca="1">OFFSET(AM48,0,-1)+1</f>
        <v>4</v>
      </c>
      <c r="AN48" s="3915"/>
      <c r="AO48" s="1257">
        <f ca="1">OFFSET(AO48,0,-2)+1</f>
        <v>5</v>
      </c>
      <c r="AP48" s="1159">
        <f ca="1">OFFSET(AP48,0,-1)</f>
        <v>5</v>
      </c>
      <c r="AQ48" s="1257">
        <f ca="1">OFFSET(AQ48,0,-1)+1</f>
        <v>6</v>
      </c>
      <c r="AR48" s="435"/>
      <c r="AS48" s="435"/>
      <c r="AT48" s="435"/>
      <c r="AU48" s="435"/>
      <c r="AV48" s="435"/>
    </row>
    <row r="49" spans="1:48" ht="21" customHeight="1">
      <c r="A49" s="1191" t="s">
        <v>192</v>
      </c>
      <c r="B49" s="1191"/>
      <c r="C49" s="1191"/>
      <c r="D49" s="1191"/>
      <c r="E49" s="3938">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141</v>
      </c>
      <c r="W49" s="214"/>
      <c r="X49" s="3894"/>
      <c r="Y49" s="3895"/>
      <c r="Z49" s="3895"/>
      <c r="AA49" s="3895"/>
      <c r="AB49" s="3895"/>
      <c r="AC49" s="3895"/>
      <c r="AD49" s="3895"/>
      <c r="AE49" s="3895"/>
      <c r="AF49" s="3896"/>
      <c r="AG49" s="3894" t="str">
        <f>INDEX(PT_DIFFERENTIATION_NTAR,MATCH(A49,PT_DIFFERENTIATION_NTAR_ID,0))</f>
        <v/>
      </c>
      <c r="AH49" s="3895"/>
      <c r="AI49" s="3895"/>
      <c r="AJ49" s="3895"/>
      <c r="AK49" s="3895"/>
      <c r="AL49" s="3895"/>
      <c r="AM49" s="3895"/>
      <c r="AN49" s="3895"/>
      <c r="AO49" s="3895"/>
      <c r="AP49" s="3896"/>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192</v>
      </c>
      <c r="B50" s="1191" t="s">
        <v>193</v>
      </c>
      <c r="C50" s="1191"/>
      <c r="D50" s="1191"/>
      <c r="E50" s="3939"/>
      <c r="F50" s="3938">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428</v>
      </c>
      <c r="W50" s="214"/>
      <c r="X50" s="3894"/>
      <c r="Y50" s="3895"/>
      <c r="Z50" s="3895"/>
      <c r="AA50" s="3895"/>
      <c r="AB50" s="3895"/>
      <c r="AC50" s="3895"/>
      <c r="AD50" s="3895"/>
      <c r="AE50" s="3895"/>
      <c r="AF50" s="3896"/>
      <c r="AG50" s="3894" t="str">
        <f>INDEX(PT_DIFFERENTIATION_TER,MATCH(B50,PT_DIFFERENTIATION_TER_ID,0))</f>
        <v/>
      </c>
      <c r="AH50" s="3895"/>
      <c r="AI50" s="3895"/>
      <c r="AJ50" s="3895"/>
      <c r="AK50" s="3895"/>
      <c r="AL50" s="3895"/>
      <c r="AM50" s="3895"/>
      <c r="AN50" s="3895"/>
      <c r="AO50" s="3895"/>
      <c r="AP50" s="3896"/>
      <c r="AQ50" s="1182" t="s">
        <v>429</v>
      </c>
      <c r="AS50" s="424"/>
      <c r="AT50" s="424" t="str">
        <f t="shared" si="2"/>
        <v>Территория действия тарифа</v>
      </c>
      <c r="AU50" s="424"/>
      <c r="AV50" s="424"/>
    </row>
    <row r="51" spans="1:48" ht="22.5" customHeight="1">
      <c r="A51" s="1191" t="s">
        <v>192</v>
      </c>
      <c r="B51" s="1191" t="s">
        <v>193</v>
      </c>
      <c r="C51" s="1191" t="s">
        <v>194</v>
      </c>
      <c r="D51" s="1191"/>
      <c r="E51" s="3939"/>
      <c r="F51" s="3939"/>
      <c r="G51" s="3938">
        <v>1</v>
      </c>
      <c r="H51" s="1191"/>
      <c r="I51" s="1191"/>
      <c r="J51" s="1191"/>
      <c r="K51" s="1191"/>
      <c r="L51" s="1191"/>
      <c r="M51" s="1233"/>
      <c r="N51" s="606"/>
      <c r="O51" s="606"/>
      <c r="P51" s="606"/>
      <c r="Q51" s="275"/>
      <c r="R51" s="273"/>
      <c r="S51" s="433"/>
      <c r="T51" s="274"/>
      <c r="U51" s="1258" t="str">
        <f>INDEX(PT_DIFFERENTIATION_NUM_CS,MATCH(C51,PT_DIFFERENTIATION_CS_ID,0))</f>
        <v>..</v>
      </c>
      <c r="V51" s="225" t="s">
        <v>430</v>
      </c>
      <c r="W51" s="214"/>
      <c r="X51" s="3894"/>
      <c r="Y51" s="3895"/>
      <c r="Z51" s="3895"/>
      <c r="AA51" s="3895"/>
      <c r="AB51" s="3895"/>
      <c r="AC51" s="3895"/>
      <c r="AD51" s="3895"/>
      <c r="AE51" s="3895"/>
      <c r="AF51" s="3896"/>
      <c r="AG51" s="3894" t="str">
        <f>INDEX(PT_DIFFERENTIATION_CS,MATCH(C51,PT_DIFFERENTIATION_CS_ID,0))</f>
        <v/>
      </c>
      <c r="AH51" s="3895"/>
      <c r="AI51" s="3895"/>
      <c r="AJ51" s="3895"/>
      <c r="AK51" s="3895"/>
      <c r="AL51" s="3895"/>
      <c r="AM51" s="3895"/>
      <c r="AN51" s="3895"/>
      <c r="AO51" s="3895"/>
      <c r="AP51" s="3896"/>
      <c r="AQ51" s="1182" t="s">
        <v>431</v>
      </c>
      <c r="AS51" s="424"/>
      <c r="AT51" s="424" t="str">
        <f t="shared" si="2"/>
        <v xml:space="preserve">Наименование системы теплоснабжения </v>
      </c>
      <c r="AU51" s="424"/>
      <c r="AV51" s="424"/>
    </row>
    <row r="52" spans="1:48" ht="21" customHeight="1">
      <c r="A52" s="1191" t="s">
        <v>192</v>
      </c>
      <c r="B52" s="1191" t="s">
        <v>193</v>
      </c>
      <c r="C52" s="1191" t="s">
        <v>194</v>
      </c>
      <c r="D52" s="1191" t="s">
        <v>195</v>
      </c>
      <c r="E52" s="3939"/>
      <c r="F52" s="3939"/>
      <c r="G52" s="3939"/>
      <c r="H52" s="3938">
        <v>1</v>
      </c>
      <c r="I52" s="1191"/>
      <c r="J52" s="1191"/>
      <c r="K52" s="1191"/>
      <c r="L52" s="1191"/>
      <c r="M52" s="1233"/>
      <c r="N52" s="606"/>
      <c r="O52" s="606"/>
      <c r="P52" s="606"/>
      <c r="Q52" s="275"/>
      <c r="R52" s="273"/>
      <c r="S52" s="433"/>
      <c r="T52" s="274"/>
      <c r="U52" s="1258" t="str">
        <f>INDEX(PT_DIFFERENTIATION_NUM_IST_TE,MATCH(D52,PT_DIFFERENTIATION_IST_TE_ID,0))</f>
        <v>...</v>
      </c>
      <c r="V52" s="226" t="s">
        <v>432</v>
      </c>
      <c r="W52" s="214"/>
      <c r="X52" s="3894"/>
      <c r="Y52" s="3895"/>
      <c r="Z52" s="3895"/>
      <c r="AA52" s="3895"/>
      <c r="AB52" s="3895"/>
      <c r="AC52" s="3895"/>
      <c r="AD52" s="3895"/>
      <c r="AE52" s="3895"/>
      <c r="AF52" s="3896"/>
      <c r="AG52" s="3894" t="str">
        <f>INDEX(PT_DIFFERENTIATION_IST_TE,MATCH(D52,PT_DIFFERENTIATION_IST_TE_ID,0))</f>
        <v/>
      </c>
      <c r="AH52" s="3895"/>
      <c r="AI52" s="3895"/>
      <c r="AJ52" s="3895"/>
      <c r="AK52" s="3895"/>
      <c r="AL52" s="3895"/>
      <c r="AM52" s="3895"/>
      <c r="AN52" s="3895"/>
      <c r="AO52" s="3895"/>
      <c r="AP52" s="3896"/>
      <c r="AQ52" s="1182" t="s">
        <v>433</v>
      </c>
      <c r="AS52" s="424"/>
      <c r="AT52" s="424" t="str">
        <f t="shared" si="2"/>
        <v xml:space="preserve">Источник тепловой энергии  </v>
      </c>
      <c r="AU52" s="424"/>
      <c r="AV52" s="424"/>
    </row>
    <row r="53" spans="1:48" s="1562" customFormat="1" ht="0" hidden="1" customHeight="1">
      <c r="A53" s="1296" t="s">
        <v>192</v>
      </c>
      <c r="B53" s="1296" t="s">
        <v>193</v>
      </c>
      <c r="C53" s="1296" t="s">
        <v>194</v>
      </c>
      <c r="D53" s="1296" t="s">
        <v>195</v>
      </c>
      <c r="E53" s="3939"/>
      <c r="F53" s="3939"/>
      <c r="G53" s="3939"/>
      <c r="H53" s="3939"/>
      <c r="I53" s="3778" t="str">
        <f>U52&amp;".1"</f>
        <v>....1</v>
      </c>
      <c r="J53" s="1296"/>
      <c r="K53" s="1296"/>
      <c r="L53" s="1296"/>
      <c r="M53" s="1302" t="s">
        <v>434</v>
      </c>
      <c r="N53" s="1160"/>
      <c r="O53" s="1160"/>
      <c r="P53" s="1160"/>
      <c r="Q53" s="3907">
        <v>1</v>
      </c>
      <c r="R53" s="1253"/>
      <c r="S53" s="1253"/>
      <c r="T53" s="277"/>
      <c r="U53" s="953"/>
      <c r="V53" s="1304"/>
      <c r="W53" s="1305"/>
      <c r="X53" s="3935"/>
      <c r="Y53" s="3936"/>
      <c r="Z53" s="3936"/>
      <c r="AA53" s="3936"/>
      <c r="AB53" s="3936"/>
      <c r="AC53" s="3936"/>
      <c r="AD53" s="3936"/>
      <c r="AE53" s="3936"/>
      <c r="AF53" s="3937"/>
      <c r="AG53" s="3935"/>
      <c r="AH53" s="3936"/>
      <c r="AI53" s="3936"/>
      <c r="AJ53" s="3936"/>
      <c r="AK53" s="3936"/>
      <c r="AL53" s="3936"/>
      <c r="AM53" s="3936"/>
      <c r="AN53" s="3936"/>
      <c r="AO53" s="3936"/>
      <c r="AP53" s="3937"/>
      <c r="AQ53" s="1306"/>
      <c r="AS53" s="424"/>
      <c r="AT53" s="424" t="str">
        <f t="shared" si="2"/>
        <v/>
      </c>
      <c r="AU53" s="424"/>
      <c r="AV53" s="424"/>
    </row>
    <row r="54" spans="1:48" ht="21" customHeight="1">
      <c r="A54" s="1191" t="s">
        <v>192</v>
      </c>
      <c r="B54" s="1191" t="s">
        <v>193</v>
      </c>
      <c r="C54" s="1191" t="s">
        <v>194</v>
      </c>
      <c r="D54" s="1191" t="s">
        <v>195</v>
      </c>
      <c r="E54" s="3939"/>
      <c r="F54" s="3939"/>
      <c r="G54" s="3939"/>
      <c r="H54" s="3939"/>
      <c r="I54" s="3749"/>
      <c r="J54" s="3778" t="str">
        <f>I53&amp;".1"</f>
        <v>....1.1</v>
      </c>
      <c r="K54" s="1191"/>
      <c r="L54" s="1191"/>
      <c r="M54" s="1233" t="s">
        <v>437</v>
      </c>
      <c r="Q54" s="3907"/>
      <c r="R54" s="3907">
        <v>1</v>
      </c>
      <c r="S54" s="442"/>
      <c r="T54" s="278"/>
      <c r="U54" s="1258" t="str">
        <f>$J54</f>
        <v>....1.1</v>
      </c>
      <c r="V54" s="201" t="s">
        <v>438</v>
      </c>
      <c r="W54" s="214"/>
      <c r="X54" s="3897"/>
      <c r="Y54" s="3898"/>
      <c r="Z54" s="3898"/>
      <c r="AA54" s="3898"/>
      <c r="AB54" s="3898"/>
      <c r="AC54" s="3890"/>
      <c r="AD54" s="3890"/>
      <c r="AE54" s="3890"/>
      <c r="AF54" s="3940"/>
      <c r="AG54" s="3897"/>
      <c r="AH54" s="3898"/>
      <c r="AI54" s="3898"/>
      <c r="AJ54" s="3898"/>
      <c r="AK54" s="3898"/>
      <c r="AL54" s="3898"/>
      <c r="AM54" s="3898"/>
      <c r="AN54" s="3898"/>
      <c r="AO54" s="3898"/>
      <c r="AP54" s="3899"/>
      <c r="AQ54" s="1182" t="s">
        <v>439</v>
      </c>
      <c r="AS54" s="424"/>
      <c r="AT54" s="424" t="str">
        <f t="shared" si="2"/>
        <v>Группа потребителей</v>
      </c>
      <c r="AU54" s="424"/>
      <c r="AV54" s="424"/>
    </row>
    <row r="55" spans="1:48" ht="21" customHeight="1">
      <c r="A55" s="1191" t="s">
        <v>192</v>
      </c>
      <c r="B55" s="1191" t="s">
        <v>193</v>
      </c>
      <c r="C55" s="1191" t="s">
        <v>194</v>
      </c>
      <c r="D55" s="1191" t="s">
        <v>195</v>
      </c>
      <c r="E55" s="3939"/>
      <c r="F55" s="3939"/>
      <c r="G55" s="3939"/>
      <c r="H55" s="3939"/>
      <c r="I55" s="3749"/>
      <c r="J55" s="3749"/>
      <c r="K55" s="3778" t="str">
        <f>J54&amp;".1"</f>
        <v>....1.1.1</v>
      </c>
      <c r="L55" s="61"/>
      <c r="M55" s="1233" t="s">
        <v>440</v>
      </c>
      <c r="Q55" s="3907"/>
      <c r="R55" s="3907"/>
      <c r="S55" s="442">
        <v>1</v>
      </c>
      <c r="T55" s="278"/>
      <c r="U55" s="1258" t="str">
        <f>$K55</f>
        <v>....1.1.1</v>
      </c>
      <c r="V55" s="1269"/>
      <c r="W55" s="214"/>
      <c r="X55" s="666"/>
      <c r="Y55" s="666"/>
      <c r="Z55" s="666"/>
      <c r="AA55" s="666"/>
      <c r="AB55" s="1326"/>
      <c r="AC55" s="3911"/>
      <c r="AD55" s="3759" t="s">
        <v>60</v>
      </c>
      <c r="AE55" s="3911"/>
      <c r="AF55" s="3759" t="s">
        <v>60</v>
      </c>
      <c r="AG55" s="1328"/>
      <c r="AH55" s="666"/>
      <c r="AI55" s="666"/>
      <c r="AJ55" s="666"/>
      <c r="AK55" s="1181"/>
      <c r="AL55" s="3911"/>
      <c r="AM55" s="3759" t="s">
        <v>60</v>
      </c>
      <c r="AN55" s="3911"/>
      <c r="AO55" s="3759" t="s">
        <v>60</v>
      </c>
      <c r="AP55" s="1270"/>
      <c r="AQ55" s="1231" t="s">
        <v>479</v>
      </c>
      <c r="AR55" s="435" t="e">
        <f ca="1">STRCHECKDATE(X57:AP57)</f>
        <v>#NAME?</v>
      </c>
      <c r="AS55" s="424"/>
      <c r="AT55" s="424" t="str">
        <f t="shared" si="2"/>
        <v/>
      </c>
      <c r="AU55" s="424"/>
      <c r="AV55" s="424"/>
    </row>
    <row r="56" spans="1:48" ht="11.25" customHeight="1">
      <c r="A56" s="1191" t="s">
        <v>192</v>
      </c>
      <c r="B56" s="1191" t="s">
        <v>193</v>
      </c>
      <c r="C56" s="1191" t="s">
        <v>194</v>
      </c>
      <c r="D56" s="1191" t="s">
        <v>195</v>
      </c>
      <c r="E56" s="3939"/>
      <c r="F56" s="3939"/>
      <c r="G56" s="3939"/>
      <c r="H56" s="3939"/>
      <c r="I56" s="3749"/>
      <c r="J56" s="3749"/>
      <c r="K56" s="3749"/>
      <c r="L56" s="3778" t="str">
        <f>K55&amp;".1"</f>
        <v>....1.1.1.1</v>
      </c>
      <c r="M56" s="1233"/>
      <c r="Q56" s="3907"/>
      <c r="R56" s="3907"/>
      <c r="S56" s="442">
        <v>1</v>
      </c>
      <c r="T56" s="278"/>
      <c r="U56" s="1258" t="str">
        <f>$L56</f>
        <v>....1.1.1.1</v>
      </c>
      <c r="V56" s="1312"/>
      <c r="W56" s="214"/>
      <c r="X56" s="246"/>
      <c r="Y56" s="666"/>
      <c r="Z56" s="666"/>
      <c r="AA56" s="666"/>
      <c r="AB56" s="1326"/>
      <c r="AC56" s="3912"/>
      <c r="AD56" s="3759"/>
      <c r="AE56" s="3912"/>
      <c r="AF56" s="3759"/>
      <c r="AG56" s="1328"/>
      <c r="AH56" s="666"/>
      <c r="AI56" s="666"/>
      <c r="AJ56" s="666"/>
      <c r="AK56" s="1181"/>
      <c r="AL56" s="3912"/>
      <c r="AM56" s="3759"/>
      <c r="AN56" s="3912"/>
      <c r="AO56" s="3759"/>
      <c r="AP56" s="1270"/>
      <c r="AQ56" s="3903" t="s">
        <v>480</v>
      </c>
      <c r="AR56" s="435" t="e">
        <f ca="1">STRCHECKDATE(X58:AP58)</f>
        <v>#NAME?</v>
      </c>
      <c r="AS56" s="424"/>
      <c r="AT56" s="424" t="str">
        <f t="shared" si="2"/>
        <v/>
      </c>
      <c r="AU56" s="424"/>
      <c r="AV56" s="424"/>
    </row>
    <row r="57" spans="1:48" ht="0" hidden="1" customHeight="1">
      <c r="A57" s="1191" t="s">
        <v>192</v>
      </c>
      <c r="B57" s="1191" t="s">
        <v>193</v>
      </c>
      <c r="C57" s="1191" t="s">
        <v>194</v>
      </c>
      <c r="D57" s="1191" t="s">
        <v>195</v>
      </c>
      <c r="E57" s="3939"/>
      <c r="F57" s="3939"/>
      <c r="G57" s="3939"/>
      <c r="H57" s="3939"/>
      <c r="I57" s="3749"/>
      <c r="J57" s="3749"/>
      <c r="K57" s="3749"/>
      <c r="L57" s="3778"/>
      <c r="M57" s="1233"/>
      <c r="Q57" s="3907"/>
      <c r="R57" s="3907"/>
      <c r="S57" s="442"/>
      <c r="T57" s="278"/>
      <c r="U57" s="1264"/>
      <c r="V57" s="214"/>
      <c r="W57" s="214"/>
      <c r="X57" s="246"/>
      <c r="Y57" s="246"/>
      <c r="Z57" s="246"/>
      <c r="AA57" s="246"/>
      <c r="AB57" s="1327" t="str">
        <f>AC55&amp;"-"&amp;AE55</f>
        <v>-</v>
      </c>
      <c r="AC57" s="3912"/>
      <c r="AD57" s="3759"/>
      <c r="AE57" s="3912"/>
      <c r="AF57" s="3759"/>
      <c r="AG57" s="1303"/>
      <c r="AH57" s="246"/>
      <c r="AI57" s="246"/>
      <c r="AJ57" s="246"/>
      <c r="AK57" s="250" t="str">
        <f>AL55&amp;"-"&amp;AN55</f>
        <v>-</v>
      </c>
      <c r="AL57" s="3912"/>
      <c r="AM57" s="3759"/>
      <c r="AN57" s="3912"/>
      <c r="AO57" s="3759"/>
      <c r="AP57" s="1271"/>
      <c r="AQ57" s="3904"/>
      <c r="AS57" s="424"/>
      <c r="AT57" s="424" t="str">
        <f t="shared" si="2"/>
        <v/>
      </c>
      <c r="AU57" s="424"/>
      <c r="AV57" s="424"/>
    </row>
    <row r="58" spans="1:48" ht="11.25" customHeight="1">
      <c r="A58" s="1191" t="s">
        <v>192</v>
      </c>
      <c r="B58" s="1191" t="s">
        <v>193</v>
      </c>
      <c r="C58" s="1191" t="s">
        <v>194</v>
      </c>
      <c r="D58" s="1191" t="s">
        <v>195</v>
      </c>
      <c r="E58" s="3939"/>
      <c r="F58" s="3939"/>
      <c r="G58" s="3939"/>
      <c r="H58" s="3939"/>
      <c r="I58" s="3749"/>
      <c r="J58" s="3749"/>
      <c r="K58" s="3778"/>
      <c r="L58" s="1191"/>
      <c r="M58" s="1233"/>
      <c r="Q58" s="3907"/>
      <c r="R58" s="3907"/>
      <c r="S58" s="1253"/>
      <c r="T58" s="277"/>
      <c r="U58" s="1203"/>
      <c r="V58" s="203" t="s">
        <v>481</v>
      </c>
      <c r="W58" s="291"/>
      <c r="X58" s="291"/>
      <c r="Y58" s="291"/>
      <c r="Z58" s="291"/>
      <c r="AA58" s="291"/>
      <c r="AB58" s="291"/>
      <c r="AC58" s="3912"/>
      <c r="AD58" s="3759"/>
      <c r="AE58" s="3912"/>
      <c r="AF58" s="3759"/>
      <c r="AG58" s="291"/>
      <c r="AH58" s="291"/>
      <c r="AI58" s="291"/>
      <c r="AJ58" s="291"/>
      <c r="AK58" s="291"/>
      <c r="AL58" s="3912"/>
      <c r="AM58" s="3759"/>
      <c r="AN58" s="3912"/>
      <c r="AO58" s="3759"/>
      <c r="AP58" s="245"/>
      <c r="AQ58" s="3904"/>
      <c r="AS58" s="424"/>
      <c r="AT58" s="424" t="str">
        <f t="shared" si="2"/>
        <v>Добавить наименование поставщика</v>
      </c>
      <c r="AU58" s="424"/>
      <c r="AV58" s="424"/>
    </row>
    <row r="59" spans="1:48" ht="11.25" customHeight="1">
      <c r="A59" s="1191" t="s">
        <v>192</v>
      </c>
      <c r="B59" s="1191" t="s">
        <v>193</v>
      </c>
      <c r="C59" s="1191" t="s">
        <v>194</v>
      </c>
      <c r="D59" s="1191" t="s">
        <v>195</v>
      </c>
      <c r="E59" s="3939"/>
      <c r="F59" s="3939"/>
      <c r="G59" s="3939"/>
      <c r="H59" s="3939"/>
      <c r="I59" s="3749"/>
      <c r="J59" s="3778"/>
      <c r="K59" s="1191"/>
      <c r="L59" s="1191"/>
      <c r="M59" s="1233"/>
      <c r="Q59" s="3907"/>
      <c r="R59" s="3907"/>
      <c r="S59" s="1253"/>
      <c r="T59" s="277"/>
      <c r="U59" s="1203"/>
      <c r="V59" s="202" t="s">
        <v>442</v>
      </c>
      <c r="W59" s="291"/>
      <c r="X59" s="291"/>
      <c r="Y59" s="291"/>
      <c r="Z59" s="291"/>
      <c r="AA59" s="291"/>
      <c r="AB59" s="291"/>
      <c r="AC59" s="1329"/>
      <c r="AD59" s="1329"/>
      <c r="AE59" s="1329"/>
      <c r="AF59" s="1329"/>
      <c r="AG59" s="291"/>
      <c r="AH59" s="291"/>
      <c r="AI59" s="291"/>
      <c r="AJ59" s="291"/>
      <c r="AK59" s="291"/>
      <c r="AL59" s="291"/>
      <c r="AM59" s="291"/>
      <c r="AN59" s="291"/>
      <c r="AO59" s="291"/>
      <c r="AP59" s="245"/>
      <c r="AQ59" s="3905"/>
      <c r="AS59" s="424"/>
      <c r="AT59" s="424" t="str">
        <f t="shared" si="2"/>
        <v>Добавить вид теплоносителя (параметры теплоносителя)</v>
      </c>
      <c r="AU59" s="424"/>
      <c r="AV59" s="424"/>
    </row>
    <row r="60" spans="1:48" ht="11.25" customHeight="1">
      <c r="A60" s="1191" t="s">
        <v>192</v>
      </c>
      <c r="B60" s="1191" t="s">
        <v>193</v>
      </c>
      <c r="C60" s="1191" t="s">
        <v>194</v>
      </c>
      <c r="D60" s="1191" t="s">
        <v>195</v>
      </c>
      <c r="E60" s="3939"/>
      <c r="F60" s="3939"/>
      <c r="G60" s="3939"/>
      <c r="H60" s="3939"/>
      <c r="I60" s="3778"/>
      <c r="J60" s="1191"/>
      <c r="K60" s="1191"/>
      <c r="L60" s="1191"/>
      <c r="M60" s="1233"/>
      <c r="Q60" s="3907"/>
      <c r="R60" s="1253"/>
      <c r="S60" s="1253"/>
      <c r="T60" s="277"/>
      <c r="U60" s="1203"/>
      <c r="V60" s="288" t="s">
        <v>443</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192</v>
      </c>
      <c r="B61" s="1191" t="s">
        <v>193</v>
      </c>
      <c r="C61" s="1191" t="s">
        <v>194</v>
      </c>
      <c r="D61" s="1191" t="s">
        <v>195</v>
      </c>
      <c r="E61" s="3939"/>
      <c r="F61" s="3939"/>
      <c r="G61" s="3939"/>
      <c r="H61" s="3938"/>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192</v>
      </c>
      <c r="B62" s="1296" t="s">
        <v>193</v>
      </c>
      <c r="C62" s="1296" t="s">
        <v>194</v>
      </c>
      <c r="D62" s="1295"/>
      <c r="E62" s="3939"/>
      <c r="F62" s="3939"/>
      <c r="G62" s="3938"/>
      <c r="H62" s="1295"/>
      <c r="I62" s="1295"/>
      <c r="J62" s="1295"/>
      <c r="K62" s="1295"/>
      <c r="L62" s="1295"/>
      <c r="M62" s="1298"/>
      <c r="N62" s="1299"/>
      <c r="O62" s="1299"/>
      <c r="P62" s="272"/>
      <c r="Q62" s="1239"/>
      <c r="R62" s="1240"/>
      <c r="S62" s="1239"/>
      <c r="T62" s="1239"/>
      <c r="U62" s="1245"/>
      <c r="V62" s="1248" t="s">
        <v>445</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192</v>
      </c>
      <c r="B63" s="1296" t="s">
        <v>193</v>
      </c>
      <c r="C63" s="1295"/>
      <c r="D63" s="1295"/>
      <c r="E63" s="3939"/>
      <c r="F63" s="3938"/>
      <c r="G63" s="1295"/>
      <c r="H63" s="1295"/>
      <c r="I63" s="1295"/>
      <c r="J63" s="1295"/>
      <c r="K63" s="1295"/>
      <c r="L63" s="1295"/>
      <c r="M63" s="1298"/>
      <c r="N63" s="1300"/>
      <c r="O63" s="1300"/>
      <c r="P63" s="272"/>
      <c r="Q63" s="1239"/>
      <c r="R63" s="1240"/>
      <c r="S63" s="1239"/>
      <c r="T63" s="1239"/>
      <c r="U63" s="1245"/>
      <c r="V63" s="1248" t="s">
        <v>240</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192</v>
      </c>
      <c r="B64" s="1296"/>
      <c r="C64" s="1296"/>
      <c r="D64" s="1296"/>
      <c r="E64" s="3938"/>
      <c r="F64" s="1296"/>
      <c r="G64" s="1296"/>
      <c r="H64" s="1296"/>
      <c r="I64" s="1296"/>
      <c r="J64" s="1296"/>
      <c r="K64" s="1296"/>
      <c r="L64" s="1296"/>
      <c r="M64" s="1302"/>
      <c r="N64" s="1300"/>
      <c r="O64" s="1300"/>
      <c r="P64" s="272"/>
      <c r="Q64" s="308"/>
      <c r="R64" s="1266"/>
      <c r="S64" s="308"/>
      <c r="T64" s="308"/>
      <c r="U64" s="1245"/>
      <c r="V64" s="1248" t="s">
        <v>241</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262</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3928"/>
      <c r="W67" s="3928"/>
      <c r="X67" s="3928"/>
      <c r="Y67" s="3928"/>
      <c r="Z67" s="3928"/>
      <c r="AA67" s="3928"/>
      <c r="AB67" s="3928"/>
      <c r="AC67" s="3928"/>
      <c r="AD67" s="3928"/>
      <c r="AE67" s="3928"/>
      <c r="AF67" s="3928"/>
      <c r="AG67" s="3928"/>
      <c r="AH67" s="3928"/>
      <c r="AI67" s="3928"/>
      <c r="AJ67" s="3928"/>
      <c r="AK67" s="3928"/>
      <c r="AL67" s="3928"/>
      <c r="AM67" s="3928"/>
      <c r="AN67" s="3928"/>
      <c r="AO67" s="3928"/>
      <c r="AP67" s="3928"/>
      <c r="AQ67" s="3928"/>
    </row>
    <row r="68" spans="1:48" ht="19.5" customHeight="1">
      <c r="P68" s="433"/>
      <c r="V68" s="3928"/>
      <c r="W68" s="3928"/>
      <c r="X68" s="3928"/>
      <c r="Y68" s="3928"/>
      <c r="Z68" s="3928"/>
      <c r="AA68" s="3928"/>
      <c r="AB68" s="3928"/>
      <c r="AC68" s="3928"/>
      <c r="AD68" s="3928"/>
      <c r="AE68" s="3928"/>
      <c r="AF68" s="3928"/>
      <c r="AG68" s="3928"/>
      <c r="AH68" s="3928"/>
      <c r="AI68" s="3928"/>
      <c r="AJ68" s="3928"/>
      <c r="AK68" s="3928"/>
      <c r="AL68" s="3928"/>
      <c r="AM68" s="3928"/>
      <c r="AN68" s="3928"/>
      <c r="AO68" s="3928"/>
      <c r="AP68" s="3928"/>
      <c r="AQ68" s="3928"/>
    </row>
    <row r="69" spans="1:48" ht="14.25" customHeight="1">
      <c r="P69" s="433"/>
    </row>
    <row r="70" spans="1:48" ht="27" customHeight="1">
      <c r="P70" s="433"/>
      <c r="V70" s="3928"/>
      <c r="W70" s="3928"/>
      <c r="X70" s="3928"/>
      <c r="Y70" s="3928"/>
      <c r="Z70" s="3928"/>
      <c r="AA70" s="3928"/>
      <c r="AB70" s="3928"/>
      <c r="AC70" s="3928"/>
      <c r="AD70" s="3928"/>
      <c r="AE70" s="3928"/>
      <c r="AF70" s="3928"/>
      <c r="AG70" s="3928"/>
      <c r="AH70" s="3928"/>
      <c r="AI70" s="3928"/>
      <c r="AJ70" s="3928"/>
      <c r="AK70" s="3928"/>
      <c r="AL70" s="3928"/>
      <c r="AM70" s="3928"/>
      <c r="AN70" s="3928"/>
      <c r="AO70" s="3928"/>
      <c r="AP70" s="3928"/>
      <c r="AQ70" s="3928"/>
    </row>
    <row r="71" spans="1:48" ht="18" customHeight="1">
      <c r="P71" s="433"/>
      <c r="V71" s="3928"/>
      <c r="W71" s="3928"/>
      <c r="X71" s="3928"/>
      <c r="Y71" s="3928"/>
      <c r="Z71" s="3928"/>
      <c r="AA71" s="3928"/>
      <c r="AB71" s="3928"/>
      <c r="AC71" s="3928"/>
      <c r="AD71" s="3928"/>
      <c r="AE71" s="3928"/>
      <c r="AF71" s="3928"/>
      <c r="AG71" s="3928"/>
      <c r="AH71" s="3928"/>
      <c r="AI71" s="3928"/>
      <c r="AJ71" s="3928"/>
      <c r="AK71" s="3928"/>
      <c r="AL71" s="3928"/>
      <c r="AM71" s="3928"/>
      <c r="AN71" s="3928"/>
      <c r="AO71" s="3928"/>
      <c r="AP71" s="3928"/>
      <c r="AQ71" s="39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3908">
        <v>1</v>
      </c>
      <c r="F2" s="1284"/>
      <c r="G2" s="1284"/>
      <c r="H2" s="1284"/>
      <c r="I2" s="1284"/>
      <c r="J2" s="1284"/>
      <c r="K2" s="1284"/>
      <c r="L2" s="1285"/>
      <c r="M2" s="1286"/>
      <c r="N2" s="1286"/>
      <c r="O2" s="1286"/>
      <c r="P2" s="1330"/>
      <c r="Q2" s="787"/>
      <c r="R2" s="276"/>
      <c r="S2" s="1258" t="e">
        <f>INDEX(PT_DIFFERENTIATION_NUM_NTAR,MATCH(A2,PT_DIFFERENTIATION_NTAR_ID,0))</f>
        <v>#N/A</v>
      </c>
      <c r="T2" s="212" t="s">
        <v>141</v>
      </c>
      <c r="U2" s="214"/>
      <c r="V2" s="3895"/>
      <c r="W2" s="3895"/>
      <c r="X2" s="3895"/>
      <c r="Y2" s="3895"/>
      <c r="Z2" s="3895"/>
      <c r="AA2" s="3896"/>
      <c r="AB2" s="3894" t="e">
        <f>INDEX(PT_DIFFERENTIATION_NTAR,MATCH(A2,PT_DIFFERENTIATION_NTAR_ID,0))</f>
        <v>#N/A</v>
      </c>
      <c r="AC2" s="3895"/>
      <c r="AD2" s="3895"/>
      <c r="AE2" s="3895"/>
      <c r="AF2" s="3895"/>
      <c r="AG2" s="3895"/>
      <c r="AH2" s="3895"/>
      <c r="AI2" s="3895"/>
      <c r="AJ2" s="3895"/>
      <c r="AK2" s="3895"/>
      <c r="AL2" s="3895"/>
      <c r="AM2" s="3895"/>
      <c r="AN2" s="3895"/>
      <c r="AO2" s="3895"/>
      <c r="AP2" s="3895"/>
      <c r="AQ2" s="3895"/>
      <c r="AR2" s="3895"/>
      <c r="AS2" s="3895"/>
      <c r="AT2" s="3896"/>
      <c r="AU2" s="1182" t="s">
        <v>427</v>
      </c>
      <c r="AW2" s="424"/>
      <c r="AX2" s="424" t="str">
        <f t="shared" ref="AX2:AX8" si="0">IF(T2="","",T2)</f>
        <v>Наименование тарифа</v>
      </c>
      <c r="AY2" s="424"/>
      <c r="AZ2" s="424"/>
    </row>
    <row r="3" spans="1:52" ht="21" hidden="1" customHeight="1">
      <c r="A3" s="1284"/>
      <c r="B3" s="1284"/>
      <c r="C3" s="1284"/>
      <c r="D3" s="1284"/>
      <c r="E3" s="3909"/>
      <c r="F3" s="3908">
        <v>1</v>
      </c>
      <c r="G3" s="1284"/>
      <c r="H3" s="1284"/>
      <c r="I3" s="1284"/>
      <c r="J3" s="1284"/>
      <c r="K3" s="1284"/>
      <c r="L3" s="1285"/>
      <c r="M3" s="1286"/>
      <c r="N3" s="1286"/>
      <c r="O3" s="1286"/>
      <c r="P3" s="1331"/>
      <c r="Q3" s="1332"/>
      <c r="R3" s="274"/>
      <c r="S3" s="1258" t="e">
        <f>INDEX(PT_DIFFERENTIATION_NUM_TER,MATCH(B3,PT_DIFFERENTIATION_TER_ID,0))</f>
        <v>#N/A</v>
      </c>
      <c r="T3" s="224" t="s">
        <v>428</v>
      </c>
      <c r="U3" s="214"/>
      <c r="V3" s="3895"/>
      <c r="W3" s="3895"/>
      <c r="X3" s="3895"/>
      <c r="Y3" s="3895"/>
      <c r="Z3" s="3895"/>
      <c r="AA3" s="3896"/>
      <c r="AB3" s="3894" t="e">
        <f>INDEX(PT_DIFFERENTIATION_TER,MATCH(B3,PT_DIFFERENTIATION_TER_ID,0))</f>
        <v>#N/A</v>
      </c>
      <c r="AC3" s="3895"/>
      <c r="AD3" s="3895"/>
      <c r="AE3" s="3895"/>
      <c r="AF3" s="3895"/>
      <c r="AG3" s="3895"/>
      <c r="AH3" s="3895"/>
      <c r="AI3" s="3895"/>
      <c r="AJ3" s="3895"/>
      <c r="AK3" s="3895"/>
      <c r="AL3" s="3895"/>
      <c r="AM3" s="3895"/>
      <c r="AN3" s="3895"/>
      <c r="AO3" s="3895"/>
      <c r="AP3" s="3895"/>
      <c r="AQ3" s="3895"/>
      <c r="AR3" s="3895"/>
      <c r="AS3" s="3895"/>
      <c r="AT3" s="3896"/>
      <c r="AU3" s="1182" t="s">
        <v>429</v>
      </c>
      <c r="AW3" s="424"/>
      <c r="AX3" s="424" t="str">
        <f t="shared" si="0"/>
        <v>Территория действия тарифа</v>
      </c>
      <c r="AY3" s="424"/>
      <c r="AZ3" s="424"/>
    </row>
    <row r="4" spans="1:52" ht="22.5" hidden="1" customHeight="1">
      <c r="A4" s="1284"/>
      <c r="B4" s="1284"/>
      <c r="C4" s="1284"/>
      <c r="D4" s="1284"/>
      <c r="E4" s="3909"/>
      <c r="F4" s="3909"/>
      <c r="G4" s="3908">
        <v>1</v>
      </c>
      <c r="H4" s="1284"/>
      <c r="I4" s="1284"/>
      <c r="J4" s="1284"/>
      <c r="K4" s="1284"/>
      <c r="L4" s="1285"/>
      <c r="M4" s="1286"/>
      <c r="N4" s="1286"/>
      <c r="O4" s="1286"/>
      <c r="P4" s="1333"/>
      <c r="Q4" s="1332"/>
      <c r="R4" s="274"/>
      <c r="S4" s="1258" t="e">
        <f>INDEX(PT_DIFFERENTIATION_NUM_CS,MATCH(C4,PT_DIFFERENTIATION_CS_ID,0))</f>
        <v>#N/A</v>
      </c>
      <c r="T4" s="225" t="s">
        <v>430</v>
      </c>
      <c r="U4" s="214"/>
      <c r="V4" s="3895"/>
      <c r="W4" s="3895"/>
      <c r="X4" s="3895"/>
      <c r="Y4" s="3895"/>
      <c r="Z4" s="3895"/>
      <c r="AA4" s="3896"/>
      <c r="AB4" s="3894" t="e">
        <f>INDEX(PT_DIFFERENTIATION_CS,MATCH(C4,PT_DIFFERENTIATION_CS_ID,0))</f>
        <v>#N/A</v>
      </c>
      <c r="AC4" s="3895"/>
      <c r="AD4" s="3895"/>
      <c r="AE4" s="3895"/>
      <c r="AF4" s="3895"/>
      <c r="AG4" s="3895"/>
      <c r="AH4" s="3895"/>
      <c r="AI4" s="3895"/>
      <c r="AJ4" s="3895"/>
      <c r="AK4" s="3895"/>
      <c r="AL4" s="3895"/>
      <c r="AM4" s="3895"/>
      <c r="AN4" s="3895"/>
      <c r="AO4" s="3895"/>
      <c r="AP4" s="3895"/>
      <c r="AQ4" s="3895"/>
      <c r="AR4" s="3895"/>
      <c r="AS4" s="3895"/>
      <c r="AT4" s="3896"/>
      <c r="AU4" s="1182" t="s">
        <v>431</v>
      </c>
      <c r="AW4" s="424"/>
      <c r="AX4" s="424" t="str">
        <f t="shared" si="0"/>
        <v xml:space="preserve">Наименование системы теплоснабжения </v>
      </c>
      <c r="AY4" s="424"/>
      <c r="AZ4" s="424"/>
    </row>
    <row r="5" spans="1:52" ht="21" hidden="1" customHeight="1">
      <c r="A5" s="1284"/>
      <c r="B5" s="1284"/>
      <c r="C5" s="1284"/>
      <c r="D5" s="1284"/>
      <c r="E5" s="3909"/>
      <c r="F5" s="3909"/>
      <c r="G5" s="3909"/>
      <c r="H5" s="3908">
        <v>1</v>
      </c>
      <c r="I5" s="1284"/>
      <c r="J5" s="1284"/>
      <c r="K5" s="1284"/>
      <c r="L5" s="1285"/>
      <c r="M5" s="1286"/>
      <c r="N5" s="1286"/>
      <c r="O5" s="1286"/>
      <c r="P5" s="1333"/>
      <c r="Q5" s="1332"/>
      <c r="R5" s="274"/>
      <c r="S5" s="1258" t="e">
        <f>INDEX(PT_DIFFERENTIATION_NUM_IST_TE,MATCH(D5,PT_DIFFERENTIATION_IST_TE_ID,0))</f>
        <v>#N/A</v>
      </c>
      <c r="T5" s="226" t="s">
        <v>432</v>
      </c>
      <c r="U5" s="214"/>
      <c r="V5" s="3895"/>
      <c r="W5" s="3895"/>
      <c r="X5" s="3895"/>
      <c r="Y5" s="3895"/>
      <c r="Z5" s="3895"/>
      <c r="AA5" s="3896"/>
      <c r="AB5" s="3894" t="e">
        <f>INDEX(PT_DIFFERENTIATION_IST_TE,MATCH(D5,PT_DIFFERENTIATION_IST_TE_ID,0))</f>
        <v>#N/A</v>
      </c>
      <c r="AC5" s="3895"/>
      <c r="AD5" s="3895"/>
      <c r="AE5" s="3895"/>
      <c r="AF5" s="3895"/>
      <c r="AG5" s="3895"/>
      <c r="AH5" s="3895"/>
      <c r="AI5" s="3895"/>
      <c r="AJ5" s="3895"/>
      <c r="AK5" s="3895"/>
      <c r="AL5" s="3895"/>
      <c r="AM5" s="3895"/>
      <c r="AN5" s="3895"/>
      <c r="AO5" s="3895"/>
      <c r="AP5" s="3895"/>
      <c r="AQ5" s="3895"/>
      <c r="AR5" s="3895"/>
      <c r="AS5" s="3895"/>
      <c r="AT5" s="3896"/>
      <c r="AU5" s="1182" t="s">
        <v>433</v>
      </c>
      <c r="AW5" s="424"/>
      <c r="AX5" s="424" t="str">
        <f t="shared" si="0"/>
        <v xml:space="preserve">Источник тепловой энергии  </v>
      </c>
      <c r="AY5" s="424"/>
      <c r="AZ5" s="424"/>
    </row>
    <row r="6" spans="1:52" s="1562" customFormat="1" ht="14.25" hidden="1" customHeight="1">
      <c r="A6" s="1265"/>
      <c r="B6" s="1265"/>
      <c r="C6" s="1265"/>
      <c r="D6" s="1265"/>
      <c r="E6" s="3909"/>
      <c r="F6" s="3909"/>
      <c r="G6" s="3909"/>
      <c r="H6" s="3909"/>
      <c r="I6" s="3906" t="e">
        <f>S5&amp;".1"</f>
        <v>#N/A</v>
      </c>
      <c r="J6" s="1265"/>
      <c r="K6" s="1265"/>
      <c r="L6" s="1268" t="s">
        <v>434</v>
      </c>
      <c r="M6" s="434"/>
      <c r="N6" s="434"/>
      <c r="O6" s="434"/>
      <c r="P6" s="3907">
        <v>1</v>
      </c>
      <c r="Q6" s="1253"/>
      <c r="R6" s="277"/>
      <c r="S6" s="953"/>
      <c r="T6" s="1304"/>
      <c r="U6" s="1305"/>
      <c r="V6" s="3936"/>
      <c r="W6" s="3936"/>
      <c r="X6" s="3936"/>
      <c r="Y6" s="3936"/>
      <c r="Z6" s="3936"/>
      <c r="AA6" s="3937"/>
      <c r="AB6" s="3935"/>
      <c r="AC6" s="3936"/>
      <c r="AD6" s="3936"/>
      <c r="AE6" s="3936"/>
      <c r="AF6" s="3936"/>
      <c r="AG6" s="3936"/>
      <c r="AH6" s="3936"/>
      <c r="AI6" s="3936"/>
      <c r="AJ6" s="3936"/>
      <c r="AK6" s="3936"/>
      <c r="AL6" s="3936"/>
      <c r="AM6" s="3936"/>
      <c r="AN6" s="3936"/>
      <c r="AO6" s="3936"/>
      <c r="AP6" s="3936"/>
      <c r="AQ6" s="3936"/>
      <c r="AR6" s="3936"/>
      <c r="AS6" s="3936"/>
      <c r="AT6" s="3937"/>
      <c r="AU6" s="1306"/>
      <c r="AW6" s="424"/>
      <c r="AX6" s="424" t="str">
        <f t="shared" si="0"/>
        <v/>
      </c>
      <c r="AY6" s="424"/>
      <c r="AZ6" s="424"/>
    </row>
    <row r="7" spans="1:52" s="1562" customFormat="1" ht="14.25" hidden="1" customHeight="1">
      <c r="A7" s="1265"/>
      <c r="B7" s="1265"/>
      <c r="C7" s="1265"/>
      <c r="D7" s="1265"/>
      <c r="E7" s="3909"/>
      <c r="F7" s="3909"/>
      <c r="G7" s="3909"/>
      <c r="H7" s="3909"/>
      <c r="I7" s="3929"/>
      <c r="J7" s="3906" t="e">
        <f>S5&amp;".1"</f>
        <v>#N/A</v>
      </c>
      <c r="K7" s="1265"/>
      <c r="L7" s="1268"/>
      <c r="M7" s="434"/>
      <c r="N7" s="434"/>
      <c r="O7" s="434"/>
      <c r="P7" s="3907"/>
      <c r="Q7" s="3907">
        <v>1</v>
      </c>
      <c r="R7" s="278"/>
      <c r="S7" s="953"/>
      <c r="T7" s="1320"/>
      <c r="U7" s="1305"/>
      <c r="V7" s="3936"/>
      <c r="W7" s="3936"/>
      <c r="X7" s="3936"/>
      <c r="Y7" s="3936"/>
      <c r="Z7" s="3936"/>
      <c r="AA7" s="3937"/>
      <c r="AB7" s="3935"/>
      <c r="AC7" s="3936"/>
      <c r="AD7" s="3936"/>
      <c r="AE7" s="3936"/>
      <c r="AF7" s="3936"/>
      <c r="AG7" s="3936"/>
      <c r="AH7" s="3936"/>
      <c r="AI7" s="3936"/>
      <c r="AJ7" s="3936"/>
      <c r="AK7" s="3936"/>
      <c r="AL7" s="3936"/>
      <c r="AM7" s="3936"/>
      <c r="AN7" s="3936"/>
      <c r="AO7" s="3936"/>
      <c r="AP7" s="3936"/>
      <c r="AQ7" s="3936"/>
      <c r="AR7" s="3936"/>
      <c r="AS7" s="3936"/>
      <c r="AT7" s="3937"/>
      <c r="AU7" s="1306"/>
      <c r="AW7" s="424"/>
      <c r="AX7" s="424" t="str">
        <f t="shared" si="0"/>
        <v/>
      </c>
      <c r="AY7" s="424"/>
      <c r="AZ7" s="424"/>
    </row>
    <row r="8" spans="1:52" ht="21" hidden="1" customHeight="1">
      <c r="A8" s="1284"/>
      <c r="B8" s="1284"/>
      <c r="C8" s="1284"/>
      <c r="D8" s="1284"/>
      <c r="E8" s="3909"/>
      <c r="F8" s="3909"/>
      <c r="G8" s="3909"/>
      <c r="H8" s="3909"/>
      <c r="I8" s="3929"/>
      <c r="J8" s="3929"/>
      <c r="K8" s="3906" t="e">
        <f>S5&amp;".1"</f>
        <v>#N/A</v>
      </c>
      <c r="L8" s="1285"/>
      <c r="P8" s="3907"/>
      <c r="Q8" s="3907"/>
      <c r="R8" s="3964">
        <v>1</v>
      </c>
      <c r="S8" s="3958" t="e">
        <f>$K8</f>
        <v>#N/A</v>
      </c>
      <c r="T8" s="3961"/>
      <c r="U8" s="214"/>
      <c r="V8" s="666"/>
      <c r="W8" s="1181"/>
      <c r="X8" s="3911"/>
      <c r="Y8" s="3759" t="s">
        <v>60</v>
      </c>
      <c r="Z8" s="3911"/>
      <c r="AA8" s="3759" t="s">
        <v>60</v>
      </c>
      <c r="AB8" s="3759" t="s">
        <v>55</v>
      </c>
      <c r="AC8" s="3944"/>
      <c r="AD8" s="3863">
        <v>1</v>
      </c>
      <c r="AE8" s="3945"/>
      <c r="AF8" s="3759" t="s">
        <v>55</v>
      </c>
      <c r="AG8" s="3944"/>
      <c r="AH8" s="3863">
        <v>1</v>
      </c>
      <c r="AI8" s="3945"/>
      <c r="AJ8" s="3759" t="s">
        <v>55</v>
      </c>
      <c r="AK8" s="227"/>
      <c r="AL8" s="1259">
        <v>1</v>
      </c>
      <c r="AM8" s="1319"/>
      <c r="AN8" s="666"/>
      <c r="AO8" s="1181"/>
      <c r="AP8" s="1653"/>
      <c r="AQ8" s="1377" t="s">
        <v>60</v>
      </c>
      <c r="AR8" s="1653"/>
      <c r="AS8" s="1377" t="s">
        <v>60</v>
      </c>
      <c r="AT8" s="1270"/>
      <c r="AU8" s="3903" t="s">
        <v>491</v>
      </c>
      <c r="AV8" s="435" t="e">
        <f ca="1">STRCHECKDATE(V11:AT11)</f>
        <v>#NAME?</v>
      </c>
      <c r="AW8" s="424"/>
      <c r="AX8" s="424" t="str">
        <f t="shared" si="0"/>
        <v/>
      </c>
      <c r="AY8" s="424"/>
      <c r="AZ8" s="424"/>
    </row>
    <row r="9" spans="1:52" ht="11.25" hidden="1" customHeight="1">
      <c r="A9" s="1284"/>
      <c r="B9" s="1284"/>
      <c r="C9" s="1284"/>
      <c r="D9" s="1284"/>
      <c r="E9" s="3909"/>
      <c r="F9" s="3909"/>
      <c r="G9" s="3909"/>
      <c r="H9" s="3909"/>
      <c r="I9" s="3929"/>
      <c r="J9" s="3929"/>
      <c r="K9" s="3906"/>
      <c r="L9" s="1285"/>
      <c r="P9" s="3907"/>
      <c r="Q9" s="3907"/>
      <c r="R9" s="3964"/>
      <c r="S9" s="3959"/>
      <c r="T9" s="3962"/>
      <c r="U9" s="214"/>
      <c r="V9" s="1314"/>
      <c r="W9" s="1318"/>
      <c r="X9" s="3911"/>
      <c r="Y9" s="3759"/>
      <c r="Z9" s="3911"/>
      <c r="AA9" s="3759"/>
      <c r="AB9" s="3759"/>
      <c r="AC9" s="3944"/>
      <c r="AD9" s="3863"/>
      <c r="AE9" s="3945"/>
      <c r="AF9" s="3759"/>
      <c r="AG9" s="3944"/>
      <c r="AH9" s="3863"/>
      <c r="AI9" s="3945"/>
      <c r="AJ9" s="3759"/>
      <c r="AK9" s="234"/>
      <c r="AL9" s="345"/>
      <c r="AM9" s="344" t="s">
        <v>492</v>
      </c>
      <c r="AN9" s="1314"/>
      <c r="AO9" s="1411"/>
      <c r="AP9" s="1314"/>
      <c r="AQ9" s="1314"/>
      <c r="AR9" s="1314"/>
      <c r="AS9" s="1314"/>
      <c r="AT9" s="1311"/>
      <c r="AU9" s="3904"/>
      <c r="AW9" s="424"/>
      <c r="AX9" s="424"/>
      <c r="AY9" s="424"/>
      <c r="AZ9" s="424"/>
    </row>
    <row r="10" spans="1:52" ht="11.25" hidden="1" customHeight="1">
      <c r="A10" s="1284"/>
      <c r="B10" s="1284"/>
      <c r="C10" s="1284"/>
      <c r="D10" s="1284"/>
      <c r="E10" s="3909"/>
      <c r="F10" s="3909"/>
      <c r="G10" s="3909"/>
      <c r="H10" s="3909"/>
      <c r="I10" s="3929"/>
      <c r="J10" s="3929"/>
      <c r="K10" s="3906"/>
      <c r="L10" s="1285"/>
      <c r="P10" s="3907"/>
      <c r="Q10" s="3907"/>
      <c r="R10" s="3964"/>
      <c r="S10" s="3959"/>
      <c r="T10" s="3962"/>
      <c r="U10" s="214"/>
      <c r="V10" s="1314"/>
      <c r="W10" s="1318"/>
      <c r="X10" s="3911"/>
      <c r="Y10" s="3759"/>
      <c r="Z10" s="3911"/>
      <c r="AA10" s="3759"/>
      <c r="AB10" s="3759"/>
      <c r="AC10" s="3944"/>
      <c r="AD10" s="3863"/>
      <c r="AE10" s="3945"/>
      <c r="AF10" s="3759"/>
      <c r="AG10" s="208"/>
      <c r="AH10" s="344"/>
      <c r="AI10" s="344" t="s">
        <v>493</v>
      </c>
      <c r="AJ10" s="1314"/>
      <c r="AK10" s="1314"/>
      <c r="AL10" s="1314"/>
      <c r="AM10" s="1314"/>
      <c r="AN10" s="1314"/>
      <c r="AO10" s="1411"/>
      <c r="AP10" s="1314"/>
      <c r="AQ10" s="1314"/>
      <c r="AR10" s="1314"/>
      <c r="AS10" s="1314"/>
      <c r="AT10" s="1311"/>
      <c r="AU10" s="3904"/>
      <c r="AW10" s="424"/>
      <c r="AX10" s="424"/>
      <c r="AY10" s="424"/>
      <c r="AZ10" s="424"/>
    </row>
    <row r="11" spans="1:52" ht="11.25" hidden="1" customHeight="1">
      <c r="A11" s="1284"/>
      <c r="B11" s="1284"/>
      <c r="C11" s="1284"/>
      <c r="D11" s="1284"/>
      <c r="E11" s="3909"/>
      <c r="F11" s="3909"/>
      <c r="G11" s="3909"/>
      <c r="H11" s="3909"/>
      <c r="I11" s="3929"/>
      <c r="J11" s="3929"/>
      <c r="K11" s="3906"/>
      <c r="L11" s="1285"/>
      <c r="P11" s="3907"/>
      <c r="Q11" s="3907"/>
      <c r="R11" s="3964"/>
      <c r="S11" s="3960"/>
      <c r="T11" s="3963"/>
      <c r="U11" s="214"/>
      <c r="V11" s="1314"/>
      <c r="W11" s="1317" t="str">
        <f>X8&amp;"-"&amp;Z8</f>
        <v>-</v>
      </c>
      <c r="X11" s="3912"/>
      <c r="Y11" s="3759"/>
      <c r="Z11" s="3912"/>
      <c r="AA11" s="3759"/>
      <c r="AB11" s="3759"/>
      <c r="AC11" s="228"/>
      <c r="AD11" s="230"/>
      <c r="AE11" s="344" t="s">
        <v>494</v>
      </c>
      <c r="AF11" s="1314"/>
      <c r="AG11" s="1314"/>
      <c r="AH11" s="1314"/>
      <c r="AI11" s="1314"/>
      <c r="AJ11" s="1314"/>
      <c r="AK11" s="1314"/>
      <c r="AL11" s="1314"/>
      <c r="AM11" s="1314"/>
      <c r="AN11" s="1314"/>
      <c r="AO11" s="1315" t="str">
        <f>AP8&amp;"-"&amp;AR8</f>
        <v>-</v>
      </c>
      <c r="AP11" s="1314"/>
      <c r="AQ11" s="1314"/>
      <c r="AR11" s="1314"/>
      <c r="AS11" s="1314"/>
      <c r="AT11" s="1271"/>
      <c r="AU11" s="3904"/>
      <c r="AW11" s="424"/>
      <c r="AX11" s="424" t="str">
        <f t="shared" ref="AX11:AX17" si="1">IF(T11="","",T11)</f>
        <v/>
      </c>
      <c r="AY11" s="424"/>
      <c r="AZ11" s="424"/>
    </row>
    <row r="12" spans="1:52" ht="11.25" hidden="1" customHeight="1">
      <c r="A12" s="1284"/>
      <c r="B12" s="1284"/>
      <c r="C12" s="1284"/>
      <c r="D12" s="1284"/>
      <c r="E12" s="3909"/>
      <c r="F12" s="3909"/>
      <c r="G12" s="3909"/>
      <c r="H12" s="3909"/>
      <c r="I12" s="3929"/>
      <c r="J12" s="3906"/>
      <c r="K12" s="1284"/>
      <c r="L12" s="1285"/>
      <c r="P12" s="3907"/>
      <c r="Q12" s="3907"/>
      <c r="R12" s="277"/>
      <c r="S12" s="1203"/>
      <c r="T12" s="202" t="s">
        <v>495</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3905"/>
      <c r="AW12" s="424"/>
      <c r="AX12" s="424" t="str">
        <f t="shared" si="1"/>
        <v>Добавить строку</v>
      </c>
      <c r="AY12" s="424"/>
      <c r="AZ12" s="424"/>
    </row>
    <row r="13" spans="1:52" s="1562" customFormat="1" ht="14.25" hidden="1" customHeight="1">
      <c r="A13" s="1265"/>
      <c r="B13" s="1265"/>
      <c r="C13" s="1265"/>
      <c r="D13" s="1265"/>
      <c r="E13" s="3909"/>
      <c r="F13" s="3909"/>
      <c r="G13" s="3909"/>
      <c r="H13" s="3909"/>
      <c r="I13" s="3906"/>
      <c r="J13" s="1265"/>
      <c r="K13" s="1265"/>
      <c r="L13" s="1268"/>
      <c r="M13" s="434"/>
      <c r="N13" s="434"/>
      <c r="O13" s="434"/>
      <c r="P13" s="3907"/>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3909"/>
      <c r="F14" s="3909"/>
      <c r="G14" s="3909"/>
      <c r="H14" s="3908"/>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3909"/>
      <c r="F15" s="3909"/>
      <c r="G15" s="3908"/>
      <c r="H15" s="1237"/>
      <c r="I15" s="1237"/>
      <c r="J15" s="1237"/>
      <c r="K15" s="1237"/>
      <c r="L15" s="1261"/>
      <c r="M15" s="1238"/>
      <c r="N15" s="1238"/>
      <c r="P15" s="1239"/>
      <c r="Q15" s="1240"/>
      <c r="R15" s="1239"/>
      <c r="S15" s="1245"/>
      <c r="T15" s="1248" t="s">
        <v>445</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3909"/>
      <c r="F16" s="3908"/>
      <c r="G16" s="1237"/>
      <c r="H16" s="1237"/>
      <c r="I16" s="1237"/>
      <c r="J16" s="1237"/>
      <c r="K16" s="1237"/>
      <c r="L16" s="1261"/>
      <c r="M16" s="1244"/>
      <c r="N16" s="1244"/>
      <c r="P16" s="1239"/>
      <c r="Q16" s="1240"/>
      <c r="R16" s="1239"/>
      <c r="S16" s="1245"/>
      <c r="T16" s="1248" t="s">
        <v>240</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3908"/>
      <c r="F17" s="1265"/>
      <c r="G17" s="1265"/>
      <c r="H17" s="1265"/>
      <c r="I17" s="1265"/>
      <c r="J17" s="1265"/>
      <c r="K17" s="1265"/>
      <c r="L17" s="1268"/>
      <c r="M17" s="1244"/>
      <c r="N17" s="1244"/>
      <c r="O17" s="442"/>
      <c r="P17" s="308"/>
      <c r="Q17" s="1266"/>
      <c r="R17" s="308"/>
      <c r="S17" s="1245"/>
      <c r="T17" s="1248" t="s">
        <v>241</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446</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447</v>
      </c>
      <c r="P23" s="1423"/>
      <c r="Q23" s="1425"/>
      <c r="R23" s="1425"/>
      <c r="Y23" s="1422" t="s">
        <v>449</v>
      </c>
      <c r="AA23" s="1422" t="s">
        <v>450</v>
      </c>
      <c r="AB23" s="1422" t="s">
        <v>496</v>
      </c>
      <c r="AE23" s="1422" t="s">
        <v>497</v>
      </c>
      <c r="AF23" s="1422" t="s">
        <v>496</v>
      </c>
      <c r="AI23" s="1422" t="s">
        <v>498</v>
      </c>
      <c r="AJ23" s="1422" t="s">
        <v>496</v>
      </c>
      <c r="AM23" s="1422" t="s">
        <v>499</v>
      </c>
      <c r="AQ23" s="1422" t="s">
        <v>449</v>
      </c>
      <c r="AS23" s="1422" t="s">
        <v>450</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38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892"/>
      <c r="U27" s="3892"/>
      <c r="V27" s="3892"/>
      <c r="W27" s="3892"/>
      <c r="X27" s="3892"/>
      <c r="Y27" s="3892"/>
      <c r="Z27" s="3892"/>
      <c r="AA27" s="3892"/>
      <c r="AB27" s="3892"/>
      <c r="AC27" s="3892"/>
      <c r="AD27" s="3892"/>
      <c r="AE27" s="3892"/>
      <c r="AF27" s="3892"/>
      <c r="AG27" s="3892"/>
      <c r="AH27" s="3892"/>
      <c r="AI27" s="3892"/>
      <c r="AJ27" s="3892"/>
      <c r="AK27" s="3892"/>
      <c r="AL27" s="3892"/>
      <c r="AM27" s="3892"/>
      <c r="AN27" s="3892"/>
      <c r="AO27" s="3892"/>
      <c r="AP27" s="3892"/>
      <c r="AQ27" s="3892"/>
      <c r="AR27" s="3892"/>
      <c r="AS27" s="1157"/>
    </row>
    <row r="28" spans="1:52" ht="14.25" customHeight="1">
      <c r="Q28" s="206"/>
      <c r="R28" s="300"/>
      <c r="S28" s="3839" t="str">
        <f>IF(org=0,"Не определено",org)</f>
        <v>ГУП СК "Ставрополькрайводоканал"</v>
      </c>
      <c r="T28" s="3839"/>
      <c r="U28" s="3839"/>
      <c r="V28" s="3839"/>
      <c r="W28" s="3839"/>
      <c r="X28" s="3839"/>
      <c r="Y28" s="3839"/>
      <c r="Z28" s="3839"/>
      <c r="AA28" s="3839"/>
      <c r="AB28" s="3839"/>
      <c r="AC28" s="3839"/>
      <c r="AD28" s="3839"/>
      <c r="AE28" s="3839"/>
      <c r="AF28" s="3839"/>
      <c r="AG28" s="3839"/>
      <c r="AH28" s="3839"/>
      <c r="AI28" s="3839"/>
      <c r="AJ28" s="3839"/>
      <c r="AK28" s="3839"/>
      <c r="AL28" s="3839"/>
      <c r="AM28" s="3839"/>
      <c r="AN28" s="3839"/>
      <c r="AO28" s="3839"/>
      <c r="AP28" s="3839"/>
      <c r="AQ28" s="3839"/>
      <c r="AR28" s="3839"/>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3900" t="s">
        <v>38</v>
      </c>
      <c r="T30" s="3900"/>
      <c r="U30" s="1293"/>
      <c r="V30" s="3901" t="str">
        <f>IF(TITLE_NAME_OR_PR_CHANGE="",IF(TITLE_NAME_OR_PR="","",TITLE_NAME_OR_PR),TITLE_NAME_OR_PR_CHANGE)</f>
        <v>Региональная тарифная комиссия Ставропольского края</v>
      </c>
      <c r="W30" s="3901"/>
      <c r="X30" s="3901"/>
      <c r="Y30" s="3901"/>
      <c r="Z30" s="3901"/>
      <c r="AA30" s="248"/>
      <c r="AB30" s="3901" t="str">
        <f>IF(TITLE_NAME_OR_PR_CHANGE="",IF(TITLE_NAME_OR_PR="","",TITLE_NAME_OR_PR),TITLE_NAME_OR_PR_CHANGE)</f>
        <v>Региональная тарифная комиссия Ставропольского края</v>
      </c>
      <c r="AC30" s="3901"/>
      <c r="AD30" s="3901"/>
      <c r="AE30" s="3901"/>
      <c r="AF30" s="3901"/>
      <c r="AG30" s="3901"/>
      <c r="AH30" s="3901"/>
      <c r="AI30" s="3901"/>
      <c r="AJ30" s="3901"/>
      <c r="AK30" s="3901"/>
      <c r="AL30" s="3901"/>
      <c r="AM30" s="3901"/>
      <c r="AN30" s="3901"/>
      <c r="AO30" s="3901"/>
      <c r="AP30" s="3901"/>
      <c r="AQ30" s="3901"/>
      <c r="AR30" s="3901"/>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3900" t="s">
        <v>452</v>
      </c>
      <c r="T31" s="3900"/>
      <c r="U31" s="1293"/>
      <c r="V31" s="3910">
        <f>IF(TITLE_DATE_PR_CHANGE="",IF(TITLE_DATE_PR="","",TITLE_DATE_PR),TITLE_DATE_PR_CHANGE)</f>
        <v>45278</v>
      </c>
      <c r="W31" s="3910"/>
      <c r="X31" s="3910"/>
      <c r="Y31" s="3910"/>
      <c r="Z31" s="3910"/>
      <c r="AA31" s="248"/>
      <c r="AB31" s="3910">
        <f>IF(TITLE_DATE_PR_CHANGE="",IF(TITLE_DATE_PR="","",TITLE_DATE_PR),TITLE_DATE_PR_CHANGE)</f>
        <v>45278</v>
      </c>
      <c r="AC31" s="3910"/>
      <c r="AD31" s="3910"/>
      <c r="AE31" s="3910"/>
      <c r="AF31" s="3910"/>
      <c r="AG31" s="3910"/>
      <c r="AH31" s="3910"/>
      <c r="AI31" s="3910"/>
      <c r="AJ31" s="3910"/>
      <c r="AK31" s="3910"/>
      <c r="AL31" s="3910"/>
      <c r="AM31" s="3910"/>
      <c r="AN31" s="3910"/>
      <c r="AO31" s="3910"/>
      <c r="AP31" s="3910"/>
      <c r="AQ31" s="3910"/>
      <c r="AR31" s="3910"/>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3900" t="s">
        <v>453</v>
      </c>
      <c r="T32" s="3900"/>
      <c r="U32" s="1293"/>
      <c r="V32" s="3901" t="str">
        <f>IF(TITLE_NUMBER_PR_CHANGE="",IF(TITLE_NUMBER_PR="","",TITLE_NUMBER_PR),TITLE_NUMBER_PR_CHANGE)</f>
        <v>79/2</v>
      </c>
      <c r="W32" s="3901"/>
      <c r="X32" s="3901"/>
      <c r="Y32" s="3901"/>
      <c r="Z32" s="3901"/>
      <c r="AA32" s="248"/>
      <c r="AB32" s="3901" t="str">
        <f>IF(TITLE_NUMBER_PR_CHANGE="",IF(TITLE_NUMBER_PR="","",TITLE_NUMBER_PR),TITLE_NUMBER_PR_CHANGE)</f>
        <v>79/2</v>
      </c>
      <c r="AC32" s="3901"/>
      <c r="AD32" s="3901"/>
      <c r="AE32" s="3901"/>
      <c r="AF32" s="3901"/>
      <c r="AG32" s="3901"/>
      <c r="AH32" s="3901"/>
      <c r="AI32" s="3901"/>
      <c r="AJ32" s="3901"/>
      <c r="AK32" s="3901"/>
      <c r="AL32" s="3901"/>
      <c r="AM32" s="3901"/>
      <c r="AN32" s="3901"/>
      <c r="AO32" s="3901"/>
      <c r="AP32" s="3901"/>
      <c r="AQ32" s="3901"/>
      <c r="AR32" s="3901"/>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3900" t="s">
        <v>40</v>
      </c>
      <c r="T33" s="3900"/>
      <c r="U33" s="1293"/>
      <c r="V33" s="3901" t="str">
        <f>IF(TITLE_IST_PUB_CHANGE="",IF(TITLE_IST_PUB="","",TITLE_IST_PUB),TITLE_IST_PUB_CHANGE)</f>
        <v>http://pravo.stavregion.ru/</v>
      </c>
      <c r="W33" s="3901"/>
      <c r="X33" s="3901"/>
      <c r="Y33" s="3901"/>
      <c r="Z33" s="3901"/>
      <c r="AA33" s="248"/>
      <c r="AB33" s="3901" t="str">
        <f>IF(TITLE_IST_PUB_CHANGE="",IF(TITLE_IST_PUB="","",TITLE_IST_PUB),TITLE_IST_PUB_CHANGE)</f>
        <v>http://pravo.stavregion.ru/</v>
      </c>
      <c r="AC33" s="3901"/>
      <c r="AD33" s="3901"/>
      <c r="AE33" s="3901"/>
      <c r="AF33" s="3901"/>
      <c r="AG33" s="3901"/>
      <c r="AH33" s="3901"/>
      <c r="AI33" s="3901"/>
      <c r="AJ33" s="3901"/>
      <c r="AK33" s="3901"/>
      <c r="AL33" s="3901"/>
      <c r="AM33" s="3901"/>
      <c r="AN33" s="3901"/>
      <c r="AO33" s="3901"/>
      <c r="AP33" s="3901"/>
      <c r="AQ33" s="3901"/>
      <c r="AR33" s="3901"/>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3900" t="s">
        <v>452</v>
      </c>
      <c r="T35" s="3900"/>
      <c r="U35" s="1293"/>
      <c r="V35" s="3910">
        <f>IF(TITLE_DATE_PR_CHANGE="",IF(TITLE_DATE_PR="","",TITLE_DATE_PR),TITLE_DATE_PR_CHANGE)</f>
        <v>45278</v>
      </c>
      <c r="W35" s="3910"/>
      <c r="X35" s="3910"/>
      <c r="Y35" s="3910"/>
      <c r="Z35" s="3910"/>
      <c r="AA35" s="248"/>
      <c r="AB35" s="3910">
        <f>IF(TITLE_DATE_PR_CHANGE="",IF(TITLE_DATE_PR="","",TITLE_DATE_PR),TITLE_DATE_PR_CHANGE)</f>
        <v>45278</v>
      </c>
      <c r="AC35" s="3910"/>
      <c r="AD35" s="3910"/>
      <c r="AE35" s="3910"/>
      <c r="AF35" s="3910"/>
      <c r="AG35" s="3910"/>
      <c r="AH35" s="3910"/>
      <c r="AI35" s="3910"/>
      <c r="AJ35" s="3910"/>
      <c r="AK35" s="3910"/>
      <c r="AL35" s="3910"/>
      <c r="AM35" s="3910"/>
      <c r="AN35" s="3910"/>
      <c r="AO35" s="3910"/>
      <c r="AP35" s="3910"/>
      <c r="AQ35" s="3910"/>
      <c r="AR35" s="3910"/>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3900" t="s">
        <v>453</v>
      </c>
      <c r="T36" s="3900"/>
      <c r="U36" s="1293"/>
      <c r="V36" s="3901" t="str">
        <f>IF(TITLE_NUMBER_PR_CHANGE="",IF(TITLE_NUMBER_PR="","",TITLE_NUMBER_PR),TITLE_NUMBER_PR_CHANGE)</f>
        <v>79/2</v>
      </c>
      <c r="W36" s="3901"/>
      <c r="X36" s="3901"/>
      <c r="Y36" s="3901"/>
      <c r="Z36" s="3901"/>
      <c r="AA36" s="248"/>
      <c r="AB36" s="3901" t="str">
        <f>IF(TITLE_NUMBER_PR_CHANGE="",IF(TITLE_NUMBER_PR="","",TITLE_NUMBER_PR),TITLE_NUMBER_PR_CHANGE)</f>
        <v>79/2</v>
      </c>
      <c r="AC36" s="3901"/>
      <c r="AD36" s="3901"/>
      <c r="AE36" s="3901"/>
      <c r="AF36" s="3901"/>
      <c r="AG36" s="3901"/>
      <c r="AH36" s="3901"/>
      <c r="AI36" s="3901"/>
      <c r="AJ36" s="3901"/>
      <c r="AK36" s="3901"/>
      <c r="AL36" s="3901"/>
      <c r="AM36" s="3901"/>
      <c r="AN36" s="3901"/>
      <c r="AO36" s="3901"/>
      <c r="AP36" s="3901"/>
      <c r="AQ36" s="3901"/>
      <c r="AR36" s="3901"/>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456</v>
      </c>
      <c r="AB37" s="248"/>
      <c r="AC37" s="248"/>
      <c r="AD37" s="248"/>
      <c r="AE37" s="248"/>
      <c r="AF37" s="248"/>
      <c r="AG37" s="248"/>
      <c r="AH37" s="248"/>
      <c r="AI37" s="248"/>
      <c r="AJ37" s="248"/>
      <c r="AK37" s="248"/>
      <c r="AL37" s="248"/>
      <c r="AM37" s="248"/>
      <c r="AN37" s="248"/>
      <c r="AO37" s="248"/>
      <c r="AP37" s="248"/>
      <c r="AQ37" s="248"/>
      <c r="AR37" s="248"/>
      <c r="AS37" s="194" t="s">
        <v>456</v>
      </c>
      <c r="AV37" s="292"/>
      <c r="AW37" s="292"/>
      <c r="AX37" s="292"/>
      <c r="AY37" s="292"/>
      <c r="AZ37" s="292"/>
    </row>
    <row r="38" spans="1:52" ht="14.25" customHeight="1">
      <c r="Q38" s="206"/>
      <c r="R38" s="300"/>
      <c r="S38" s="1200"/>
      <c r="T38" s="286"/>
      <c r="U38" s="1158"/>
      <c r="V38" s="3902"/>
      <c r="W38" s="3902"/>
      <c r="X38" s="3902"/>
      <c r="Y38" s="3902"/>
      <c r="Z38" s="3902"/>
      <c r="AA38" s="3902"/>
      <c r="AB38" s="3902"/>
      <c r="AC38" s="3902"/>
      <c r="AD38" s="3902"/>
      <c r="AE38" s="3902"/>
      <c r="AF38" s="3902"/>
      <c r="AG38" s="3902"/>
      <c r="AH38" s="3902"/>
      <c r="AI38" s="3902"/>
      <c r="AJ38" s="3902"/>
      <c r="AK38" s="3902"/>
      <c r="AL38" s="3902"/>
      <c r="AM38" s="3902"/>
      <c r="AN38" s="3902"/>
      <c r="AO38" s="3902"/>
      <c r="AP38" s="3902"/>
      <c r="AQ38" s="3902"/>
      <c r="AR38" s="3902"/>
      <c r="AS38" s="3902"/>
    </row>
    <row r="39" spans="1:52" ht="14.25" customHeight="1">
      <c r="Q39" s="206"/>
      <c r="R39" s="300"/>
      <c r="S39" s="3778" t="s">
        <v>329</v>
      </c>
      <c r="T39" s="3778"/>
      <c r="U39" s="3778"/>
      <c r="V39" s="3778"/>
      <c r="W39" s="3778"/>
      <c r="X39" s="3778"/>
      <c r="Y39" s="3778"/>
      <c r="Z39" s="3778"/>
      <c r="AA39" s="3778"/>
      <c r="AB39" s="3838"/>
      <c r="AC39" s="3838"/>
      <c r="AD39" s="3838"/>
      <c r="AE39" s="3838"/>
      <c r="AF39" s="3778"/>
      <c r="AG39" s="3778"/>
      <c r="AH39" s="3778"/>
      <c r="AI39" s="3778"/>
      <c r="AJ39" s="3778"/>
      <c r="AK39" s="3778"/>
      <c r="AL39" s="3778"/>
      <c r="AM39" s="3778"/>
      <c r="AN39" s="3778"/>
      <c r="AO39" s="3778"/>
      <c r="AP39" s="3778"/>
      <c r="AQ39" s="3778"/>
      <c r="AR39" s="3778"/>
      <c r="AS39" s="3778"/>
      <c r="AT39" s="3778"/>
      <c r="AU39" s="3778" t="s">
        <v>330</v>
      </c>
    </row>
    <row r="40" spans="1:52" ht="14.25" customHeight="1">
      <c r="Q40" s="206"/>
      <c r="R40" s="300"/>
      <c r="S40" s="3916" t="s">
        <v>86</v>
      </c>
      <c r="T40" s="3868" t="s">
        <v>500</v>
      </c>
      <c r="U40" s="215"/>
      <c r="V40" s="3918"/>
      <c r="W40" s="3918"/>
      <c r="X40" s="3918"/>
      <c r="Y40" s="3918"/>
      <c r="Z40" s="3919"/>
      <c r="AA40" s="3954" t="s">
        <v>459</v>
      </c>
      <c r="AB40" s="3946" t="s">
        <v>501</v>
      </c>
      <c r="AC40" s="3932"/>
      <c r="AD40" s="3932"/>
      <c r="AE40" s="3947"/>
      <c r="AF40" s="3932" t="s">
        <v>502</v>
      </c>
      <c r="AG40" s="3932"/>
      <c r="AH40" s="3932"/>
      <c r="AI40" s="3947"/>
      <c r="AJ40" s="3946" t="s">
        <v>503</v>
      </c>
      <c r="AK40" s="3932"/>
      <c r="AL40" s="3932"/>
      <c r="AM40" s="3947"/>
      <c r="AN40" s="3946" t="s">
        <v>458</v>
      </c>
      <c r="AO40" s="3932"/>
      <c r="AP40" s="3918"/>
      <c r="AQ40" s="3918"/>
      <c r="AR40" s="3919"/>
      <c r="AS40" s="3920" t="s">
        <v>459</v>
      </c>
      <c r="AT40" s="3923" t="s">
        <v>461</v>
      </c>
      <c r="AU40" s="3778"/>
    </row>
    <row r="41" spans="1:52" ht="33.75" customHeight="1">
      <c r="Q41" s="206"/>
      <c r="R41" s="300"/>
      <c r="S41" s="3916"/>
      <c r="T41" s="3868"/>
      <c r="U41" s="942"/>
      <c r="V41" s="3853" t="s">
        <v>504</v>
      </c>
      <c r="W41" s="3854"/>
      <c r="X41" s="3853" t="s">
        <v>465</v>
      </c>
      <c r="Y41" s="3941"/>
      <c r="Z41" s="3854"/>
      <c r="AA41" s="3955"/>
      <c r="AB41" s="3948"/>
      <c r="AC41" s="3949"/>
      <c r="AD41" s="3949"/>
      <c r="AE41" s="3950"/>
      <c r="AF41" s="3949"/>
      <c r="AG41" s="3949"/>
      <c r="AH41" s="3949"/>
      <c r="AI41" s="3950"/>
      <c r="AJ41" s="3948"/>
      <c r="AK41" s="3949"/>
      <c r="AL41" s="3949"/>
      <c r="AM41" s="3949"/>
      <c r="AN41" s="3778" t="s">
        <v>505</v>
      </c>
      <c r="AO41" s="3778"/>
      <c r="AP41" s="3941" t="s">
        <v>465</v>
      </c>
      <c r="AQ41" s="3941"/>
      <c r="AR41" s="3854"/>
      <c r="AS41" s="3921"/>
      <c r="AT41" s="3924"/>
      <c r="AU41" s="3778"/>
    </row>
    <row r="42" spans="1:52" ht="14.25" customHeight="1">
      <c r="Q42" s="206"/>
      <c r="R42" s="300"/>
      <c r="S42" s="3916"/>
      <c r="T42" s="3868"/>
      <c r="U42" s="942"/>
      <c r="V42" s="3858"/>
      <c r="W42" s="3859"/>
      <c r="X42" s="3858"/>
      <c r="Y42" s="3942"/>
      <c r="Z42" s="3859"/>
      <c r="AA42" s="3955"/>
      <c r="AB42" s="3948"/>
      <c r="AC42" s="3949"/>
      <c r="AD42" s="3949"/>
      <c r="AE42" s="3950"/>
      <c r="AF42" s="3949"/>
      <c r="AG42" s="3949"/>
      <c r="AH42" s="3949"/>
      <c r="AI42" s="3950"/>
      <c r="AJ42" s="3948"/>
      <c r="AK42" s="3949"/>
      <c r="AL42" s="3949"/>
      <c r="AM42" s="3949"/>
      <c r="AN42" s="3957"/>
      <c r="AO42" s="3957"/>
      <c r="AP42" s="3942"/>
      <c r="AQ42" s="3942"/>
      <c r="AR42" s="3859"/>
      <c r="AS42" s="3921"/>
      <c r="AT42" s="3924"/>
      <c r="AU42" s="3778"/>
    </row>
    <row r="43" spans="1:52" ht="14.25" customHeight="1">
      <c r="A43" s="1291"/>
      <c r="B43" s="1291" t="s">
        <v>153</v>
      </c>
      <c r="C43" s="1291" t="s">
        <v>154</v>
      </c>
      <c r="D43" s="1291" t="s">
        <v>155</v>
      </c>
      <c r="E43" s="1285" t="s">
        <v>466</v>
      </c>
      <c r="F43" s="1285" t="s">
        <v>467</v>
      </c>
      <c r="G43" s="1285" t="s">
        <v>468</v>
      </c>
      <c r="H43" s="1285" t="s">
        <v>469</v>
      </c>
      <c r="I43" s="1285" t="s">
        <v>470</v>
      </c>
      <c r="J43" s="1285" t="s">
        <v>471</v>
      </c>
      <c r="K43" s="1285" t="s">
        <v>472</v>
      </c>
      <c r="L43" s="1285" t="s">
        <v>447</v>
      </c>
      <c r="Q43" s="206"/>
      <c r="R43" s="300"/>
      <c r="S43" s="3916"/>
      <c r="T43" s="3868"/>
      <c r="U43" s="216"/>
      <c r="V43" s="1252" t="s">
        <v>506</v>
      </c>
      <c r="W43" s="1252" t="s">
        <v>507</v>
      </c>
      <c r="X43" s="1260" t="s">
        <v>475</v>
      </c>
      <c r="Y43" s="3876" t="s">
        <v>476</v>
      </c>
      <c r="Z43" s="3878"/>
      <c r="AA43" s="3956"/>
      <c r="AB43" s="3951"/>
      <c r="AC43" s="3952"/>
      <c r="AD43" s="3952"/>
      <c r="AE43" s="3953"/>
      <c r="AF43" s="3952"/>
      <c r="AG43" s="3952"/>
      <c r="AH43" s="3952"/>
      <c r="AI43" s="3953"/>
      <c r="AJ43" s="3951"/>
      <c r="AK43" s="3952"/>
      <c r="AL43" s="3952"/>
      <c r="AM43" s="3953"/>
      <c r="AN43" s="1779" t="s">
        <v>506</v>
      </c>
      <c r="AO43" s="1779" t="s">
        <v>507</v>
      </c>
      <c r="AP43" s="1260" t="s">
        <v>475</v>
      </c>
      <c r="AQ43" s="3876" t="s">
        <v>476</v>
      </c>
      <c r="AR43" s="3878"/>
      <c r="AS43" s="3922"/>
      <c r="AT43" s="3925"/>
      <c r="AU43" s="3778"/>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129</v>
      </c>
      <c r="T44" s="1177" t="s">
        <v>102</v>
      </c>
      <c r="U44" s="1159" t="str">
        <f ca="1">OFFSET(U44,0,-1)</f>
        <v>2</v>
      </c>
      <c r="V44" s="1257">
        <f ca="1">OFFSET(V44,0,-1)+1</f>
        <v>3</v>
      </c>
      <c r="W44" s="1257">
        <f ca="1">OFFSET(W44,0,-1)+1</f>
        <v>4</v>
      </c>
      <c r="X44" s="1257">
        <f ca="1">OFFSET(X44,0,-1)+1</f>
        <v>5</v>
      </c>
      <c r="Y44" s="3915">
        <f ca="1">OFFSET(Y44,0,-1)+1</f>
        <v>6</v>
      </c>
      <c r="Z44" s="3915"/>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3915">
        <f ca="1">OFFSET(AQ44,0,-1)+1</f>
        <v>4</v>
      </c>
      <c r="AR44" s="3915"/>
      <c r="AS44" s="1257">
        <f ca="1">OFFSET(AS44,0,-2)+1</f>
        <v>5</v>
      </c>
      <c r="AT44" s="1159">
        <f ca="1">OFFSET(AT44,0,-1)</f>
        <v>5</v>
      </c>
      <c r="AU44" s="1257">
        <f ca="1">OFFSET(AU44,0,-1)+1</f>
        <v>6</v>
      </c>
      <c r="AV44" s="435"/>
      <c r="AW44" s="435"/>
      <c r="AX44" s="435"/>
      <c r="AY44" s="435"/>
      <c r="AZ44" s="435"/>
    </row>
    <row r="45" spans="1:52" ht="102" customHeight="1">
      <c r="A45" s="1284" t="s">
        <v>216</v>
      </c>
      <c r="B45" s="1284"/>
      <c r="C45" s="1284"/>
      <c r="D45" s="1284"/>
      <c r="E45" s="3908">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141</v>
      </c>
      <c r="U45" s="214"/>
      <c r="V45" s="3895"/>
      <c r="W45" s="3895"/>
      <c r="X45" s="3895"/>
      <c r="Y45" s="3895"/>
      <c r="Z45" s="3895"/>
      <c r="AA45" s="3896"/>
      <c r="AB45" s="3894" t="str">
        <f>INDEX(PT_DIFFERENTIATION_NTAR,MATCH(A45,PT_DIFFERENTIATION_NTAR_ID,0))</f>
        <v/>
      </c>
      <c r="AC45" s="3895"/>
      <c r="AD45" s="3895"/>
      <c r="AE45" s="3895"/>
      <c r="AF45" s="3895"/>
      <c r="AG45" s="3895"/>
      <c r="AH45" s="3895"/>
      <c r="AI45" s="3895"/>
      <c r="AJ45" s="3895"/>
      <c r="AK45" s="3895"/>
      <c r="AL45" s="3895"/>
      <c r="AM45" s="3895"/>
      <c r="AN45" s="3895"/>
      <c r="AO45" s="3895"/>
      <c r="AP45" s="3895"/>
      <c r="AQ45" s="3895"/>
      <c r="AR45" s="3895"/>
      <c r="AS45" s="3895"/>
      <c r="AT45" s="3896"/>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216</v>
      </c>
      <c r="B46" s="1284" t="s">
        <v>217</v>
      </c>
      <c r="C46" s="1284"/>
      <c r="D46" s="1284"/>
      <c r="E46" s="3909"/>
      <c r="F46" s="3908">
        <v>1</v>
      </c>
      <c r="G46" s="1284"/>
      <c r="H46" s="1284"/>
      <c r="I46" s="1284"/>
      <c r="J46" s="1284"/>
      <c r="K46" s="1284"/>
      <c r="L46" s="1285"/>
      <c r="M46" s="1286"/>
      <c r="N46" s="1286"/>
      <c r="O46" s="1286"/>
      <c r="P46" s="1331"/>
      <c r="Q46" s="1332"/>
      <c r="R46" s="274"/>
      <c r="S46" s="1258" t="str">
        <f>INDEX(PT_DIFFERENTIATION_NUM_TER,MATCH(B46,PT_DIFFERENTIATION_TER_ID,0))</f>
        <v>.</v>
      </c>
      <c r="T46" s="224" t="s">
        <v>428</v>
      </c>
      <c r="U46" s="214"/>
      <c r="V46" s="3895"/>
      <c r="W46" s="3895"/>
      <c r="X46" s="3895"/>
      <c r="Y46" s="3895"/>
      <c r="Z46" s="3895"/>
      <c r="AA46" s="3896"/>
      <c r="AB46" s="3894" t="str">
        <f>INDEX(PT_DIFFERENTIATION_TER,MATCH(B46,PT_DIFFERENTIATION_TER_ID,0))</f>
        <v/>
      </c>
      <c r="AC46" s="3895"/>
      <c r="AD46" s="3895"/>
      <c r="AE46" s="3895"/>
      <c r="AF46" s="3895"/>
      <c r="AG46" s="3895"/>
      <c r="AH46" s="3895"/>
      <c r="AI46" s="3895"/>
      <c r="AJ46" s="3895"/>
      <c r="AK46" s="3895"/>
      <c r="AL46" s="3895"/>
      <c r="AM46" s="3895"/>
      <c r="AN46" s="3895"/>
      <c r="AO46" s="3895"/>
      <c r="AP46" s="3895"/>
      <c r="AQ46" s="3895"/>
      <c r="AR46" s="3895"/>
      <c r="AS46" s="3895"/>
      <c r="AT46" s="3896"/>
      <c r="AU46" s="1182" t="s">
        <v>429</v>
      </c>
      <c r="AW46" s="424"/>
      <c r="AX46" s="424" t="str">
        <f t="shared" si="2"/>
        <v>Территория действия тарифа</v>
      </c>
      <c r="AY46" s="424"/>
      <c r="AZ46" s="424"/>
    </row>
    <row r="47" spans="1:52" ht="23.25" customHeight="1">
      <c r="A47" s="1284" t="s">
        <v>216</v>
      </c>
      <c r="B47" s="1284" t="s">
        <v>217</v>
      </c>
      <c r="C47" s="1284" t="s">
        <v>218</v>
      </c>
      <c r="D47" s="1284"/>
      <c r="E47" s="3909"/>
      <c r="F47" s="3909"/>
      <c r="G47" s="3908">
        <v>1</v>
      </c>
      <c r="H47" s="1284"/>
      <c r="I47" s="1284"/>
      <c r="J47" s="1284"/>
      <c r="K47" s="1284"/>
      <c r="L47" s="1285"/>
      <c r="M47" s="1286"/>
      <c r="N47" s="1286"/>
      <c r="O47" s="1286"/>
      <c r="P47" s="1333"/>
      <c r="Q47" s="1332"/>
      <c r="R47" s="274"/>
      <c r="S47" s="1258" t="str">
        <f>INDEX(PT_DIFFERENTIATION_NUM_CS,MATCH(C47,PT_DIFFERENTIATION_CS_ID,0))</f>
        <v>..</v>
      </c>
      <c r="T47" s="225" t="s">
        <v>430</v>
      </c>
      <c r="U47" s="214"/>
      <c r="V47" s="3895"/>
      <c r="W47" s="3895"/>
      <c r="X47" s="3895"/>
      <c r="Y47" s="3895"/>
      <c r="Z47" s="3895"/>
      <c r="AA47" s="3896"/>
      <c r="AB47" s="3894" t="str">
        <f>INDEX(PT_DIFFERENTIATION_CS,MATCH(C47,PT_DIFFERENTIATION_CS_ID,0))</f>
        <v/>
      </c>
      <c r="AC47" s="3895"/>
      <c r="AD47" s="3895"/>
      <c r="AE47" s="3895"/>
      <c r="AF47" s="3895"/>
      <c r="AG47" s="3895"/>
      <c r="AH47" s="3895"/>
      <c r="AI47" s="3895"/>
      <c r="AJ47" s="3895"/>
      <c r="AK47" s="3895"/>
      <c r="AL47" s="3895"/>
      <c r="AM47" s="3895"/>
      <c r="AN47" s="3895"/>
      <c r="AO47" s="3895"/>
      <c r="AP47" s="3895"/>
      <c r="AQ47" s="3895"/>
      <c r="AR47" s="3895"/>
      <c r="AS47" s="3895"/>
      <c r="AT47" s="3896"/>
      <c r="AU47" s="1182" t="s">
        <v>431</v>
      </c>
      <c r="AW47" s="424"/>
      <c r="AX47" s="424" t="str">
        <f t="shared" si="2"/>
        <v xml:space="preserve">Наименование системы теплоснабжения </v>
      </c>
      <c r="AY47" s="424"/>
      <c r="AZ47" s="424"/>
    </row>
    <row r="48" spans="1:52" ht="21" customHeight="1">
      <c r="A48" s="1284" t="s">
        <v>216</v>
      </c>
      <c r="B48" s="1284" t="s">
        <v>217</v>
      </c>
      <c r="C48" s="1284" t="s">
        <v>218</v>
      </c>
      <c r="D48" s="1284" t="s">
        <v>219</v>
      </c>
      <c r="E48" s="3909"/>
      <c r="F48" s="3909"/>
      <c r="G48" s="3909"/>
      <c r="H48" s="3908">
        <v>1</v>
      </c>
      <c r="I48" s="1284"/>
      <c r="J48" s="1284"/>
      <c r="K48" s="1284"/>
      <c r="L48" s="1285"/>
      <c r="M48" s="1286"/>
      <c r="N48" s="1286"/>
      <c r="O48" s="1286"/>
      <c r="P48" s="1333"/>
      <c r="Q48" s="1332"/>
      <c r="R48" s="274"/>
      <c r="S48" s="1258" t="str">
        <f>INDEX(PT_DIFFERENTIATION_NUM_IST_TE,MATCH(D48,PT_DIFFERENTIATION_IST_TE_ID,0))</f>
        <v>...</v>
      </c>
      <c r="T48" s="226" t="s">
        <v>432</v>
      </c>
      <c r="U48" s="214"/>
      <c r="V48" s="3895"/>
      <c r="W48" s="3895"/>
      <c r="X48" s="3895"/>
      <c r="Y48" s="3895"/>
      <c r="Z48" s="3895"/>
      <c r="AA48" s="3896"/>
      <c r="AB48" s="3894" t="str">
        <f>INDEX(PT_DIFFERENTIATION_IST_TE,MATCH(D48,PT_DIFFERENTIATION_IST_TE_ID,0))</f>
        <v/>
      </c>
      <c r="AC48" s="3895"/>
      <c r="AD48" s="3895"/>
      <c r="AE48" s="3895"/>
      <c r="AF48" s="3895"/>
      <c r="AG48" s="3895"/>
      <c r="AH48" s="3895"/>
      <c r="AI48" s="3895"/>
      <c r="AJ48" s="3895"/>
      <c r="AK48" s="3895"/>
      <c r="AL48" s="3895"/>
      <c r="AM48" s="3895"/>
      <c r="AN48" s="3895"/>
      <c r="AO48" s="3895"/>
      <c r="AP48" s="3895"/>
      <c r="AQ48" s="3895"/>
      <c r="AR48" s="3895"/>
      <c r="AS48" s="3895"/>
      <c r="AT48" s="3896"/>
      <c r="AU48" s="1182" t="s">
        <v>433</v>
      </c>
      <c r="AW48" s="424"/>
      <c r="AX48" s="424" t="str">
        <f t="shared" si="2"/>
        <v xml:space="preserve">Источник тепловой энергии  </v>
      </c>
      <c r="AY48" s="424"/>
      <c r="AZ48" s="424"/>
    </row>
    <row r="49" spans="1:52" s="1562" customFormat="1" ht="0" hidden="1" customHeight="1">
      <c r="A49" s="1265" t="s">
        <v>216</v>
      </c>
      <c r="B49" s="1265" t="s">
        <v>217</v>
      </c>
      <c r="C49" s="1265" t="s">
        <v>218</v>
      </c>
      <c r="D49" s="1265" t="s">
        <v>219</v>
      </c>
      <c r="E49" s="3909"/>
      <c r="F49" s="3909"/>
      <c r="G49" s="3909"/>
      <c r="H49" s="3909"/>
      <c r="I49" s="3906" t="str">
        <f>S48&amp;".1"</f>
        <v>....1</v>
      </c>
      <c r="J49" s="1265"/>
      <c r="K49" s="1265"/>
      <c r="L49" s="1268" t="s">
        <v>434</v>
      </c>
      <c r="M49" s="434"/>
      <c r="N49" s="434"/>
      <c r="O49" s="434"/>
      <c r="P49" s="3907">
        <v>1</v>
      </c>
      <c r="Q49" s="1253"/>
      <c r="R49" s="277"/>
      <c r="S49" s="953"/>
      <c r="T49" s="1304"/>
      <c r="U49" s="1305"/>
      <c r="V49" s="3936"/>
      <c r="W49" s="3936"/>
      <c r="X49" s="3936"/>
      <c r="Y49" s="3936"/>
      <c r="Z49" s="3936"/>
      <c r="AA49" s="3937"/>
      <c r="AB49" s="3935"/>
      <c r="AC49" s="3936"/>
      <c r="AD49" s="3936"/>
      <c r="AE49" s="3936"/>
      <c r="AF49" s="3936"/>
      <c r="AG49" s="3936"/>
      <c r="AH49" s="3936"/>
      <c r="AI49" s="3936"/>
      <c r="AJ49" s="3936"/>
      <c r="AK49" s="3936"/>
      <c r="AL49" s="3936"/>
      <c r="AM49" s="3936"/>
      <c r="AN49" s="3936"/>
      <c r="AO49" s="3936"/>
      <c r="AP49" s="3936"/>
      <c r="AQ49" s="3936"/>
      <c r="AR49" s="3936"/>
      <c r="AS49" s="3936"/>
      <c r="AT49" s="3937"/>
      <c r="AU49" s="1306"/>
      <c r="AW49" s="424"/>
      <c r="AX49" s="424" t="str">
        <f t="shared" si="2"/>
        <v/>
      </c>
      <c r="AY49" s="424"/>
      <c r="AZ49" s="424"/>
    </row>
    <row r="50" spans="1:52" s="1562" customFormat="1" ht="0" hidden="1" customHeight="1">
      <c r="A50" s="1265" t="s">
        <v>216</v>
      </c>
      <c r="B50" s="1265" t="s">
        <v>217</v>
      </c>
      <c r="C50" s="1265" t="s">
        <v>218</v>
      </c>
      <c r="D50" s="1265" t="s">
        <v>219</v>
      </c>
      <c r="E50" s="3909"/>
      <c r="F50" s="3909"/>
      <c r="G50" s="3909"/>
      <c r="H50" s="3909"/>
      <c r="I50" s="3929"/>
      <c r="J50" s="3906" t="str">
        <f>S48&amp;".1"</f>
        <v>....1</v>
      </c>
      <c r="K50" s="1265"/>
      <c r="L50" s="1268"/>
      <c r="M50" s="434"/>
      <c r="N50" s="434"/>
      <c r="O50" s="434"/>
      <c r="P50" s="3907"/>
      <c r="Q50" s="3907">
        <v>1</v>
      </c>
      <c r="R50" s="278"/>
      <c r="S50" s="953"/>
      <c r="T50" s="1320"/>
      <c r="U50" s="1305"/>
      <c r="V50" s="3936"/>
      <c r="W50" s="3936"/>
      <c r="X50" s="3936"/>
      <c r="Y50" s="3936"/>
      <c r="Z50" s="3936"/>
      <c r="AA50" s="3937"/>
      <c r="AB50" s="3935"/>
      <c r="AC50" s="3936"/>
      <c r="AD50" s="3936"/>
      <c r="AE50" s="3936"/>
      <c r="AF50" s="3936"/>
      <c r="AG50" s="3936"/>
      <c r="AH50" s="3936"/>
      <c r="AI50" s="3936"/>
      <c r="AJ50" s="3936"/>
      <c r="AK50" s="3936"/>
      <c r="AL50" s="3936"/>
      <c r="AM50" s="3936"/>
      <c r="AN50" s="3936"/>
      <c r="AO50" s="3936"/>
      <c r="AP50" s="3936"/>
      <c r="AQ50" s="3936"/>
      <c r="AR50" s="3936"/>
      <c r="AS50" s="3936"/>
      <c r="AT50" s="3937"/>
      <c r="AU50" s="1306"/>
      <c r="AW50" s="424"/>
      <c r="AX50" s="424" t="str">
        <f t="shared" si="2"/>
        <v/>
      </c>
      <c r="AY50" s="424"/>
      <c r="AZ50" s="424"/>
    </row>
    <row r="51" spans="1:52" ht="21" customHeight="1">
      <c r="A51" s="1284" t="s">
        <v>216</v>
      </c>
      <c r="B51" s="1284" t="s">
        <v>217</v>
      </c>
      <c r="C51" s="1284" t="s">
        <v>218</v>
      </c>
      <c r="D51" s="1284" t="s">
        <v>219</v>
      </c>
      <c r="E51" s="3909"/>
      <c r="F51" s="3909"/>
      <c r="G51" s="3909"/>
      <c r="H51" s="3909"/>
      <c r="I51" s="3929"/>
      <c r="J51" s="3929"/>
      <c r="K51" s="3906" t="str">
        <f>S48&amp;".1"</f>
        <v>....1</v>
      </c>
      <c r="L51" s="1285"/>
      <c r="P51" s="3907"/>
      <c r="Q51" s="3907"/>
      <c r="R51" s="278">
        <v>1</v>
      </c>
      <c r="S51" s="3958" t="str">
        <f>$K51</f>
        <v>....1</v>
      </c>
      <c r="T51" s="3961"/>
      <c r="U51" s="214"/>
      <c r="V51" s="666"/>
      <c r="W51" s="1181"/>
      <c r="X51" s="1653"/>
      <c r="Y51" s="1377" t="s">
        <v>60</v>
      </c>
      <c r="Z51" s="1653"/>
      <c r="AA51" s="1377" t="s">
        <v>60</v>
      </c>
      <c r="AB51" s="3759" t="s">
        <v>55</v>
      </c>
      <c r="AC51" s="3944"/>
      <c r="AD51" s="3863">
        <v>1</v>
      </c>
      <c r="AE51" s="3965" t="s">
        <v>24</v>
      </c>
      <c r="AF51" s="3759" t="s">
        <v>55</v>
      </c>
      <c r="AG51" s="3944"/>
      <c r="AH51" s="3863">
        <v>1</v>
      </c>
      <c r="AI51" s="3965" t="s">
        <v>24</v>
      </c>
      <c r="AJ51" s="3759" t="s">
        <v>55</v>
      </c>
      <c r="AK51" s="227"/>
      <c r="AL51" s="1259">
        <v>1</v>
      </c>
      <c r="AM51" s="1323"/>
      <c r="AN51" s="666"/>
      <c r="AO51" s="1181"/>
      <c r="AP51" s="1653"/>
      <c r="AQ51" s="1377" t="s">
        <v>60</v>
      </c>
      <c r="AR51" s="1653"/>
      <c r="AS51" s="1377" t="s">
        <v>60</v>
      </c>
      <c r="AT51" s="1270"/>
      <c r="AU51" s="3903" t="s">
        <v>508</v>
      </c>
      <c r="AV51" s="435" t="e">
        <f ca="1">STRCHECKDATE(V54:AT54)</f>
        <v>#NAME?</v>
      </c>
      <c r="AW51" s="424"/>
      <c r="AX51" s="424" t="str">
        <f t="shared" si="2"/>
        <v/>
      </c>
      <c r="AY51" s="424"/>
      <c r="AZ51" s="424"/>
    </row>
    <row r="52" spans="1:52" ht="11.25" customHeight="1">
      <c r="A52" s="1284" t="s">
        <v>216</v>
      </c>
      <c r="B52" s="1284"/>
      <c r="C52" s="1284"/>
      <c r="D52" s="1284"/>
      <c r="E52" s="3909"/>
      <c r="F52" s="3909"/>
      <c r="G52" s="3909"/>
      <c r="H52" s="3909"/>
      <c r="I52" s="3929"/>
      <c r="J52" s="3929"/>
      <c r="K52" s="3906"/>
      <c r="L52" s="1285"/>
      <c r="P52" s="3907"/>
      <c r="Q52" s="3907"/>
      <c r="R52" s="278"/>
      <c r="S52" s="3959"/>
      <c r="T52" s="3962"/>
      <c r="U52" s="214"/>
      <c r="V52" s="1314"/>
      <c r="W52" s="1411"/>
      <c r="X52" s="1314"/>
      <c r="Y52" s="1314"/>
      <c r="Z52" s="1314"/>
      <c r="AA52" s="1314"/>
      <c r="AB52" s="3759"/>
      <c r="AC52" s="3944"/>
      <c r="AD52" s="3863"/>
      <c r="AE52" s="3965"/>
      <c r="AF52" s="3759"/>
      <c r="AG52" s="3944"/>
      <c r="AH52" s="3863"/>
      <c r="AI52" s="3965"/>
      <c r="AJ52" s="3759"/>
      <c r="AK52" s="234"/>
      <c r="AL52" s="345"/>
      <c r="AM52" s="344" t="s">
        <v>492</v>
      </c>
      <c r="AN52" s="1314"/>
      <c r="AO52" s="1411"/>
      <c r="AP52" s="1314"/>
      <c r="AQ52" s="1314"/>
      <c r="AR52" s="1314"/>
      <c r="AS52" s="1314"/>
      <c r="AT52" s="1311"/>
      <c r="AU52" s="3904"/>
      <c r="AW52" s="424"/>
      <c r="AX52" s="424"/>
      <c r="AY52" s="424"/>
      <c r="AZ52" s="424"/>
    </row>
    <row r="53" spans="1:52" ht="11.25" customHeight="1">
      <c r="A53" s="1284" t="s">
        <v>216</v>
      </c>
      <c r="B53" s="1284"/>
      <c r="C53" s="1284"/>
      <c r="D53" s="1284"/>
      <c r="E53" s="3909"/>
      <c r="F53" s="3909"/>
      <c r="G53" s="3909"/>
      <c r="H53" s="3909"/>
      <c r="I53" s="3929"/>
      <c r="J53" s="3929"/>
      <c r="K53" s="3906"/>
      <c r="L53" s="1285"/>
      <c r="P53" s="3907"/>
      <c r="Q53" s="3907"/>
      <c r="R53" s="278"/>
      <c r="S53" s="3959"/>
      <c r="T53" s="3962"/>
      <c r="U53" s="214"/>
      <c r="V53" s="1314"/>
      <c r="W53" s="1411"/>
      <c r="X53" s="1314"/>
      <c r="Y53" s="1314"/>
      <c r="Z53" s="1314"/>
      <c r="AA53" s="1314"/>
      <c r="AB53" s="3759"/>
      <c r="AC53" s="3944"/>
      <c r="AD53" s="3863"/>
      <c r="AE53" s="3965"/>
      <c r="AF53" s="3759"/>
      <c r="AG53" s="208"/>
      <c r="AH53" s="344"/>
      <c r="AI53" s="344" t="s">
        <v>493</v>
      </c>
      <c r="AJ53" s="1314"/>
      <c r="AK53" s="1314"/>
      <c r="AL53" s="1314"/>
      <c r="AM53" s="1314"/>
      <c r="AN53" s="1314"/>
      <c r="AO53" s="1411"/>
      <c r="AP53" s="1314"/>
      <c r="AQ53" s="1314"/>
      <c r="AR53" s="1314"/>
      <c r="AS53" s="1314"/>
      <c r="AT53" s="1311"/>
      <c r="AU53" s="3904"/>
      <c r="AW53" s="424"/>
      <c r="AX53" s="424"/>
      <c r="AY53" s="424"/>
      <c r="AZ53" s="424"/>
    </row>
    <row r="54" spans="1:52" ht="11.25" customHeight="1">
      <c r="A54" s="1284" t="s">
        <v>216</v>
      </c>
      <c r="B54" s="1284" t="s">
        <v>217</v>
      </c>
      <c r="C54" s="1284" t="s">
        <v>218</v>
      </c>
      <c r="D54" s="1284" t="s">
        <v>219</v>
      </c>
      <c r="E54" s="3909"/>
      <c r="F54" s="3909"/>
      <c r="G54" s="3909"/>
      <c r="H54" s="3909"/>
      <c r="I54" s="3929"/>
      <c r="J54" s="3929"/>
      <c r="K54" s="3906"/>
      <c r="L54" s="1285"/>
      <c r="P54" s="3907"/>
      <c r="Q54" s="3907"/>
      <c r="R54" s="278"/>
      <c r="S54" s="3960"/>
      <c r="T54" s="3963"/>
      <c r="U54" s="214"/>
      <c r="V54" s="1314"/>
      <c r="W54" s="1315" t="str">
        <f>X51&amp;"-"&amp;Z51</f>
        <v>-</v>
      </c>
      <c r="X54" s="1314"/>
      <c r="Y54" s="1314"/>
      <c r="Z54" s="1314"/>
      <c r="AA54" s="1314"/>
      <c r="AB54" s="3759"/>
      <c r="AC54" s="228"/>
      <c r="AD54" s="230"/>
      <c r="AE54" s="344" t="s">
        <v>494</v>
      </c>
      <c r="AF54" s="1314"/>
      <c r="AG54" s="1314"/>
      <c r="AH54" s="1314"/>
      <c r="AI54" s="1314"/>
      <c r="AJ54" s="1314"/>
      <c r="AK54" s="1314"/>
      <c r="AL54" s="1314"/>
      <c r="AM54" s="1314"/>
      <c r="AN54" s="1314"/>
      <c r="AO54" s="1315" t="str">
        <f>AP51&amp;"-"&amp;AR51</f>
        <v>-</v>
      </c>
      <c r="AP54" s="1314"/>
      <c r="AQ54" s="1314"/>
      <c r="AR54" s="1314"/>
      <c r="AS54" s="1314"/>
      <c r="AT54" s="1271"/>
      <c r="AU54" s="3904"/>
      <c r="AW54" s="424"/>
      <c r="AX54" s="424" t="str">
        <f t="shared" ref="AX54:AX62" si="3">IF(T54="","",T54)</f>
        <v/>
      </c>
      <c r="AY54" s="424"/>
      <c r="AZ54" s="424"/>
    </row>
    <row r="55" spans="1:52" ht="11.25" customHeight="1">
      <c r="A55" s="1284" t="s">
        <v>216</v>
      </c>
      <c r="B55" s="1284" t="s">
        <v>217</v>
      </c>
      <c r="C55" s="1284" t="s">
        <v>218</v>
      </c>
      <c r="D55" s="1284" t="s">
        <v>219</v>
      </c>
      <c r="E55" s="3909"/>
      <c r="F55" s="3909"/>
      <c r="G55" s="3909"/>
      <c r="H55" s="3909"/>
      <c r="I55" s="3929"/>
      <c r="J55" s="3906"/>
      <c r="K55" s="1284"/>
      <c r="L55" s="1285"/>
      <c r="P55" s="3907"/>
      <c r="Q55" s="3907"/>
      <c r="R55" s="277"/>
      <c r="S55" s="1203"/>
      <c r="T55" s="202" t="s">
        <v>495</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3905"/>
      <c r="AW55" s="424"/>
      <c r="AX55" s="424" t="str">
        <f t="shared" si="3"/>
        <v>Добавить строку</v>
      </c>
      <c r="AY55" s="424"/>
      <c r="AZ55" s="424"/>
    </row>
    <row r="56" spans="1:52" s="1562" customFormat="1" ht="0" hidden="1" customHeight="1">
      <c r="A56" s="1265" t="s">
        <v>216</v>
      </c>
      <c r="B56" s="1265" t="s">
        <v>217</v>
      </c>
      <c r="C56" s="1265" t="s">
        <v>218</v>
      </c>
      <c r="D56" s="1265" t="s">
        <v>219</v>
      </c>
      <c r="E56" s="3909"/>
      <c r="F56" s="3909"/>
      <c r="G56" s="3909"/>
      <c r="H56" s="3909"/>
      <c r="I56" s="3906"/>
      <c r="J56" s="1265"/>
      <c r="K56" s="1265"/>
      <c r="L56" s="1268"/>
      <c r="M56" s="434"/>
      <c r="N56" s="434"/>
      <c r="O56" s="434"/>
      <c r="P56" s="3907"/>
      <c r="Q56" s="1253"/>
      <c r="R56" s="277"/>
      <c r="S56" s="1307"/>
      <c r="T56" s="1308" t="s">
        <v>443</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216</v>
      </c>
      <c r="B57" s="1265" t="s">
        <v>217</v>
      </c>
      <c r="C57" s="1265" t="s">
        <v>218</v>
      </c>
      <c r="D57" s="1265" t="s">
        <v>219</v>
      </c>
      <c r="E57" s="3909"/>
      <c r="F57" s="3909"/>
      <c r="G57" s="3909"/>
      <c r="H57" s="3908"/>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216</v>
      </c>
      <c r="B58" s="1265" t="s">
        <v>217</v>
      </c>
      <c r="C58" s="1265" t="s">
        <v>218</v>
      </c>
      <c r="D58" s="1237"/>
      <c r="E58" s="3909"/>
      <c r="F58" s="3909"/>
      <c r="G58" s="3908"/>
      <c r="H58" s="1237"/>
      <c r="I58" s="1237"/>
      <c r="J58" s="1237"/>
      <c r="K58" s="1237"/>
      <c r="L58" s="1261"/>
      <c r="M58" s="1238"/>
      <c r="N58" s="1238"/>
      <c r="P58" s="1239"/>
      <c r="Q58" s="1240"/>
      <c r="R58" s="1239"/>
      <c r="S58" s="1245"/>
      <c r="T58" s="1248" t="s">
        <v>445</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216</v>
      </c>
      <c r="B59" s="1265" t="s">
        <v>217</v>
      </c>
      <c r="C59" s="1237"/>
      <c r="D59" s="1237"/>
      <c r="E59" s="3909"/>
      <c r="F59" s="3908"/>
      <c r="G59" s="1237"/>
      <c r="H59" s="1237"/>
      <c r="I59" s="1237"/>
      <c r="J59" s="1237"/>
      <c r="K59" s="1237"/>
      <c r="L59" s="1261"/>
      <c r="M59" s="1244"/>
      <c r="N59" s="1244"/>
      <c r="P59" s="1239"/>
      <c r="Q59" s="1240"/>
      <c r="R59" s="1239"/>
      <c r="S59" s="1245"/>
      <c r="T59" s="1248" t="s">
        <v>240</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216</v>
      </c>
      <c r="B60" s="1265"/>
      <c r="C60" s="1265"/>
      <c r="D60" s="1265"/>
      <c r="E60" s="3909"/>
      <c r="F60" s="1265"/>
      <c r="G60" s="1265"/>
      <c r="H60" s="1265"/>
      <c r="I60" s="1265"/>
      <c r="J60" s="1265"/>
      <c r="K60" s="1265"/>
      <c r="L60" s="1268"/>
      <c r="M60" s="1244"/>
      <c r="N60" s="1244"/>
      <c r="O60" s="442"/>
      <c r="P60" s="308"/>
      <c r="Q60" s="1266"/>
      <c r="R60" s="308"/>
      <c r="S60" s="1245"/>
      <c r="T60" s="1248" t="s">
        <v>241</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216</v>
      </c>
      <c r="B61" s="1265"/>
      <c r="C61" s="1265"/>
      <c r="D61" s="1265"/>
      <c r="E61" s="3908"/>
      <c r="F61" s="1265"/>
      <c r="G61" s="1265"/>
      <c r="H61" s="1265"/>
      <c r="I61" s="1265"/>
      <c r="J61" s="1265"/>
      <c r="K61" s="1265"/>
      <c r="L61" s="1268"/>
      <c r="M61" s="1244"/>
      <c r="N61" s="1244"/>
      <c r="O61" s="442"/>
      <c r="P61" s="308"/>
      <c r="Q61" s="1266"/>
      <c r="R61" s="308"/>
      <c r="S61" s="1245"/>
      <c r="T61" s="1248" t="s">
        <v>241</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262</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3928"/>
      <c r="U64" s="3928"/>
      <c r="V64" s="3928"/>
      <c r="W64" s="3928"/>
      <c r="X64" s="3928"/>
      <c r="Y64" s="3928"/>
      <c r="Z64" s="3928"/>
      <c r="AA64" s="3928"/>
      <c r="AB64" s="3928"/>
      <c r="AC64" s="3928"/>
      <c r="AD64" s="3928"/>
      <c r="AE64" s="3928"/>
      <c r="AF64" s="3928"/>
      <c r="AG64" s="3928"/>
      <c r="AH64" s="3928"/>
      <c r="AI64" s="3928"/>
      <c r="AJ64" s="3928"/>
      <c r="AK64" s="3928"/>
      <c r="AL64" s="3928"/>
      <c r="AM64" s="3928"/>
      <c r="AN64" s="3928"/>
      <c r="AO64" s="3928"/>
      <c r="AP64" s="3928"/>
      <c r="AQ64" s="3928"/>
      <c r="AR64" s="3928"/>
      <c r="AS64" s="3928"/>
      <c r="AT64" s="3928"/>
      <c r="AU64" s="3928"/>
    </row>
    <row r="65" spans="15:47" ht="19.5" customHeight="1">
      <c r="O65" s="460"/>
      <c r="T65" s="3928"/>
      <c r="U65" s="3928"/>
      <c r="V65" s="3928"/>
      <c r="W65" s="3928"/>
      <c r="X65" s="3928"/>
      <c r="Y65" s="3928"/>
      <c r="Z65" s="3928"/>
      <c r="AA65" s="3928"/>
      <c r="AB65" s="3928"/>
      <c r="AC65" s="3928"/>
      <c r="AD65" s="3928"/>
      <c r="AE65" s="3928"/>
      <c r="AF65" s="3928"/>
      <c r="AG65" s="3928"/>
      <c r="AH65" s="3928"/>
      <c r="AI65" s="3928"/>
      <c r="AJ65" s="3928"/>
      <c r="AK65" s="3928"/>
      <c r="AL65" s="3928"/>
      <c r="AM65" s="3928"/>
      <c r="AN65" s="3928"/>
      <c r="AO65" s="3928"/>
      <c r="AP65" s="3928"/>
      <c r="AQ65" s="3928"/>
      <c r="AR65" s="3928"/>
      <c r="AS65" s="3928"/>
      <c r="AT65" s="3928"/>
      <c r="AU65" s="3928"/>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3928"/>
      <c r="U67" s="3928"/>
      <c r="V67" s="3928"/>
      <c r="W67" s="3928"/>
      <c r="X67" s="3928"/>
      <c r="Y67" s="3928"/>
      <c r="Z67" s="3928"/>
      <c r="AA67" s="3928"/>
      <c r="AB67" s="3928"/>
      <c r="AC67" s="3928"/>
      <c r="AD67" s="3928"/>
      <c r="AE67" s="3928"/>
      <c r="AF67" s="3928"/>
      <c r="AG67" s="3928"/>
      <c r="AH67" s="3928"/>
      <c r="AI67" s="3928"/>
      <c r="AJ67" s="3928"/>
      <c r="AK67" s="3928"/>
      <c r="AL67" s="3928"/>
      <c r="AM67" s="3928"/>
      <c r="AN67" s="3928"/>
      <c r="AO67" s="3928"/>
      <c r="AP67" s="3928"/>
      <c r="AQ67" s="3928"/>
      <c r="AR67" s="3928"/>
      <c r="AS67" s="3928"/>
      <c r="AT67" s="3928"/>
      <c r="AU67" s="3928"/>
    </row>
    <row r="68" spans="15:47" ht="15.75" customHeight="1">
      <c r="O68" s="460"/>
      <c r="T68" s="3928"/>
      <c r="U68" s="3928"/>
      <c r="V68" s="3928"/>
      <c r="W68" s="3928"/>
      <c r="X68" s="3928"/>
      <c r="Y68" s="3928"/>
      <c r="Z68" s="3928"/>
      <c r="AA68" s="3928"/>
      <c r="AB68" s="3928"/>
      <c r="AC68" s="3928"/>
      <c r="AD68" s="3928"/>
      <c r="AE68" s="3928"/>
      <c r="AF68" s="3928"/>
      <c r="AG68" s="3928"/>
      <c r="AH68" s="3928"/>
      <c r="AI68" s="3928"/>
      <c r="AJ68" s="3928"/>
      <c r="AK68" s="3928"/>
      <c r="AL68" s="3928"/>
      <c r="AM68" s="3928"/>
      <c r="AN68" s="3928"/>
      <c r="AO68" s="3928"/>
      <c r="AP68" s="3928"/>
      <c r="AQ68" s="3928"/>
      <c r="AR68" s="3928"/>
      <c r="AS68" s="3928"/>
      <c r="AT68" s="3928"/>
      <c r="AU68" s="3928"/>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908">
        <v>1</v>
      </c>
      <c r="F2" s="1284"/>
      <c r="G2" s="1284"/>
      <c r="H2" s="1284"/>
      <c r="I2" s="1284"/>
      <c r="J2" s="1284"/>
      <c r="K2" s="1284"/>
      <c r="L2" s="1285"/>
      <c r="M2" s="1286"/>
      <c r="N2" s="1286"/>
      <c r="O2" s="1286"/>
      <c r="P2" s="282"/>
      <c r="Q2" s="281"/>
      <c r="R2" s="276"/>
      <c r="S2" s="1345" t="e">
        <f>INDEX(PT_DIFFERENTIATION_NUM_NTAR,MATCH(A2,PT_DIFFERENTIATION_NTAR_ID,0))</f>
        <v>#N/A</v>
      </c>
      <c r="T2" s="212" t="s">
        <v>141</v>
      </c>
      <c r="U2" s="214"/>
      <c r="V2" s="3894"/>
      <c r="W2" s="3895"/>
      <c r="X2" s="3895"/>
      <c r="Y2" s="3895"/>
      <c r="Z2" s="3895"/>
      <c r="AA2" s="3895"/>
      <c r="AB2" s="3896"/>
      <c r="AC2" s="3894" t="e">
        <f>INDEX(PT_DIFFERENTIATION_NTAR,MATCH(A2,PT_DIFFERENTIATION_NTAR_ID,0))</f>
        <v>#N/A</v>
      </c>
      <c r="AD2" s="3895"/>
      <c r="AE2" s="3895"/>
      <c r="AF2" s="3895"/>
      <c r="AG2" s="3895"/>
      <c r="AH2" s="3895"/>
      <c r="AI2" s="3895"/>
      <c r="AJ2" s="38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909"/>
      <c r="F3" s="3908">
        <v>1</v>
      </c>
      <c r="G3" s="1284"/>
      <c r="H3" s="1284"/>
      <c r="I3" s="1284"/>
      <c r="J3" s="1284"/>
      <c r="K3" s="1284"/>
      <c r="L3" s="1285"/>
      <c r="M3" s="1286"/>
      <c r="N3" s="1286"/>
      <c r="O3" s="1286"/>
      <c r="P3" s="1343"/>
      <c r="Q3" s="273"/>
      <c r="R3" s="274"/>
      <c r="S3" s="1345" t="e">
        <f>INDEX(PT_DIFFERENTIATION_NUM_TER,MATCH(B3,PT_DIFFERENTIATION_TER_ID,0))</f>
        <v>#N/A</v>
      </c>
      <c r="T3" s="224" t="s">
        <v>428</v>
      </c>
      <c r="U3" s="214"/>
      <c r="V3" s="3894"/>
      <c r="W3" s="3895"/>
      <c r="X3" s="3895"/>
      <c r="Y3" s="3895"/>
      <c r="Z3" s="3895"/>
      <c r="AA3" s="3895"/>
      <c r="AB3" s="3896"/>
      <c r="AC3" s="3894" t="e">
        <f>INDEX(PT_DIFFERENTIATION_TER,MATCH(B3,PT_DIFFERENTIATION_TER_ID,0))</f>
        <v>#N/A</v>
      </c>
      <c r="AD3" s="3895"/>
      <c r="AE3" s="3895"/>
      <c r="AF3" s="3895"/>
      <c r="AG3" s="3895"/>
      <c r="AH3" s="3895"/>
      <c r="AI3" s="3895"/>
      <c r="AJ3" s="3896"/>
      <c r="AK3" s="1182" t="s">
        <v>429</v>
      </c>
      <c r="AM3" s="424"/>
      <c r="AN3" s="424" t="str">
        <f t="shared" si="0"/>
        <v>Территория действия тарифа</v>
      </c>
      <c r="AO3" s="424"/>
      <c r="AP3" s="424"/>
    </row>
    <row r="4" spans="1:42" ht="23.25" hidden="1" customHeight="1">
      <c r="A4" s="1284"/>
      <c r="B4" s="1284"/>
      <c r="C4" s="1284"/>
      <c r="D4" s="1284"/>
      <c r="E4" s="3909"/>
      <c r="F4" s="3909"/>
      <c r="G4" s="3908">
        <v>1</v>
      </c>
      <c r="H4" s="1284"/>
      <c r="I4" s="1284"/>
      <c r="J4" s="1284"/>
      <c r="K4" s="1284"/>
      <c r="L4" s="1285"/>
      <c r="M4" s="1286"/>
      <c r="N4" s="1286"/>
      <c r="O4" s="1286"/>
      <c r="P4" s="275"/>
      <c r="Q4" s="273"/>
      <c r="R4" s="274"/>
      <c r="S4" s="1345" t="e">
        <f>INDEX(PT_DIFFERENTIATION_NUM_CS,MATCH(C4,PT_DIFFERENTIATION_CS_ID,0))</f>
        <v>#N/A</v>
      </c>
      <c r="T4" s="225" t="s">
        <v>509</v>
      </c>
      <c r="U4" s="214"/>
      <c r="V4" s="3894"/>
      <c r="W4" s="3895"/>
      <c r="X4" s="3895"/>
      <c r="Y4" s="3895"/>
      <c r="Z4" s="3895"/>
      <c r="AA4" s="3895"/>
      <c r="AB4" s="3896"/>
      <c r="AC4" s="3894" t="e">
        <f>INDEX(PT_DIFFERENTIATION_CS,MATCH(C4,PT_DIFFERENTIATION_CS_ID,0))</f>
        <v>#N/A</v>
      </c>
      <c r="AD4" s="3895"/>
      <c r="AE4" s="3895"/>
      <c r="AF4" s="3895"/>
      <c r="AG4" s="3895"/>
      <c r="AH4" s="3895"/>
      <c r="AI4" s="3895"/>
      <c r="AJ4" s="3896"/>
      <c r="AK4" s="1182" t="s">
        <v>510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909"/>
      <c r="F5" s="3909"/>
      <c r="G5" s="3909"/>
      <c r="H5" s="3909"/>
      <c r="I5" s="3906" t="e">
        <f>S4&amp;".1"</f>
        <v>#N/A</v>
      </c>
      <c r="J5" s="1284"/>
      <c r="K5" s="1284"/>
      <c r="L5" s="1285"/>
      <c r="P5" s="3907">
        <v>1</v>
      </c>
      <c r="Q5" s="1342"/>
      <c r="R5" s="277"/>
      <c r="S5" s="1345" t="e">
        <f>$I5</f>
        <v>#N/A</v>
      </c>
      <c r="T5" s="200" t="s">
        <v>511</v>
      </c>
      <c r="U5" s="214"/>
      <c r="V5" s="3967"/>
      <c r="W5" s="3968"/>
      <c r="X5" s="3968"/>
      <c r="Y5" s="3968"/>
      <c r="Z5" s="3968"/>
      <c r="AA5" s="3968"/>
      <c r="AB5" s="3969"/>
      <c r="AC5" s="3970"/>
      <c r="AD5" s="3971"/>
      <c r="AE5" s="3971"/>
      <c r="AF5" s="3971"/>
      <c r="AG5" s="3971"/>
      <c r="AH5" s="3971"/>
      <c r="AI5" s="3971"/>
      <c r="AJ5" s="3972"/>
      <c r="AK5" s="1182" t="s">
        <v>512</v>
      </c>
      <c r="AM5" s="424"/>
      <c r="AN5" s="424" t="str">
        <f t="shared" si="0"/>
        <v>Наименование признака дифференциации</v>
      </c>
      <c r="AO5" s="424"/>
      <c r="AP5" s="424"/>
    </row>
    <row r="6" spans="1:42" ht="23.25" hidden="1" customHeight="1">
      <c r="A6" s="1284"/>
      <c r="B6" s="1284"/>
      <c r="C6" s="1284"/>
      <c r="D6" s="1284"/>
      <c r="E6" s="3909"/>
      <c r="F6" s="3909"/>
      <c r="G6" s="3909"/>
      <c r="H6" s="3909"/>
      <c r="I6" s="3929"/>
      <c r="J6" s="3906" t="e">
        <f>I5&amp;".1"</f>
        <v>#N/A</v>
      </c>
      <c r="K6" s="1284"/>
      <c r="L6" s="1285" t="s">
        <v>437</v>
      </c>
      <c r="P6" s="3907"/>
      <c r="Q6" s="3907">
        <v>1</v>
      </c>
      <c r="R6" s="278"/>
      <c r="S6" s="1345" t="e">
        <f>$J6</f>
        <v>#N/A</v>
      </c>
      <c r="T6" s="201" t="s">
        <v>438</v>
      </c>
      <c r="U6" s="214"/>
      <c r="V6" s="3897"/>
      <c r="W6" s="3898"/>
      <c r="X6" s="3898"/>
      <c r="Y6" s="3898"/>
      <c r="Z6" s="3898"/>
      <c r="AA6" s="3898"/>
      <c r="AB6" s="3899"/>
      <c r="AC6" s="3897"/>
      <c r="AD6" s="3898"/>
      <c r="AE6" s="3898"/>
      <c r="AF6" s="3898"/>
      <c r="AG6" s="3898"/>
      <c r="AH6" s="3898"/>
      <c r="AI6" s="3898"/>
      <c r="AJ6" s="3899"/>
      <c r="AK6" s="1231" t="s">
        <v>513</v>
      </c>
      <c r="AM6" s="424"/>
      <c r="AN6" s="424" t="str">
        <f t="shared" si="0"/>
        <v>Группа потребителей</v>
      </c>
      <c r="AO6" s="424"/>
      <c r="AP6" s="424"/>
    </row>
    <row r="7" spans="1:42" ht="23.25" hidden="1" customHeight="1">
      <c r="A7" s="1284"/>
      <c r="B7" s="1284"/>
      <c r="C7" s="1284"/>
      <c r="D7" s="1284"/>
      <c r="E7" s="3909"/>
      <c r="F7" s="3909"/>
      <c r="G7" s="3909"/>
      <c r="H7" s="3909"/>
      <c r="I7" s="3929"/>
      <c r="J7" s="3929"/>
      <c r="K7" s="3906" t="e">
        <f>J6&amp;".1"</f>
        <v>#N/A</v>
      </c>
      <c r="L7" s="1285"/>
      <c r="P7" s="3907"/>
      <c r="Q7" s="3907"/>
      <c r="R7" s="278">
        <v>1</v>
      </c>
      <c r="S7" s="1345" t="e">
        <f>$K7</f>
        <v>#N/A</v>
      </c>
      <c r="T7" s="1357"/>
      <c r="U7" s="214"/>
      <c r="V7" s="666"/>
      <c r="W7" s="666"/>
      <c r="X7" s="1181"/>
      <c r="Y7" s="3911"/>
      <c r="Z7" s="3759" t="s">
        <v>60</v>
      </c>
      <c r="AA7" s="3911"/>
      <c r="AB7" s="3759" t="s">
        <v>60</v>
      </c>
      <c r="AC7" s="666"/>
      <c r="AD7" s="666"/>
      <c r="AE7" s="1181"/>
      <c r="AF7" s="3911"/>
      <c r="AG7" s="3759" t="s">
        <v>60</v>
      </c>
      <c r="AH7" s="3930"/>
      <c r="AI7" s="3759" t="s">
        <v>60</v>
      </c>
      <c r="AJ7" s="1358"/>
      <c r="AK7"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909"/>
      <c r="F8" s="3909"/>
      <c r="G8" s="3909"/>
      <c r="H8" s="3909"/>
      <c r="I8" s="3929"/>
      <c r="J8" s="3929"/>
      <c r="K8" s="3906"/>
      <c r="L8" s="1285"/>
      <c r="P8" s="3907"/>
      <c r="Q8" s="3907"/>
      <c r="R8" s="278"/>
      <c r="S8" s="1344"/>
      <c r="T8" s="214"/>
      <c r="U8" s="214"/>
      <c r="V8" s="246"/>
      <c r="W8" s="246"/>
      <c r="X8" s="250" t="str">
        <f>Y7&amp;"-"&amp;AA7</f>
        <v>-</v>
      </c>
      <c r="Y8" s="3912"/>
      <c r="Z8" s="3759"/>
      <c r="AA8" s="3912"/>
      <c r="AB8" s="3759"/>
      <c r="AC8" s="246"/>
      <c r="AD8" s="246"/>
      <c r="AE8" s="250" t="str">
        <f>AF7&amp;"-"&amp;AH7</f>
        <v>-</v>
      </c>
      <c r="AF8" s="3912"/>
      <c r="AG8" s="3759"/>
      <c r="AH8" s="3931"/>
      <c r="AI8" s="3759"/>
      <c r="AJ8" s="1359"/>
      <c r="AK8" s="3966"/>
      <c r="AM8" s="424"/>
      <c r="AN8" s="424" t="str">
        <f t="shared" si="0"/>
        <v/>
      </c>
      <c r="AO8" s="424"/>
      <c r="AP8" s="424"/>
    </row>
    <row r="9" spans="1:42" ht="21" hidden="1" customHeight="1">
      <c r="A9" s="1284"/>
      <c r="B9" s="1284"/>
      <c r="C9" s="1284"/>
      <c r="D9" s="1284"/>
      <c r="E9" s="3909"/>
      <c r="F9" s="3909"/>
      <c r="G9" s="3909"/>
      <c r="H9" s="3909"/>
      <c r="I9" s="3929"/>
      <c r="J9" s="3906"/>
      <c r="K9" s="1284"/>
      <c r="L9" s="1285"/>
      <c r="P9" s="3907"/>
      <c r="Q9" s="3907"/>
      <c r="R9" s="277"/>
      <c r="S9" s="1203"/>
      <c r="T9" s="202" t="s">
        <v>514</v>
      </c>
      <c r="U9" s="291"/>
      <c r="V9" s="291"/>
      <c r="W9" s="291"/>
      <c r="X9" s="291"/>
      <c r="Y9" s="291"/>
      <c r="Z9" s="291"/>
      <c r="AA9" s="291"/>
      <c r="AB9" s="291"/>
      <c r="AC9" s="291"/>
      <c r="AD9" s="291"/>
      <c r="AE9" s="291"/>
      <c r="AF9" s="291"/>
      <c r="AG9" s="291"/>
      <c r="AH9" s="291"/>
      <c r="AI9" s="291"/>
      <c r="AJ9" s="291"/>
      <c r="AK9" s="1182" t="s">
        <v>515</v>
      </c>
      <c r="AM9" s="424"/>
      <c r="AN9" s="424" t="str">
        <f t="shared" si="0"/>
        <v>Добавить значение признака дифференциации</v>
      </c>
      <c r="AO9" s="424"/>
      <c r="AP9" s="424"/>
    </row>
    <row r="10" spans="1:42" ht="21" hidden="1" customHeight="1">
      <c r="A10" s="1284"/>
      <c r="B10" s="1284"/>
      <c r="C10" s="1284"/>
      <c r="D10" s="1284"/>
      <c r="E10" s="3909"/>
      <c r="F10" s="3909"/>
      <c r="G10" s="3909"/>
      <c r="H10" s="3909"/>
      <c r="I10" s="3906"/>
      <c r="J10" s="1284"/>
      <c r="K10" s="1284"/>
      <c r="L10" s="1285"/>
      <c r="P10" s="3907"/>
      <c r="Q10" s="1342"/>
      <c r="R10" s="277"/>
      <c r="S10" s="1203"/>
      <c r="T10" s="288" t="s">
        <v>443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3909"/>
      <c r="F11" s="3909"/>
      <c r="G11" s="3909"/>
      <c r="H11" s="3908"/>
      <c r="I11" s="1284"/>
      <c r="J11" s="1284"/>
      <c r="K11" s="1284"/>
      <c r="L11" s="1285"/>
      <c r="M11" s="1286"/>
      <c r="N11" s="1286"/>
      <c r="O11" s="460"/>
      <c r="P11" s="281"/>
      <c r="Q11" s="299"/>
      <c r="R11" s="276"/>
      <c r="S11" s="1203"/>
      <c r="T11" s="296" t="s">
        <v>516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909"/>
      <c r="F12" s="3908"/>
      <c r="G12" s="1237"/>
      <c r="H12" s="1237"/>
      <c r="I12" s="1237"/>
      <c r="J12" s="1237"/>
      <c r="K12" s="1237"/>
      <c r="L12" s="1346"/>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908"/>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913"/>
      <c r="AG15" s="3914" t="s">
        <v>60</v>
      </c>
      <c r="AH15" s="3913"/>
      <c r="AI15" s="3914" t="s">
        <v>60</v>
      </c>
    </row>
    <row r="16" spans="1:42" ht="14.25" hidden="1" customHeight="1">
      <c r="AC16" s="1281"/>
      <c r="AD16" s="1281"/>
      <c r="AE16" s="250" t="str">
        <f>AF15&amp;"-"&amp;AH15</f>
        <v>-</v>
      </c>
      <c r="AF16" s="3914"/>
      <c r="AG16" s="3914"/>
      <c r="AH16" s="3914"/>
      <c r="AI16" s="3914"/>
    </row>
    <row r="17" spans="1:42" ht="14.25" hidden="1" customHeight="1">
      <c r="AI17" s="249"/>
    </row>
    <row r="18" spans="1:42" s="1287" customFormat="1" ht="22.5" hidden="1" customHeight="1">
      <c r="L18" s="1341"/>
      <c r="M18" s="1283"/>
      <c r="N18" s="1283"/>
      <c r="O18" s="1288" t="s">
        <v>446</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447</v>
      </c>
      <c r="P20" s="1283"/>
      <c r="Q20" s="1361"/>
      <c r="R20" s="1361"/>
      <c r="S20" s="646"/>
      <c r="T20" s="1065" t="s">
        <v>448</v>
      </c>
      <c r="Z20" s="104" t="s">
        <v>449</v>
      </c>
      <c r="AB20" s="104" t="s">
        <v>450</v>
      </c>
      <c r="AC20" s="1065" t="s">
        <v>448</v>
      </c>
      <c r="AG20" s="104" t="s">
        <v>451</v>
      </c>
      <c r="AI20" s="104" t="s">
        <v>450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8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892"/>
      <c r="U24" s="3892"/>
      <c r="V24" s="3892"/>
      <c r="W24" s="3892"/>
      <c r="X24" s="3892"/>
      <c r="Y24" s="3892"/>
      <c r="Z24" s="3892"/>
      <c r="AA24" s="3892"/>
      <c r="AB24" s="3892"/>
      <c r="AC24" s="3892"/>
      <c r="AD24" s="3892"/>
      <c r="AE24" s="3892"/>
      <c r="AF24" s="3892"/>
      <c r="AG24" s="3892"/>
      <c r="AH24" s="3892"/>
      <c r="AI24" s="1157"/>
    </row>
    <row r="25" spans="1:42" ht="14.25" customHeight="1">
      <c r="Q25" s="300"/>
      <c r="R25" s="300"/>
      <c r="S25" s="3839" t="str">
        <f>IF(org=0,"Не определено",org)</f>
        <v>ГУП СК "Ставрополькрайводоканал"</v>
      </c>
      <c r="T25" s="3839"/>
      <c r="U25" s="3839"/>
      <c r="V25" s="3839"/>
      <c r="W25" s="3839"/>
      <c r="X25" s="3839"/>
      <c r="Y25" s="3839"/>
      <c r="Z25" s="3839"/>
      <c r="AA25" s="3839"/>
      <c r="AB25" s="3839"/>
      <c r="AC25" s="3839"/>
      <c r="AD25" s="3839"/>
      <c r="AE25" s="3839"/>
      <c r="AF25" s="3839"/>
      <c r="AG25" s="3839"/>
      <c r="AH25" s="383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900" t="s">
        <v>38</v>
      </c>
      <c r="T27" s="3900"/>
      <c r="U27" s="1293"/>
      <c r="V27" s="3901" t="str">
        <f>IF(TITLE_NAME_OR_PR_CHANGE="",IF(TITLE_NAME_OR_PR="","",TITLE_NAME_OR_PR),TITLE_NAME_OR_PR_CHANGE)</f>
        <v>Региональная тарифная комиссия Ставропольского края</v>
      </c>
      <c r="W27" s="3901"/>
      <c r="X27" s="3901"/>
      <c r="Y27" s="3901"/>
      <c r="Z27" s="3901"/>
      <c r="AA27" s="3901"/>
      <c r="AB27" s="248"/>
      <c r="AC27" s="3901" t="str">
        <f>IF(TITLE_NAME_OR_PR_CHANGE="",IF(TITLE_NAME_OR_PR="","",TITLE_NAME_OR_PR),TITLE_NAME_OR_PR_CHANGE)</f>
        <v>Региональная тарифная комиссия Ставропольского края</v>
      </c>
      <c r="AD27" s="3901"/>
      <c r="AE27" s="3901"/>
      <c r="AF27" s="3901"/>
      <c r="AG27" s="3901"/>
      <c r="AH27" s="3901"/>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900" t="s">
        <v>452</v>
      </c>
      <c r="T28" s="3900"/>
      <c r="U28" s="1293"/>
      <c r="V28" s="3910">
        <f>IF(TITLE_DATE_PR_CHANGE="",IF(TITLE_DATE_PR="","",TITLE_DATE_PR),TITLE_DATE_PR_CHANGE)</f>
        <v>45278</v>
      </c>
      <c r="W28" s="3910"/>
      <c r="X28" s="3910"/>
      <c r="Y28" s="3910"/>
      <c r="Z28" s="3910"/>
      <c r="AA28" s="3910"/>
      <c r="AB28" s="248"/>
      <c r="AC28" s="3910">
        <f>IF(TITLE_DATE_PR_CHANGE="",IF(TITLE_DATE_PR="","",TITLE_DATE_PR),TITLE_DATE_PR_CHANGE)</f>
        <v>45278</v>
      </c>
      <c r="AD28" s="3910"/>
      <c r="AE28" s="3910"/>
      <c r="AF28" s="3910"/>
      <c r="AG28" s="3910"/>
      <c r="AH28" s="3910"/>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900" t="s">
        <v>453</v>
      </c>
      <c r="T29" s="3900"/>
      <c r="U29" s="1293"/>
      <c r="V29" s="3901" t="str">
        <f>IF(TITLE_NUMBER_PR_CHANGE="",IF(TITLE_NUMBER_PR="","",TITLE_NUMBER_PR),TITLE_NUMBER_PR_CHANGE)</f>
        <v>79/2</v>
      </c>
      <c r="W29" s="3901"/>
      <c r="X29" s="3901"/>
      <c r="Y29" s="3901"/>
      <c r="Z29" s="3901"/>
      <c r="AA29" s="3901"/>
      <c r="AB29" s="248"/>
      <c r="AC29" s="3901" t="str">
        <f>IF(TITLE_NUMBER_PR_CHANGE="",IF(TITLE_NUMBER_PR="","",TITLE_NUMBER_PR),TITLE_NUMBER_PR_CHANGE)</f>
        <v>79/2</v>
      </c>
      <c r="AD29" s="3901"/>
      <c r="AE29" s="3901"/>
      <c r="AF29" s="3901"/>
      <c r="AG29" s="3901"/>
      <c r="AH29" s="3901"/>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900" t="s">
        <v>40</v>
      </c>
      <c r="T30" s="3900"/>
      <c r="U30" s="1293"/>
      <c r="V30" s="3901" t="str">
        <f>IF(TITLE_IST_PUB_CHANGE="",IF(TITLE_IST_PUB="","",TITLE_IST_PUB),TITLE_IST_PUB_CHANGE)</f>
        <v>http://pravo.stavregion.ru/</v>
      </c>
      <c r="W30" s="3901"/>
      <c r="X30" s="3901"/>
      <c r="Y30" s="3901"/>
      <c r="Z30" s="3901"/>
      <c r="AA30" s="3901"/>
      <c r="AB30" s="248"/>
      <c r="AC30" s="3901" t="str">
        <f>IF(TITLE_IST_PUB_CHANGE="",IF(TITLE_IST_PUB="","",TITLE_IST_PUB),TITLE_IST_PUB_CHANGE)</f>
        <v>http://pravo.stavregion.ru/</v>
      </c>
      <c r="AD30" s="3901"/>
      <c r="AE30" s="3901"/>
      <c r="AF30" s="3901"/>
      <c r="AG30" s="3901"/>
      <c r="AH30" s="3901"/>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900" t="s">
        <v>454</v>
      </c>
      <c r="T32" s="3900"/>
      <c r="U32" s="1293"/>
      <c r="V32" s="3910">
        <f>IF(TITLE_DATE_PR_CHANGE="",IF(TITLE_DATE_PR="","",TITLE_DATE_PR),TITLE_DATE_PR_CHANGE)</f>
        <v>45278</v>
      </c>
      <c r="W32" s="3910"/>
      <c r="X32" s="3910"/>
      <c r="Y32" s="3910"/>
      <c r="Z32" s="3910"/>
      <c r="AA32" s="3910"/>
      <c r="AB32" s="248"/>
      <c r="AC32" s="3910">
        <f>IF(TITLE_DATE_PR_CHANGE="",IF(TITLE_DATE_PR="","",TITLE_DATE_PR),TITLE_DATE_PR_CHANGE)</f>
        <v>45278</v>
      </c>
      <c r="AD32" s="3910"/>
      <c r="AE32" s="3910"/>
      <c r="AF32" s="3910"/>
      <c r="AG32" s="3910"/>
      <c r="AH32" s="3910"/>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900" t="s">
        <v>455</v>
      </c>
      <c r="T33" s="3900"/>
      <c r="U33" s="1293"/>
      <c r="V33" s="3901" t="str">
        <f>IF(TITLE_NUMBER_PR_CHANGE="",IF(TITLE_NUMBER_PR="","",TITLE_NUMBER_PR),TITLE_NUMBER_PR_CHANGE)</f>
        <v>79/2</v>
      </c>
      <c r="W33" s="3901"/>
      <c r="X33" s="3901"/>
      <c r="Y33" s="3901"/>
      <c r="Z33" s="3901"/>
      <c r="AA33" s="3901"/>
      <c r="AB33" s="248"/>
      <c r="AC33" s="3901" t="str">
        <f>IF(TITLE_NUMBER_PR_CHANGE="",IF(TITLE_NUMBER_PR="","",TITLE_NUMBER_PR),TITLE_NUMBER_PR_CHANGE)</f>
        <v>79/2</v>
      </c>
      <c r="AD33" s="3901"/>
      <c r="AE33" s="3901"/>
      <c r="AF33" s="3901"/>
      <c r="AG33" s="3901"/>
      <c r="AH33" s="3901"/>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456</v>
      </c>
      <c r="AC34" s="248"/>
      <c r="AD34" s="248"/>
      <c r="AE34" s="248"/>
      <c r="AF34" s="248"/>
      <c r="AG34" s="248"/>
      <c r="AH34" s="248"/>
      <c r="AI34" s="194" t="s">
        <v>456</v>
      </c>
      <c r="AL34" s="292"/>
      <c r="AM34" s="292"/>
      <c r="AN34" s="292"/>
      <c r="AO34" s="292"/>
      <c r="AP34" s="292"/>
    </row>
    <row r="35" spans="1:42" ht="14.25" customHeight="1">
      <c r="Q35" s="300"/>
      <c r="R35" s="300"/>
      <c r="S35" s="1200"/>
      <c r="T35" s="286"/>
      <c r="U35" s="1158"/>
      <c r="V35" s="3902"/>
      <c r="W35" s="3902"/>
      <c r="X35" s="3902"/>
      <c r="Y35" s="3902"/>
      <c r="Z35" s="3902"/>
      <c r="AA35" s="3902"/>
      <c r="AB35" s="3902"/>
      <c r="AC35" s="3902"/>
      <c r="AD35" s="3902"/>
      <c r="AE35" s="3902"/>
      <c r="AF35" s="3902"/>
      <c r="AG35" s="3902"/>
      <c r="AH35" s="3902"/>
      <c r="AI35" s="3902"/>
    </row>
    <row r="36" spans="1:42" ht="14.25" customHeight="1">
      <c r="Q36" s="300"/>
      <c r="R36" s="300"/>
      <c r="S36" s="3778" t="s">
        <v>329</v>
      </c>
      <c r="T36" s="3778"/>
      <c r="U36" s="3778"/>
      <c r="V36" s="3778"/>
      <c r="W36" s="3778"/>
      <c r="X36" s="3778"/>
      <c r="Y36" s="3778"/>
      <c r="Z36" s="3778"/>
      <c r="AA36" s="3778"/>
      <c r="AB36" s="3778"/>
      <c r="AC36" s="3778"/>
      <c r="AD36" s="3778"/>
      <c r="AE36" s="3778"/>
      <c r="AF36" s="3778"/>
      <c r="AG36" s="3778"/>
      <c r="AH36" s="3778"/>
      <c r="AI36" s="3778"/>
      <c r="AJ36" s="3778"/>
      <c r="AK36" s="3778" t="s">
        <v>330</v>
      </c>
    </row>
    <row r="37" spans="1:42" ht="14.25" customHeight="1">
      <c r="Q37" s="300"/>
      <c r="R37" s="300"/>
      <c r="S37" s="3916" t="s">
        <v>86</v>
      </c>
      <c r="T37" s="3868" t="s">
        <v>457</v>
      </c>
      <c r="U37" s="215"/>
      <c r="V37" s="3917" t="s">
        <v>458</v>
      </c>
      <c r="W37" s="3918"/>
      <c r="X37" s="3918"/>
      <c r="Y37" s="3918"/>
      <c r="Z37" s="3918"/>
      <c r="AA37" s="3919"/>
      <c r="AB37" s="3920" t="s">
        <v>459</v>
      </c>
      <c r="AC37" s="3917" t="s">
        <v>458</v>
      </c>
      <c r="AD37" s="3918"/>
      <c r="AE37" s="3918"/>
      <c r="AF37" s="3918"/>
      <c r="AG37" s="3918"/>
      <c r="AH37" s="3919"/>
      <c r="AI37" s="3920" t="s">
        <v>460</v>
      </c>
      <c r="AJ37" s="3923" t="s">
        <v>461</v>
      </c>
      <c r="AK37" s="3778"/>
    </row>
    <row r="38" spans="1:42" ht="33.75" customHeight="1">
      <c r="Q38" s="300"/>
      <c r="R38" s="300"/>
      <c r="S38" s="3916"/>
      <c r="T38" s="3868"/>
      <c r="U38" s="942"/>
      <c r="V38" s="1273" t="s">
        <v>517</v>
      </c>
      <c r="W38" s="3749" t="s">
        <v>464</v>
      </c>
      <c r="X38" s="3748"/>
      <c r="Y38" s="3749" t="s">
        <v>465</v>
      </c>
      <c r="Z38" s="3754"/>
      <c r="AA38" s="3748"/>
      <c r="AB38" s="3921"/>
      <c r="AC38" s="1273" t="s">
        <v>517</v>
      </c>
      <c r="AD38" s="3749" t="s">
        <v>464</v>
      </c>
      <c r="AE38" s="3748"/>
      <c r="AF38" s="3749" t="s">
        <v>465</v>
      </c>
      <c r="AG38" s="3754"/>
      <c r="AH38" s="3748"/>
      <c r="AI38" s="3921"/>
      <c r="AJ38" s="3924"/>
      <c r="AK38" s="3778"/>
    </row>
    <row r="39" spans="1:42" ht="33.75" customHeight="1">
      <c r="A39" s="1291"/>
      <c r="B39" s="1291" t="s">
        <v>153</v>
      </c>
      <c r="C39" s="1291" t="s">
        <v>154</v>
      </c>
      <c r="D39" s="1291" t="s">
        <v>155</v>
      </c>
      <c r="E39" s="1285" t="s">
        <v>466</v>
      </c>
      <c r="F39" s="1285" t="s">
        <v>467</v>
      </c>
      <c r="G39" s="1285" t="s">
        <v>468</v>
      </c>
      <c r="H39" s="1285"/>
      <c r="I39" s="1285" t="s">
        <v>518</v>
      </c>
      <c r="J39" s="1285" t="s">
        <v>471</v>
      </c>
      <c r="K39" s="1285" t="s">
        <v>519</v>
      </c>
      <c r="L39" s="1285" t="s">
        <v>447</v>
      </c>
      <c r="Q39" s="300"/>
      <c r="R39" s="300"/>
      <c r="S39" s="3916"/>
      <c r="T39" s="3868"/>
      <c r="U39" s="216"/>
      <c r="V39" s="1273" t="s">
        <v>520</v>
      </c>
      <c r="W39" s="1133" t="s">
        <v>521</v>
      </c>
      <c r="X39" s="1133" t="s">
        <v>522</v>
      </c>
      <c r="Y39" s="1278" t="s">
        <v>475</v>
      </c>
      <c r="Z39" s="3876" t="s">
        <v>476</v>
      </c>
      <c r="AA39" s="3878"/>
      <c r="AB39" s="3922"/>
      <c r="AC39" s="1273" t="s">
        <v>520</v>
      </c>
      <c r="AD39" s="1133" t="s">
        <v>521</v>
      </c>
      <c r="AE39" s="1133" t="s">
        <v>522</v>
      </c>
      <c r="AF39" s="1278" t="s">
        <v>475</v>
      </c>
      <c r="AG39" s="3876" t="s">
        <v>476</v>
      </c>
      <c r="AH39" s="3878"/>
      <c r="AI39" s="3922"/>
      <c r="AJ39" s="3925"/>
      <c r="AK39" s="377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129</v>
      </c>
      <c r="T40" s="1177" t="s">
        <v>102</v>
      </c>
      <c r="U40" s="1159" t="str">
        <f ca="1">OFFSET(U40,0,-1)</f>
        <v>2</v>
      </c>
      <c r="V40" s="1274">
        <f ca="1">OFFSET(V40,0,-1)+1</f>
        <v>3</v>
      </c>
      <c r="W40" s="1274">
        <f ca="1">OFFSET(W40,0,-1)+1</f>
        <v>4</v>
      </c>
      <c r="X40" s="1274">
        <f ca="1">OFFSET(X40,0,-1)+1</f>
        <v>5</v>
      </c>
      <c r="Y40" s="1274">
        <f ca="1">OFFSET(Y40,0,-1)+1</f>
        <v>6</v>
      </c>
      <c r="Z40" s="3915">
        <f ca="1">OFFSET(Z40,0,-1)+1</f>
        <v>7</v>
      </c>
      <c r="AA40" s="3915"/>
      <c r="AB40" s="1274">
        <f ca="1">OFFSET(AB40,0,-2)+1</f>
        <v>8</v>
      </c>
      <c r="AC40" s="1274">
        <f ca="1">OFFSET(AC40,0,-1)+1</f>
        <v>9</v>
      </c>
      <c r="AD40" s="1274">
        <f ca="1">OFFSET(AD40,0,-1)+1</f>
        <v>10</v>
      </c>
      <c r="AE40" s="1274">
        <f ca="1">OFFSET(AE40,0,-1)+1</f>
        <v>11</v>
      </c>
      <c r="AF40" s="1274">
        <f ca="1">OFFSET(AF40,0,-1)+1</f>
        <v>12</v>
      </c>
      <c r="AG40" s="3915">
        <f ca="1">OFFSET(AG40,0,-1)+1</f>
        <v>13</v>
      </c>
      <c r="AH40" s="3915"/>
      <c r="AI40" s="1274">
        <f ca="1">OFFSET(AI40,0,-2)+1</f>
        <v>14</v>
      </c>
      <c r="AJ40" s="1159">
        <f ca="1">OFFSET(AJ40,0,-1)</f>
        <v>14</v>
      </c>
      <c r="AK40" s="1274">
        <f ca="1">OFFSET(AK40,0,-1)+1</f>
        <v>15</v>
      </c>
      <c r="AL40" s="435"/>
      <c r="AM40" s="435"/>
      <c r="AN40" s="435"/>
      <c r="AO40" s="435"/>
      <c r="AP40" s="435"/>
    </row>
    <row r="41" spans="1:42" ht="23.25" customHeight="1">
      <c r="A41" s="1284" t="s">
        <v>230</v>
      </c>
      <c r="B41" s="1284"/>
      <c r="C41" s="1284"/>
      <c r="D41" s="1284"/>
      <c r="E41" s="3908">
        <v>1</v>
      </c>
      <c r="F41" s="1284"/>
      <c r="G41" s="1284"/>
      <c r="H41" s="1284"/>
      <c r="I41" s="1284"/>
      <c r="J41" s="1284"/>
      <c r="K41" s="1284"/>
      <c r="L41" s="1285"/>
      <c r="M41" s="1286"/>
      <c r="N41" s="1286"/>
      <c r="O41" s="1286"/>
      <c r="P41" s="282"/>
      <c r="Q41" s="281"/>
      <c r="R41" s="276"/>
      <c r="S41" s="1279">
        <f>INDEX(PT_DIFFERENTIATION_NUM_NTAR,MATCH(A41,PT_DIFFERENTIATION_NTAR_ID,0))</f>
        <v>0</v>
      </c>
      <c r="T41" s="212" t="s">
        <v>141</v>
      </c>
      <c r="U41" s="214"/>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230</v>
      </c>
      <c r="B42" s="1284" t="s">
        <v>231</v>
      </c>
      <c r="C42" s="1284"/>
      <c r="D42" s="1284"/>
      <c r="E42" s="3909"/>
      <c r="F42" s="3908">
        <v>1</v>
      </c>
      <c r="G42" s="1284"/>
      <c r="H42" s="1284"/>
      <c r="I42" s="1284"/>
      <c r="J42" s="1284"/>
      <c r="K42" s="1284"/>
      <c r="L42" s="1285"/>
      <c r="M42" s="1286"/>
      <c r="N42" s="1286"/>
      <c r="O42" s="1286"/>
      <c r="P42" s="1277"/>
      <c r="Q42" s="273"/>
      <c r="R42" s="274"/>
      <c r="S42" s="1279" t="str">
        <f>INDEX(PT_DIFFERENTIATION_NUM_TER,MATCH(B42,PT_DIFFERENTIATION_TER_ID,0))</f>
        <v>.</v>
      </c>
      <c r="T42" s="224" t="s">
        <v>428</v>
      </c>
      <c r="U42" s="214"/>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182" t="s">
        <v>429</v>
      </c>
      <c r="AM42" s="424"/>
      <c r="AN42" s="424" t="str">
        <f t="shared" si="1"/>
        <v>Территория действия тарифа</v>
      </c>
      <c r="AO42" s="424"/>
      <c r="AP42" s="424"/>
    </row>
    <row r="43" spans="1:42" ht="23.25" customHeight="1">
      <c r="A43" s="1284" t="s">
        <v>230</v>
      </c>
      <c r="B43" s="1284" t="s">
        <v>231</v>
      </c>
      <c r="C43" s="1284" t="s">
        <v>232</v>
      </c>
      <c r="D43" s="1284"/>
      <c r="E43" s="3909"/>
      <c r="F43" s="3909"/>
      <c r="G43" s="3908">
        <v>1</v>
      </c>
      <c r="H43" s="1284"/>
      <c r="I43" s="1284"/>
      <c r="J43" s="1284"/>
      <c r="K43" s="1284"/>
      <c r="L43" s="1285"/>
      <c r="M43" s="1286"/>
      <c r="N43" s="1286"/>
      <c r="O43" s="1286"/>
      <c r="P43" s="275"/>
      <c r="Q43" s="273"/>
      <c r="R43" s="274"/>
      <c r="S43" s="1279" t="str">
        <f>INDEX(PT_DIFFERENTIATION_NUM_CS,MATCH(C43,PT_DIFFERENTIATION_CS_ID,0))</f>
        <v>..</v>
      </c>
      <c r="T43" s="225" t="s">
        <v>509</v>
      </c>
      <c r="U43" s="214"/>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182" t="s">
        <v>510</v>
      </c>
      <c r="AM43" s="424"/>
      <c r="AN43" s="424" t="str">
        <f t="shared" si="1"/>
        <v>Наименование централизованной системы холодного водоснабжения</v>
      </c>
      <c r="AO43" s="424"/>
      <c r="AP43" s="424"/>
    </row>
    <row r="44" spans="1:42" ht="23.25" customHeight="1">
      <c r="A44" s="1284" t="s">
        <v>230</v>
      </c>
      <c r="B44" s="1284" t="s">
        <v>231</v>
      </c>
      <c r="C44" s="1284" t="s">
        <v>232</v>
      </c>
      <c r="D44" s="1284" t="s">
        <v>523</v>
      </c>
      <c r="E44" s="3909"/>
      <c r="F44" s="3909"/>
      <c r="G44" s="3909"/>
      <c r="H44" s="3909"/>
      <c r="I44" s="3906" t="str">
        <f>S43&amp;".1"</f>
        <v>...1</v>
      </c>
      <c r="J44" s="1284"/>
      <c r="K44" s="1284"/>
      <c r="L44" s="1285"/>
      <c r="P44" s="3907">
        <v>1</v>
      </c>
      <c r="Q44" s="1275"/>
      <c r="R44" s="277"/>
      <c r="S44" s="1279" t="str">
        <f>$I44</f>
        <v>...1</v>
      </c>
      <c r="T44" s="200" t="s">
        <v>511</v>
      </c>
      <c r="U44" s="214"/>
      <c r="V44" s="3967"/>
      <c r="W44" s="3968"/>
      <c r="X44" s="3968"/>
      <c r="Y44" s="3968"/>
      <c r="Z44" s="3968"/>
      <c r="AA44" s="3968"/>
      <c r="AB44" s="3969"/>
      <c r="AC44" s="3970"/>
      <c r="AD44" s="3971"/>
      <c r="AE44" s="3971"/>
      <c r="AF44" s="3971"/>
      <c r="AG44" s="3971"/>
      <c r="AH44" s="3971"/>
      <c r="AI44" s="3971"/>
      <c r="AJ44" s="3972"/>
      <c r="AK44" s="1182" t="s">
        <v>512</v>
      </c>
      <c r="AM44" s="424"/>
      <c r="AN44" s="424" t="str">
        <f t="shared" si="1"/>
        <v>Наименование признака дифференциации</v>
      </c>
      <c r="AO44" s="424"/>
      <c r="AP44" s="424"/>
    </row>
    <row r="45" spans="1:42" ht="23.25" customHeight="1">
      <c r="A45" s="1284" t="s">
        <v>230</v>
      </c>
      <c r="B45" s="1284" t="s">
        <v>231</v>
      </c>
      <c r="C45" s="1284" t="s">
        <v>232</v>
      </c>
      <c r="D45" s="1284" t="s">
        <v>523</v>
      </c>
      <c r="E45" s="3909"/>
      <c r="F45" s="3909"/>
      <c r="G45" s="3909"/>
      <c r="H45" s="3909"/>
      <c r="I45" s="3929"/>
      <c r="J45" s="3906" t="str">
        <f>I44&amp;".1"</f>
        <v>...1.1</v>
      </c>
      <c r="K45" s="1284"/>
      <c r="L45" s="1285" t="s">
        <v>437</v>
      </c>
      <c r="P45" s="3907"/>
      <c r="Q45" s="3907">
        <v>1</v>
      </c>
      <c r="R45" s="278"/>
      <c r="S45" s="1279" t="str">
        <f>$J45</f>
        <v>...1.1</v>
      </c>
      <c r="T45" s="201" t="s">
        <v>438</v>
      </c>
      <c r="U45" s="214"/>
      <c r="V45" s="3897"/>
      <c r="W45" s="3898"/>
      <c r="X45" s="3898"/>
      <c r="Y45" s="3898"/>
      <c r="Z45" s="3898"/>
      <c r="AA45" s="3898"/>
      <c r="AB45" s="3899"/>
      <c r="AC45" s="3897"/>
      <c r="AD45" s="3898"/>
      <c r="AE45" s="3898"/>
      <c r="AF45" s="3898"/>
      <c r="AG45" s="3898"/>
      <c r="AH45" s="3898"/>
      <c r="AI45" s="3898"/>
      <c r="AJ45" s="3899"/>
      <c r="AK45" s="1231" t="s">
        <v>513</v>
      </c>
      <c r="AM45" s="424"/>
      <c r="AN45" s="424" t="str">
        <f t="shared" si="1"/>
        <v>Группа потребителей</v>
      </c>
      <c r="AO45" s="424"/>
      <c r="AP45" s="424"/>
    </row>
    <row r="46" spans="1:42" ht="23.25" customHeight="1">
      <c r="A46" s="1284" t="s">
        <v>230</v>
      </c>
      <c r="B46" s="1284" t="s">
        <v>231</v>
      </c>
      <c r="C46" s="1284" t="s">
        <v>232</v>
      </c>
      <c r="D46" s="1284" t="s">
        <v>523</v>
      </c>
      <c r="E46" s="3909"/>
      <c r="F46" s="3909"/>
      <c r="G46" s="3909"/>
      <c r="H46" s="3909"/>
      <c r="I46" s="3929"/>
      <c r="J46" s="3929"/>
      <c r="K46" s="3906" t="str">
        <f>J45&amp;".1"</f>
        <v>...1.1.1</v>
      </c>
      <c r="L46" s="1285"/>
      <c r="P46" s="3907"/>
      <c r="Q46" s="3907"/>
      <c r="R46" s="278">
        <v>1</v>
      </c>
      <c r="S46" s="1279" t="str">
        <f>$K46</f>
        <v>...1.1.1</v>
      </c>
      <c r="T46" s="1357"/>
      <c r="U46" s="214"/>
      <c r="V46" s="1281"/>
      <c r="W46" s="1281"/>
      <c r="X46" s="1282"/>
      <c r="Y46" s="3913"/>
      <c r="Z46" s="3914" t="s">
        <v>60</v>
      </c>
      <c r="AA46" s="3913"/>
      <c r="AB46" s="3914" t="s">
        <v>60</v>
      </c>
      <c r="AC46" s="666"/>
      <c r="AD46" s="666"/>
      <c r="AE46" s="1181"/>
      <c r="AF46" s="3911"/>
      <c r="AG46" s="3759" t="s">
        <v>60</v>
      </c>
      <c r="AH46" s="3930"/>
      <c r="AI46" s="3759" t="s">
        <v>55</v>
      </c>
      <c r="AJ46" s="1358"/>
      <c r="AK4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230</v>
      </c>
      <c r="B47" s="1284" t="s">
        <v>231</v>
      </c>
      <c r="C47" s="1284" t="s">
        <v>232</v>
      </c>
      <c r="D47" s="1284" t="s">
        <v>523</v>
      </c>
      <c r="E47" s="3909"/>
      <c r="F47" s="3909"/>
      <c r="G47" s="3909"/>
      <c r="H47" s="3909"/>
      <c r="I47" s="3929"/>
      <c r="J47" s="3929"/>
      <c r="K47" s="3906"/>
      <c r="L47" s="1285"/>
      <c r="P47" s="3907"/>
      <c r="Q47" s="3907"/>
      <c r="R47" s="278"/>
      <c r="S47" s="1280"/>
      <c r="T47" s="214"/>
      <c r="U47" s="214"/>
      <c r="V47" s="1281"/>
      <c r="W47" s="1281"/>
      <c r="X47" s="250" t="str">
        <f>Y46&amp;"-"&amp;AA46</f>
        <v>-</v>
      </c>
      <c r="Y47" s="3914"/>
      <c r="Z47" s="3914"/>
      <c r="AA47" s="3914"/>
      <c r="AB47" s="3914"/>
      <c r="AC47" s="246"/>
      <c r="AD47" s="246"/>
      <c r="AE47" s="250" t="str">
        <f>AF46&amp;"-"&amp;AH46</f>
        <v>-</v>
      </c>
      <c r="AF47" s="3912"/>
      <c r="AG47" s="3759"/>
      <c r="AH47" s="3931"/>
      <c r="AI47" s="3759"/>
      <c r="AJ47" s="1359"/>
      <c r="AK47" s="3966"/>
      <c r="AM47" s="424"/>
      <c r="AN47" s="424" t="str">
        <f t="shared" si="1"/>
        <v/>
      </c>
      <c r="AO47" s="424"/>
      <c r="AP47" s="424"/>
    </row>
    <row r="48" spans="1:42" ht="21" customHeight="1">
      <c r="A48" s="1284" t="s">
        <v>230</v>
      </c>
      <c r="B48" s="1284" t="s">
        <v>231</v>
      </c>
      <c r="C48" s="1284" t="s">
        <v>232</v>
      </c>
      <c r="D48" s="1284" t="s">
        <v>523</v>
      </c>
      <c r="E48" s="3909"/>
      <c r="F48" s="3909"/>
      <c r="G48" s="3909"/>
      <c r="H48" s="3909"/>
      <c r="I48" s="3929"/>
      <c r="J48" s="3906"/>
      <c r="K48" s="1284"/>
      <c r="L48" s="1285"/>
      <c r="P48" s="3907"/>
      <c r="Q48" s="3907"/>
      <c r="R48" s="277"/>
      <c r="S48" s="1203"/>
      <c r="T48" s="202" t="s">
        <v>514</v>
      </c>
      <c r="U48" s="291"/>
      <c r="V48" s="291"/>
      <c r="W48" s="291"/>
      <c r="X48" s="291"/>
      <c r="Y48" s="291"/>
      <c r="Z48" s="291"/>
      <c r="AA48" s="291"/>
      <c r="AB48" s="291"/>
      <c r="AC48" s="291"/>
      <c r="AD48" s="291"/>
      <c r="AE48" s="291"/>
      <c r="AF48" s="291"/>
      <c r="AG48" s="291"/>
      <c r="AH48" s="291"/>
      <c r="AI48" s="291"/>
      <c r="AJ48" s="291"/>
      <c r="AK48" s="1182" t="s">
        <v>515</v>
      </c>
      <c r="AM48" s="424"/>
      <c r="AN48" s="424" t="str">
        <f t="shared" si="1"/>
        <v>Добавить значение признака дифференциации</v>
      </c>
      <c r="AO48" s="424"/>
      <c r="AP48" s="424"/>
    </row>
    <row r="49" spans="1:42" ht="21" customHeight="1">
      <c r="A49" s="1284" t="s">
        <v>230</v>
      </c>
      <c r="B49" s="1284" t="s">
        <v>231</v>
      </c>
      <c r="C49" s="1284" t="s">
        <v>232</v>
      </c>
      <c r="D49" s="1284" t="s">
        <v>523</v>
      </c>
      <c r="E49" s="3909"/>
      <c r="F49" s="3909"/>
      <c r="G49" s="3909"/>
      <c r="H49" s="3909"/>
      <c r="I49" s="3906"/>
      <c r="J49" s="1284"/>
      <c r="K49" s="1284"/>
      <c r="L49" s="1285"/>
      <c r="P49" s="3907"/>
      <c r="Q49" s="1275"/>
      <c r="R49" s="277"/>
      <c r="S49" s="1203"/>
      <c r="T49" s="288" t="s">
        <v>443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230</v>
      </c>
      <c r="B50" s="1284" t="s">
        <v>231</v>
      </c>
      <c r="C50" s="1284" t="s">
        <v>232</v>
      </c>
      <c r="D50" s="1284" t="s">
        <v>523</v>
      </c>
      <c r="E50" s="3909"/>
      <c r="F50" s="3909"/>
      <c r="G50" s="3909"/>
      <c r="H50" s="3908"/>
      <c r="I50" s="1284"/>
      <c r="J50" s="1284"/>
      <c r="K50" s="1284"/>
      <c r="L50" s="1285"/>
      <c r="M50" s="1286"/>
      <c r="N50" s="1286"/>
      <c r="O50" s="460"/>
      <c r="P50" s="281"/>
      <c r="Q50" s="299"/>
      <c r="R50" s="276"/>
      <c r="S50" s="1203"/>
      <c r="T50" s="296" t="s">
        <v>516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230</v>
      </c>
      <c r="B51" s="1265" t="s">
        <v>231</v>
      </c>
      <c r="C51" s="1237"/>
      <c r="D51" s="1237"/>
      <c r="E51" s="3909"/>
      <c r="F51" s="3908"/>
      <c r="G51" s="1237"/>
      <c r="H51" s="1237"/>
      <c r="I51" s="1237"/>
      <c r="J51" s="1237"/>
      <c r="K51" s="1237"/>
      <c r="L51" s="1346"/>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230</v>
      </c>
      <c r="B52" s="1265"/>
      <c r="C52" s="1265"/>
      <c r="D52" s="1265"/>
      <c r="E52" s="3908"/>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262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928"/>
      <c r="U55" s="3928"/>
      <c r="V55" s="3928"/>
      <c r="W55" s="3928"/>
      <c r="X55" s="3928"/>
      <c r="Y55" s="3928"/>
      <c r="Z55" s="3928"/>
      <c r="AA55" s="3928"/>
      <c r="AB55" s="3928"/>
      <c r="AC55" s="3928"/>
      <c r="AD55" s="3928"/>
      <c r="AE55" s="3928"/>
      <c r="AF55" s="3928"/>
      <c r="AG55" s="3928"/>
      <c r="AH55" s="3928"/>
      <c r="AI55" s="3928"/>
      <c r="AJ55" s="3928"/>
      <c r="AK55" s="3928"/>
    </row>
    <row r="56" spans="1:42" ht="14.25" customHeight="1">
      <c r="O56" s="460"/>
    </row>
    <row r="57" spans="1:42" ht="14.25" customHeight="1">
      <c r="O57" s="460"/>
      <c r="S57" s="1169"/>
      <c r="T57" s="3928"/>
      <c r="U57" s="3928"/>
      <c r="V57" s="3928"/>
      <c r="W57" s="3928"/>
      <c r="X57" s="3928"/>
      <c r="Y57" s="3928"/>
      <c r="Z57" s="3928"/>
      <c r="AA57" s="3928"/>
      <c r="AB57" s="3928"/>
      <c r="AC57" s="3928"/>
      <c r="AD57" s="3928"/>
      <c r="AE57" s="3928"/>
      <c r="AF57" s="3928"/>
      <c r="AG57" s="3928"/>
      <c r="AH57" s="3928"/>
      <c r="AI57" s="3928"/>
      <c r="AJ57" s="3928"/>
      <c r="AK57" s="39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125"/>
  <sheetViews>
    <sheetView showGridLines="0" topLeftCell="BU96" zoomScale="90" workbookViewId="0">
      <selection activeCell="AC113" sqref="AC113:CU113"/>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2.85546875" style="1817" customWidth="1"/>
    <col min="17" max="18" width="2.85546875" style="265" customWidth="1"/>
    <col min="19" max="19" width="10.570312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29" width="18" style="1555" customWidth="1"/>
    <col min="30" max="30" width="9" style="1555" customWidth="1"/>
    <col min="31" max="31" width="8.28515625" style="1555" customWidth="1"/>
    <col min="32" max="32" width="11.7109375" style="1555" customWidth="1"/>
    <col min="33" max="33" width="3.7109375" style="1555" customWidth="1"/>
    <col min="34" max="34" width="11.7109375" style="1555" customWidth="1"/>
    <col min="35" max="35" width="8.5703125" style="1555" customWidth="1"/>
    <col min="39" max="39" width="12.140625" customWidth="1"/>
    <col min="46" max="46" width="12.28515625" customWidth="1"/>
    <col min="98" max="98" width="10.5703125" hidden="1"/>
    <col min="99" max="99" width="4.7109375" style="1555" customWidth="1"/>
    <col min="100" max="100" width="115.7109375" style="1555" customWidth="1"/>
    <col min="101" max="102" width="10.5703125" style="1562"/>
    <col min="103" max="103" width="11.140625" style="1562" customWidth="1"/>
    <col min="104" max="105" width="10.5703125" style="1562"/>
  </cols>
  <sheetData>
    <row r="1" spans="1:105" ht="14.25" hidden="1" customHeight="1">
      <c r="X1" s="249"/>
      <c r="Y1" s="249"/>
      <c r="AE1" s="249"/>
      <c r="AF1" s="249"/>
      <c r="AJ1" s="1555"/>
      <c r="AK1" s="1555"/>
      <c r="AL1" s="1555"/>
      <c r="AM1" s="1555"/>
      <c r="AN1" s="1555"/>
      <c r="AO1" s="1555"/>
      <c r="AP1" s="1555"/>
      <c r="AQ1" s="1555"/>
      <c r="AR1" s="1555"/>
      <c r="AS1" s="1555"/>
      <c r="AT1" s="1555"/>
      <c r="AU1" s="1555"/>
      <c r="AV1" s="1555"/>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c r="BU1" s="1555"/>
      <c r="BV1" s="1555"/>
      <c r="BW1" s="1555"/>
      <c r="BX1" s="1555"/>
      <c r="BY1" s="1555"/>
      <c r="BZ1" s="1555"/>
      <c r="CA1" s="1555"/>
      <c r="CB1" s="1555"/>
      <c r="CC1" s="1555"/>
      <c r="CD1" s="1555"/>
      <c r="CE1" s="1555"/>
      <c r="CF1" s="1555"/>
      <c r="CG1" s="1555"/>
      <c r="CH1" s="1555"/>
      <c r="CI1" s="1555"/>
      <c r="CJ1" s="1555"/>
      <c r="CK1" s="1555"/>
      <c r="CL1" s="1555"/>
      <c r="CM1" s="1555"/>
      <c r="CN1" s="1555"/>
      <c r="CO1" s="1555"/>
      <c r="CP1" s="1555"/>
      <c r="CQ1" s="1555"/>
      <c r="CR1" s="1555"/>
      <c r="CS1" s="1555"/>
      <c r="CT1" s="1555"/>
    </row>
    <row r="2" spans="1:105" ht="23.25" hidden="1" customHeight="1">
      <c r="A2" s="1284"/>
      <c r="B2" s="1284"/>
      <c r="C2" s="1284"/>
      <c r="D2" s="1284"/>
      <c r="E2" s="3908">
        <v>1</v>
      </c>
      <c r="F2" s="1284"/>
      <c r="G2" s="1284"/>
      <c r="H2" s="1284"/>
      <c r="I2" s="1284"/>
      <c r="J2" s="1284"/>
      <c r="K2" s="1284"/>
      <c r="L2" s="1285"/>
      <c r="M2" s="1286"/>
      <c r="N2" s="1286"/>
      <c r="O2" s="1286"/>
      <c r="P2" s="282"/>
      <c r="Q2" s="281"/>
      <c r="R2" s="276"/>
      <c r="S2" s="1375" t="e">
        <f>INDEX(PT_DIFFERENTIATION_NUM_NTAR,MATCH(A2,PT_DIFFERENTIATION_NTAR_ID,0))</f>
        <v>#N/A</v>
      </c>
      <c r="T2" s="212" t="s">
        <v>141</v>
      </c>
      <c r="U2" s="214"/>
      <c r="V2" s="3894"/>
      <c r="W2" s="3895"/>
      <c r="X2" s="3895"/>
      <c r="Y2" s="3895"/>
      <c r="Z2" s="3895"/>
      <c r="AA2" s="3895"/>
      <c r="AB2" s="3896"/>
      <c r="AC2" s="3894" t="e">
        <f>INDEX(PT_DIFFERENTIATION_NTAR,MATCH(A2,PT_DIFFERENTIATION_NTAR_ID,0))</f>
        <v>#N/A</v>
      </c>
      <c r="AD2" s="3895"/>
      <c r="AE2" s="3895"/>
      <c r="AF2" s="3895"/>
      <c r="AG2" s="3895"/>
      <c r="AH2" s="3895"/>
      <c r="AI2" s="3895"/>
      <c r="AJ2" s="3894"/>
      <c r="AK2" s="3895"/>
      <c r="AL2" s="3895"/>
      <c r="AM2" s="3895"/>
      <c r="AN2" s="3895"/>
      <c r="AO2" s="3895"/>
      <c r="AP2" s="3896"/>
      <c r="AQ2" s="3894"/>
      <c r="AR2" s="3895"/>
      <c r="AS2" s="3895"/>
      <c r="AT2" s="3895"/>
      <c r="AU2" s="3895"/>
      <c r="AV2" s="3895"/>
      <c r="AW2" s="3896"/>
      <c r="AX2" s="3894"/>
      <c r="AY2" s="3895"/>
      <c r="AZ2" s="3895"/>
      <c r="BA2" s="3895"/>
      <c r="BB2" s="3895"/>
      <c r="BC2" s="3895"/>
      <c r="BD2" s="3896"/>
      <c r="BE2" s="3894"/>
      <c r="BF2" s="3895"/>
      <c r="BG2" s="3895"/>
      <c r="BH2" s="3895"/>
      <c r="BI2" s="3895"/>
      <c r="BJ2" s="3895"/>
      <c r="BK2" s="3896"/>
      <c r="BL2" s="3894"/>
      <c r="BM2" s="3895"/>
      <c r="BN2" s="3895"/>
      <c r="BO2" s="3895"/>
      <c r="BP2" s="3895"/>
      <c r="BQ2" s="3895"/>
      <c r="BR2" s="3896"/>
      <c r="BS2" s="3894"/>
      <c r="BT2" s="3895"/>
      <c r="BU2" s="3895"/>
      <c r="BV2" s="3895"/>
      <c r="BW2" s="3895"/>
      <c r="BX2" s="3895"/>
      <c r="BY2" s="3896"/>
      <c r="BZ2" s="3894"/>
      <c r="CA2" s="3895"/>
      <c r="CB2" s="3895"/>
      <c r="CC2" s="3895"/>
      <c r="CD2" s="3895"/>
      <c r="CE2" s="3895"/>
      <c r="CF2" s="3896"/>
      <c r="CG2" s="3894"/>
      <c r="CH2" s="3895"/>
      <c r="CI2" s="3895"/>
      <c r="CJ2" s="3895"/>
      <c r="CK2" s="3895"/>
      <c r="CL2" s="3895"/>
      <c r="CM2" s="3896"/>
      <c r="CN2" s="3894"/>
      <c r="CO2" s="3895"/>
      <c r="CP2" s="3895"/>
      <c r="CQ2" s="3895"/>
      <c r="CR2" s="3895"/>
      <c r="CS2" s="3895"/>
      <c r="CT2" s="3896"/>
      <c r="CU2" s="3896"/>
      <c r="CV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4"/>
      <c r="CY2" s="424" t="str">
        <f t="shared" ref="CY2:CY13" si="0">IF(T2="","",T2)</f>
        <v>Наименование тарифа</v>
      </c>
      <c r="CZ2" s="424"/>
      <c r="DA2" s="424"/>
    </row>
    <row r="3" spans="1:105" ht="23.25" hidden="1" customHeight="1">
      <c r="A3" s="1284"/>
      <c r="B3" s="1284"/>
      <c r="C3" s="1284"/>
      <c r="D3" s="1284"/>
      <c r="E3" s="3909"/>
      <c r="F3" s="3908">
        <v>1</v>
      </c>
      <c r="G3" s="1284"/>
      <c r="H3" s="1284"/>
      <c r="I3" s="1284"/>
      <c r="J3" s="1284"/>
      <c r="K3" s="1284"/>
      <c r="L3" s="1285"/>
      <c r="M3" s="1286"/>
      <c r="N3" s="1286"/>
      <c r="O3" s="1286"/>
      <c r="P3" s="1371"/>
      <c r="Q3" s="273"/>
      <c r="R3" s="274"/>
      <c r="S3" s="1375" t="e">
        <f>INDEX(PT_DIFFERENTIATION_NUM_TER,MATCH(B3,PT_DIFFERENTIATION_TER_ID,0))</f>
        <v>#N/A</v>
      </c>
      <c r="T3" s="224" t="s">
        <v>428</v>
      </c>
      <c r="U3" s="214"/>
      <c r="V3" s="3894"/>
      <c r="W3" s="3895"/>
      <c r="X3" s="3895"/>
      <c r="Y3" s="3895"/>
      <c r="Z3" s="3895"/>
      <c r="AA3" s="3895"/>
      <c r="AB3" s="3896"/>
      <c r="AC3" s="3894" t="e">
        <f>INDEX(PT_DIFFERENTIATION_TER,MATCH(B3,PT_DIFFERENTIATION_TER_ID,0))</f>
        <v>#N/A</v>
      </c>
      <c r="AD3" s="3895"/>
      <c r="AE3" s="3895"/>
      <c r="AF3" s="3895"/>
      <c r="AG3" s="3895"/>
      <c r="AH3" s="3895"/>
      <c r="AI3" s="3895"/>
      <c r="AJ3" s="3894"/>
      <c r="AK3" s="3895"/>
      <c r="AL3" s="3895"/>
      <c r="AM3" s="3895"/>
      <c r="AN3" s="3895"/>
      <c r="AO3" s="3895"/>
      <c r="AP3" s="3896"/>
      <c r="AQ3" s="3894"/>
      <c r="AR3" s="3895"/>
      <c r="AS3" s="3895"/>
      <c r="AT3" s="3895"/>
      <c r="AU3" s="3895"/>
      <c r="AV3" s="3895"/>
      <c r="AW3" s="3896"/>
      <c r="AX3" s="3894"/>
      <c r="AY3" s="3895"/>
      <c r="AZ3" s="3895"/>
      <c r="BA3" s="3895"/>
      <c r="BB3" s="3895"/>
      <c r="BC3" s="3895"/>
      <c r="BD3" s="3896"/>
      <c r="BE3" s="3894"/>
      <c r="BF3" s="3895"/>
      <c r="BG3" s="3895"/>
      <c r="BH3" s="3895"/>
      <c r="BI3" s="3895"/>
      <c r="BJ3" s="3895"/>
      <c r="BK3" s="3896"/>
      <c r="BL3" s="3894"/>
      <c r="BM3" s="3895"/>
      <c r="BN3" s="3895"/>
      <c r="BO3" s="3895"/>
      <c r="BP3" s="3895"/>
      <c r="BQ3" s="3895"/>
      <c r="BR3" s="3896"/>
      <c r="BS3" s="3894"/>
      <c r="BT3" s="3895"/>
      <c r="BU3" s="3895"/>
      <c r="BV3" s="3895"/>
      <c r="BW3" s="3895"/>
      <c r="BX3" s="3895"/>
      <c r="BY3" s="3896"/>
      <c r="BZ3" s="3894"/>
      <c r="CA3" s="3895"/>
      <c r="CB3" s="3895"/>
      <c r="CC3" s="3895"/>
      <c r="CD3" s="3895"/>
      <c r="CE3" s="3895"/>
      <c r="CF3" s="3896"/>
      <c r="CG3" s="3894"/>
      <c r="CH3" s="3895"/>
      <c r="CI3" s="3895"/>
      <c r="CJ3" s="3895"/>
      <c r="CK3" s="3895"/>
      <c r="CL3" s="3895"/>
      <c r="CM3" s="3896"/>
      <c r="CN3" s="3894"/>
      <c r="CO3" s="3895"/>
      <c r="CP3" s="3895"/>
      <c r="CQ3" s="3895"/>
      <c r="CR3" s="3895"/>
      <c r="CS3" s="3895"/>
      <c r="CT3" s="3896"/>
      <c r="CU3" s="3896"/>
      <c r="CV3" s="1182" t="s">
        <v>429</v>
      </c>
      <c r="CX3" s="424"/>
      <c r="CY3" s="424" t="str">
        <f t="shared" si="0"/>
        <v>Территория действия тарифа</v>
      </c>
      <c r="CZ3" s="424"/>
      <c r="DA3" s="424"/>
    </row>
    <row r="4" spans="1:105" ht="23.25" hidden="1" customHeight="1">
      <c r="A4" s="1284"/>
      <c r="B4" s="1284"/>
      <c r="C4" s="1284"/>
      <c r="D4" s="1284"/>
      <c r="E4" s="3909"/>
      <c r="F4" s="3909"/>
      <c r="G4" s="3908">
        <v>1</v>
      </c>
      <c r="H4" s="1284"/>
      <c r="I4" s="1284"/>
      <c r="J4" s="1284"/>
      <c r="K4" s="1284"/>
      <c r="L4" s="1285"/>
      <c r="M4" s="1286"/>
      <c r="N4" s="1286"/>
      <c r="O4" s="1286"/>
      <c r="P4" s="275"/>
      <c r="Q4" s="273"/>
      <c r="R4" s="274"/>
      <c r="S4" s="1375" t="e">
        <f>INDEX(PT_DIFFERENTIATION_NUM_CS,MATCH(C4,PT_DIFFERENTIATION_CS_ID,0))</f>
        <v>#N/A</v>
      </c>
      <c r="T4" s="225" t="s">
        <v>509</v>
      </c>
      <c r="U4" s="214"/>
      <c r="V4" s="3894"/>
      <c r="W4" s="3895"/>
      <c r="X4" s="3895"/>
      <c r="Y4" s="3895"/>
      <c r="Z4" s="3895"/>
      <c r="AA4" s="3895"/>
      <c r="AB4" s="3896"/>
      <c r="AC4" s="3894" t="e">
        <f>INDEX(PT_DIFFERENTIATION_CS,MATCH(C4,PT_DIFFERENTIATION_CS_ID,0))</f>
        <v>#N/A</v>
      </c>
      <c r="AD4" s="3895"/>
      <c r="AE4" s="3895"/>
      <c r="AF4" s="3895"/>
      <c r="AG4" s="3895"/>
      <c r="AH4" s="3895"/>
      <c r="AI4" s="3895"/>
      <c r="AJ4" s="3894"/>
      <c r="AK4" s="3895"/>
      <c r="AL4" s="3895"/>
      <c r="AM4" s="3895"/>
      <c r="AN4" s="3895"/>
      <c r="AO4" s="3895"/>
      <c r="AP4" s="3896"/>
      <c r="AQ4" s="3894"/>
      <c r="AR4" s="3895"/>
      <c r="AS4" s="3895"/>
      <c r="AT4" s="3895"/>
      <c r="AU4" s="3895"/>
      <c r="AV4" s="3895"/>
      <c r="AW4" s="3896"/>
      <c r="AX4" s="3894"/>
      <c r="AY4" s="3895"/>
      <c r="AZ4" s="3895"/>
      <c r="BA4" s="3895"/>
      <c r="BB4" s="3895"/>
      <c r="BC4" s="3895"/>
      <c r="BD4" s="3896"/>
      <c r="BE4" s="3894"/>
      <c r="BF4" s="3895"/>
      <c r="BG4" s="3895"/>
      <c r="BH4" s="3895"/>
      <c r="BI4" s="3895"/>
      <c r="BJ4" s="3895"/>
      <c r="BK4" s="3896"/>
      <c r="BL4" s="3894"/>
      <c r="BM4" s="3895"/>
      <c r="BN4" s="3895"/>
      <c r="BO4" s="3895"/>
      <c r="BP4" s="3895"/>
      <c r="BQ4" s="3895"/>
      <c r="BR4" s="3896"/>
      <c r="BS4" s="3894"/>
      <c r="BT4" s="3895"/>
      <c r="BU4" s="3895"/>
      <c r="BV4" s="3895"/>
      <c r="BW4" s="3895"/>
      <c r="BX4" s="3895"/>
      <c r="BY4" s="3896"/>
      <c r="BZ4" s="3894"/>
      <c r="CA4" s="3895"/>
      <c r="CB4" s="3895"/>
      <c r="CC4" s="3895"/>
      <c r="CD4" s="3895"/>
      <c r="CE4" s="3895"/>
      <c r="CF4" s="3896"/>
      <c r="CG4" s="3894"/>
      <c r="CH4" s="3895"/>
      <c r="CI4" s="3895"/>
      <c r="CJ4" s="3895"/>
      <c r="CK4" s="3895"/>
      <c r="CL4" s="3895"/>
      <c r="CM4" s="3896"/>
      <c r="CN4" s="3894"/>
      <c r="CO4" s="3895"/>
      <c r="CP4" s="3895"/>
      <c r="CQ4" s="3895"/>
      <c r="CR4" s="3895"/>
      <c r="CS4" s="3895"/>
      <c r="CT4" s="3896"/>
      <c r="CU4" s="3896"/>
      <c r="CV4" s="1182" t="s">
        <v>510</v>
      </c>
      <c r="CX4" s="424"/>
      <c r="CY4" s="424" t="str">
        <f t="shared" si="0"/>
        <v>Наименование централизованной системы холодного водоснабжения</v>
      </c>
      <c r="CZ4" s="424"/>
      <c r="DA4" s="424"/>
    </row>
    <row r="5" spans="1:105" ht="23.25" hidden="1" customHeight="1">
      <c r="A5" s="1284"/>
      <c r="B5" s="1284"/>
      <c r="C5" s="1284"/>
      <c r="D5" s="1284"/>
      <c r="E5" s="3909"/>
      <c r="F5" s="3909"/>
      <c r="G5" s="3909"/>
      <c r="H5" s="3909"/>
      <c r="I5" s="3906" t="e">
        <f>S4&amp;".1"</f>
        <v>#N/A</v>
      </c>
      <c r="J5" s="1284"/>
      <c r="K5" s="1284"/>
      <c r="L5" s="1285"/>
      <c r="P5" s="3907">
        <v>1</v>
      </c>
      <c r="Q5" s="1368"/>
      <c r="R5" s="277"/>
      <c r="S5" s="1375" t="e">
        <f>$I5</f>
        <v>#N/A</v>
      </c>
      <c r="T5" s="200" t="s">
        <v>511</v>
      </c>
      <c r="U5" s="214"/>
      <c r="V5" s="3967"/>
      <c r="W5" s="3968"/>
      <c r="X5" s="3968"/>
      <c r="Y5" s="3968"/>
      <c r="Z5" s="3968"/>
      <c r="AA5" s="3968"/>
      <c r="AB5" s="3969"/>
      <c r="AC5" s="3970"/>
      <c r="AD5" s="3971"/>
      <c r="AE5" s="3971"/>
      <c r="AF5" s="3971"/>
      <c r="AG5" s="3971"/>
      <c r="AH5" s="3971"/>
      <c r="AI5" s="3971"/>
      <c r="AJ5" s="3967"/>
      <c r="AK5" s="3968"/>
      <c r="AL5" s="3968"/>
      <c r="AM5" s="3968"/>
      <c r="AN5" s="3968"/>
      <c r="AO5" s="3968"/>
      <c r="AP5" s="3969"/>
      <c r="AQ5" s="3967"/>
      <c r="AR5" s="3968"/>
      <c r="AS5" s="3968"/>
      <c r="AT5" s="3968"/>
      <c r="AU5" s="3968"/>
      <c r="AV5" s="3968"/>
      <c r="AW5" s="3969"/>
      <c r="AX5" s="3967"/>
      <c r="AY5" s="3968"/>
      <c r="AZ5" s="3968"/>
      <c r="BA5" s="3968"/>
      <c r="BB5" s="3968"/>
      <c r="BC5" s="3968"/>
      <c r="BD5" s="3969"/>
      <c r="BE5" s="3967"/>
      <c r="BF5" s="3968"/>
      <c r="BG5" s="3968"/>
      <c r="BH5" s="3968"/>
      <c r="BI5" s="3968"/>
      <c r="BJ5" s="3968"/>
      <c r="BK5" s="3969"/>
      <c r="BL5" s="3967"/>
      <c r="BM5" s="3968"/>
      <c r="BN5" s="3968"/>
      <c r="BO5" s="3968"/>
      <c r="BP5" s="3968"/>
      <c r="BQ5" s="3968"/>
      <c r="BR5" s="3969"/>
      <c r="BS5" s="3967"/>
      <c r="BT5" s="3968"/>
      <c r="BU5" s="3968"/>
      <c r="BV5" s="3968"/>
      <c r="BW5" s="3968"/>
      <c r="BX5" s="3968"/>
      <c r="BY5" s="3969"/>
      <c r="BZ5" s="3967"/>
      <c r="CA5" s="3968"/>
      <c r="CB5" s="3968"/>
      <c r="CC5" s="3968"/>
      <c r="CD5" s="3968"/>
      <c r="CE5" s="3968"/>
      <c r="CF5" s="3969"/>
      <c r="CG5" s="3967"/>
      <c r="CH5" s="3968"/>
      <c r="CI5" s="3968"/>
      <c r="CJ5" s="3968"/>
      <c r="CK5" s="3968"/>
      <c r="CL5" s="3968"/>
      <c r="CM5" s="3969"/>
      <c r="CN5" s="3967"/>
      <c r="CO5" s="3968"/>
      <c r="CP5" s="3968"/>
      <c r="CQ5" s="3968"/>
      <c r="CR5" s="3968"/>
      <c r="CS5" s="3968"/>
      <c r="CT5" s="3969"/>
      <c r="CU5" s="3972"/>
      <c r="CV5" s="1182" t="s">
        <v>512</v>
      </c>
      <c r="CX5" s="424"/>
      <c r="CY5" s="424" t="str">
        <f t="shared" si="0"/>
        <v>Наименование признака дифференциации</v>
      </c>
      <c r="CZ5" s="424"/>
      <c r="DA5" s="424"/>
    </row>
    <row r="6" spans="1:105" ht="23.25" hidden="1" customHeight="1">
      <c r="A6" s="1284"/>
      <c r="B6" s="1284"/>
      <c r="C6" s="1284"/>
      <c r="D6" s="1284"/>
      <c r="E6" s="3909"/>
      <c r="F6" s="3909"/>
      <c r="G6" s="3909"/>
      <c r="H6" s="3909"/>
      <c r="I6" s="3929"/>
      <c r="J6" s="3906" t="e">
        <f>I5&amp;".1"</f>
        <v>#N/A</v>
      </c>
      <c r="K6" s="1284"/>
      <c r="L6" s="1285" t="s">
        <v>437</v>
      </c>
      <c r="P6" s="3907"/>
      <c r="Q6" s="3907">
        <v>1</v>
      </c>
      <c r="R6" s="278"/>
      <c r="S6" s="1375" t="e">
        <f>$J6</f>
        <v>#N/A</v>
      </c>
      <c r="T6" s="201" t="s">
        <v>438</v>
      </c>
      <c r="U6" s="214"/>
      <c r="V6" s="3897"/>
      <c r="W6" s="3898"/>
      <c r="X6" s="3898"/>
      <c r="Y6" s="3898"/>
      <c r="Z6" s="3898"/>
      <c r="AA6" s="3898"/>
      <c r="AB6" s="3899"/>
      <c r="AC6" s="3897"/>
      <c r="AD6" s="3898"/>
      <c r="AE6" s="3898"/>
      <c r="AF6" s="3898"/>
      <c r="AG6" s="3898"/>
      <c r="AH6" s="3898"/>
      <c r="AI6" s="3898"/>
      <c r="AJ6" s="3897"/>
      <c r="AK6" s="3898"/>
      <c r="AL6" s="3898"/>
      <c r="AM6" s="3898"/>
      <c r="AN6" s="3898"/>
      <c r="AO6" s="3898"/>
      <c r="AP6" s="3899"/>
      <c r="AQ6" s="3897"/>
      <c r="AR6" s="3898"/>
      <c r="AS6" s="3898"/>
      <c r="AT6" s="3898"/>
      <c r="AU6" s="3898"/>
      <c r="AV6" s="3898"/>
      <c r="AW6" s="3899"/>
      <c r="AX6" s="3897"/>
      <c r="AY6" s="3898"/>
      <c r="AZ6" s="3898"/>
      <c r="BA6" s="3898"/>
      <c r="BB6" s="3898"/>
      <c r="BC6" s="3898"/>
      <c r="BD6" s="3899"/>
      <c r="BE6" s="3897"/>
      <c r="BF6" s="3898"/>
      <c r="BG6" s="3898"/>
      <c r="BH6" s="3898"/>
      <c r="BI6" s="3898"/>
      <c r="BJ6" s="3898"/>
      <c r="BK6" s="3899"/>
      <c r="BL6" s="3897"/>
      <c r="BM6" s="3898"/>
      <c r="BN6" s="3898"/>
      <c r="BO6" s="3898"/>
      <c r="BP6" s="3898"/>
      <c r="BQ6" s="3898"/>
      <c r="BR6" s="3899"/>
      <c r="BS6" s="3897"/>
      <c r="BT6" s="3898"/>
      <c r="BU6" s="3898"/>
      <c r="BV6" s="3898"/>
      <c r="BW6" s="3898"/>
      <c r="BX6" s="3898"/>
      <c r="BY6" s="3899"/>
      <c r="BZ6" s="3897"/>
      <c r="CA6" s="3898"/>
      <c r="CB6" s="3898"/>
      <c r="CC6" s="3898"/>
      <c r="CD6" s="3898"/>
      <c r="CE6" s="3898"/>
      <c r="CF6" s="3899"/>
      <c r="CG6" s="3897"/>
      <c r="CH6" s="3898"/>
      <c r="CI6" s="3898"/>
      <c r="CJ6" s="3898"/>
      <c r="CK6" s="3898"/>
      <c r="CL6" s="3898"/>
      <c r="CM6" s="3899"/>
      <c r="CN6" s="3897"/>
      <c r="CO6" s="3898"/>
      <c r="CP6" s="3898"/>
      <c r="CQ6" s="3898"/>
      <c r="CR6" s="3898"/>
      <c r="CS6" s="3898"/>
      <c r="CT6" s="3899"/>
      <c r="CU6" s="3899"/>
      <c r="CV6" s="1231" t="s">
        <v>513</v>
      </c>
      <c r="CX6" s="424"/>
      <c r="CY6" s="424" t="str">
        <f t="shared" si="0"/>
        <v>Группа потребителей</v>
      </c>
      <c r="CZ6" s="424"/>
      <c r="DA6" s="424"/>
    </row>
    <row r="7" spans="1:105" ht="23.25" hidden="1" customHeight="1">
      <c r="A7" s="1284"/>
      <c r="B7" s="1284"/>
      <c r="C7" s="1284"/>
      <c r="D7" s="1284"/>
      <c r="E7" s="3909"/>
      <c r="F7" s="3909"/>
      <c r="G7" s="3909"/>
      <c r="H7" s="3909"/>
      <c r="I7" s="3929"/>
      <c r="J7" s="3929"/>
      <c r="K7" s="3906" t="e">
        <f>J6&amp;".1"</f>
        <v>#N/A</v>
      </c>
      <c r="L7" s="1285"/>
      <c r="P7" s="3907"/>
      <c r="Q7" s="3907"/>
      <c r="R7" s="278">
        <v>1</v>
      </c>
      <c r="S7" s="1375" t="e">
        <f>$K7</f>
        <v>#N/A</v>
      </c>
      <c r="T7" s="1357"/>
      <c r="U7" s="214"/>
      <c r="V7" s="666"/>
      <c r="W7" s="666"/>
      <c r="X7" s="1181"/>
      <c r="Y7" s="3911"/>
      <c r="Z7" s="3759" t="s">
        <v>60</v>
      </c>
      <c r="AA7" s="3911"/>
      <c r="AB7" s="3759" t="s">
        <v>60</v>
      </c>
      <c r="AC7" s="666"/>
      <c r="AD7" s="666"/>
      <c r="AE7" s="1181"/>
      <c r="AF7" s="3911"/>
      <c r="AG7" s="3759" t="s">
        <v>60</v>
      </c>
      <c r="AH7" s="3930"/>
      <c r="AI7" s="3759" t="s">
        <v>60</v>
      </c>
      <c r="AJ7" s="666"/>
      <c r="AK7" s="666"/>
      <c r="AL7" s="1181"/>
      <c r="AM7" s="3911"/>
      <c r="AN7" s="3759" t="s">
        <v>60</v>
      </c>
      <c r="AO7" s="3911"/>
      <c r="AP7" s="3759" t="s">
        <v>60</v>
      </c>
      <c r="AQ7" s="666"/>
      <c r="AR7" s="666"/>
      <c r="AS7" s="1181"/>
      <c r="AT7" s="3911"/>
      <c r="AU7" s="3759" t="s">
        <v>60</v>
      </c>
      <c r="AV7" s="3911"/>
      <c r="AW7" s="3759" t="s">
        <v>60</v>
      </c>
      <c r="AX7" s="666"/>
      <c r="AY7" s="666"/>
      <c r="AZ7" s="1181"/>
      <c r="BA7" s="3911"/>
      <c r="BB7" s="3759" t="s">
        <v>60</v>
      </c>
      <c r="BC7" s="3911"/>
      <c r="BD7" s="3759" t="s">
        <v>60</v>
      </c>
      <c r="BE7" s="666"/>
      <c r="BF7" s="666"/>
      <c r="BG7" s="1181"/>
      <c r="BH7" s="3911"/>
      <c r="BI7" s="3759" t="s">
        <v>60</v>
      </c>
      <c r="BJ7" s="3911"/>
      <c r="BK7" s="3759" t="s">
        <v>60</v>
      </c>
      <c r="BL7" s="666"/>
      <c r="BM7" s="666"/>
      <c r="BN7" s="1181"/>
      <c r="BO7" s="3911"/>
      <c r="BP7" s="3759" t="s">
        <v>60</v>
      </c>
      <c r="BQ7" s="3911"/>
      <c r="BR7" s="3759" t="s">
        <v>60</v>
      </c>
      <c r="BS7" s="666"/>
      <c r="BT7" s="666"/>
      <c r="BU7" s="1181"/>
      <c r="BV7" s="3911"/>
      <c r="BW7" s="3759" t="s">
        <v>60</v>
      </c>
      <c r="BX7" s="3911"/>
      <c r="BY7" s="3759" t="s">
        <v>60</v>
      </c>
      <c r="BZ7" s="666"/>
      <c r="CA7" s="666"/>
      <c r="CB7" s="1181"/>
      <c r="CC7" s="3911"/>
      <c r="CD7" s="3759" t="s">
        <v>60</v>
      </c>
      <c r="CE7" s="3911"/>
      <c r="CF7" s="3759" t="s">
        <v>60</v>
      </c>
      <c r="CG7" s="666"/>
      <c r="CH7" s="666"/>
      <c r="CI7" s="1181"/>
      <c r="CJ7" s="3911"/>
      <c r="CK7" s="3759" t="s">
        <v>60</v>
      </c>
      <c r="CL7" s="3911"/>
      <c r="CM7" s="3759" t="s">
        <v>60</v>
      </c>
      <c r="CN7" s="666"/>
      <c r="CO7" s="666"/>
      <c r="CP7" s="1181"/>
      <c r="CQ7" s="3911"/>
      <c r="CR7" s="3759" t="s">
        <v>60</v>
      </c>
      <c r="CS7" s="3911"/>
      <c r="CT7" s="3759" t="s">
        <v>60</v>
      </c>
      <c r="CU7" s="1358"/>
      <c r="CV7"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5" t="e">
        <f ca="1">STRCHECKDATE(V8:CU8)</f>
        <v>#NAME?</v>
      </c>
      <c r="CX7" s="424"/>
      <c r="CY7" s="424" t="str">
        <f t="shared" si="0"/>
        <v/>
      </c>
      <c r="CZ7" s="424"/>
      <c r="DA7" s="424"/>
    </row>
    <row r="8" spans="1:105" ht="14.25" hidden="1" customHeight="1">
      <c r="A8" s="1284"/>
      <c r="B8" s="1284"/>
      <c r="C8" s="1284"/>
      <c r="D8" s="1284"/>
      <c r="E8" s="3909"/>
      <c r="F8" s="3909"/>
      <c r="G8" s="3909"/>
      <c r="H8" s="3909"/>
      <c r="I8" s="3929"/>
      <c r="J8" s="3929"/>
      <c r="K8" s="3906"/>
      <c r="L8" s="1285"/>
      <c r="P8" s="3907"/>
      <c r="Q8" s="3907"/>
      <c r="R8" s="278"/>
      <c r="S8" s="1374"/>
      <c r="T8" s="214"/>
      <c r="U8" s="214"/>
      <c r="V8" s="246"/>
      <c r="W8" s="246"/>
      <c r="X8" s="250" t="str">
        <f>Y7&amp;"-"&amp;AA7</f>
        <v>-</v>
      </c>
      <c r="Y8" s="3912"/>
      <c r="Z8" s="3759"/>
      <c r="AA8" s="3912"/>
      <c r="AB8" s="3759"/>
      <c r="AC8" s="246"/>
      <c r="AD8" s="246"/>
      <c r="AE8" s="250" t="str">
        <f>AF7&amp;"-"&amp;AH7</f>
        <v>-</v>
      </c>
      <c r="AF8" s="3912"/>
      <c r="AG8" s="3759"/>
      <c r="AH8" s="3931"/>
      <c r="AI8" s="3759"/>
      <c r="AJ8" s="246"/>
      <c r="AK8" s="246"/>
      <c r="AL8" s="250" t="str">
        <f>AM7&amp;"-"&amp;AO7</f>
        <v>-</v>
      </c>
      <c r="AM8" s="3912"/>
      <c r="AN8" s="3759"/>
      <c r="AO8" s="3912"/>
      <c r="AP8" s="3759"/>
      <c r="AQ8" s="246"/>
      <c r="AR8" s="246"/>
      <c r="AS8" s="250" t="str">
        <f>AT7&amp;"-"&amp;AV7</f>
        <v>-</v>
      </c>
      <c r="AT8" s="3912"/>
      <c r="AU8" s="3759"/>
      <c r="AV8" s="3912"/>
      <c r="AW8" s="3759"/>
      <c r="AX8" s="246"/>
      <c r="AY8" s="246"/>
      <c r="AZ8" s="250" t="str">
        <f>BA7&amp;"-"&amp;BC7</f>
        <v>-</v>
      </c>
      <c r="BA8" s="3912"/>
      <c r="BB8" s="3759"/>
      <c r="BC8" s="3912"/>
      <c r="BD8" s="3759"/>
      <c r="BE8" s="246"/>
      <c r="BF8" s="246"/>
      <c r="BG8" s="250" t="str">
        <f>BH7&amp;"-"&amp;BJ7</f>
        <v>-</v>
      </c>
      <c r="BH8" s="3912"/>
      <c r="BI8" s="3759"/>
      <c r="BJ8" s="3912"/>
      <c r="BK8" s="3759"/>
      <c r="BL8" s="246"/>
      <c r="BM8" s="246"/>
      <c r="BN8" s="250" t="str">
        <f>BO7&amp;"-"&amp;BQ7</f>
        <v>-</v>
      </c>
      <c r="BO8" s="3912"/>
      <c r="BP8" s="3759"/>
      <c r="BQ8" s="3912"/>
      <c r="BR8" s="3759"/>
      <c r="BS8" s="246"/>
      <c r="BT8" s="246"/>
      <c r="BU8" s="250" t="str">
        <f>BV7&amp;"-"&amp;BX7</f>
        <v>-</v>
      </c>
      <c r="BV8" s="3912"/>
      <c r="BW8" s="3759"/>
      <c r="BX8" s="3912"/>
      <c r="BY8" s="3759"/>
      <c r="BZ8" s="246"/>
      <c r="CA8" s="246"/>
      <c r="CB8" s="250" t="str">
        <f>CC7&amp;"-"&amp;CE7</f>
        <v>-</v>
      </c>
      <c r="CC8" s="3912"/>
      <c r="CD8" s="3759"/>
      <c r="CE8" s="3912"/>
      <c r="CF8" s="3759"/>
      <c r="CG8" s="246"/>
      <c r="CH8" s="246"/>
      <c r="CI8" s="250" t="str">
        <f>CJ7&amp;"-"&amp;CL7</f>
        <v>-</v>
      </c>
      <c r="CJ8" s="3912"/>
      <c r="CK8" s="3759"/>
      <c r="CL8" s="3912"/>
      <c r="CM8" s="3759"/>
      <c r="CN8" s="246"/>
      <c r="CO8" s="246"/>
      <c r="CP8" s="250" t="str">
        <f>CQ7&amp;"-"&amp;CS7</f>
        <v>-</v>
      </c>
      <c r="CQ8" s="3912"/>
      <c r="CR8" s="3759"/>
      <c r="CS8" s="3912"/>
      <c r="CT8" s="3759"/>
      <c r="CU8" s="1359"/>
      <c r="CV8" s="3966"/>
      <c r="CX8" s="424"/>
      <c r="CY8" s="424" t="str">
        <f t="shared" si="0"/>
        <v/>
      </c>
      <c r="CZ8" s="424"/>
      <c r="DA8" s="424"/>
    </row>
    <row r="9" spans="1:105" ht="21" hidden="1" customHeight="1">
      <c r="A9" s="1284"/>
      <c r="B9" s="1284"/>
      <c r="C9" s="1284"/>
      <c r="D9" s="1284"/>
      <c r="E9" s="3909"/>
      <c r="F9" s="3909"/>
      <c r="G9" s="3909"/>
      <c r="H9" s="3909"/>
      <c r="I9" s="3929"/>
      <c r="J9" s="3906"/>
      <c r="K9" s="1284"/>
      <c r="L9" s="1285"/>
      <c r="P9" s="3907"/>
      <c r="Q9" s="3907"/>
      <c r="R9" s="277"/>
      <c r="S9" s="1203"/>
      <c r="T9" s="202" t="s">
        <v>514</v>
      </c>
      <c r="U9" s="291"/>
      <c r="V9" s="291"/>
      <c r="W9" s="291"/>
      <c r="X9" s="291"/>
      <c r="Y9" s="291"/>
      <c r="Z9" s="291"/>
      <c r="AA9" s="291"/>
      <c r="AB9" s="291"/>
      <c r="AC9" s="291"/>
      <c r="AD9" s="291"/>
      <c r="AE9" s="291"/>
      <c r="AF9" s="291"/>
      <c r="AG9" s="291"/>
      <c r="AH9" s="291"/>
      <c r="AI9" s="291"/>
      <c r="AJ9" s="1865"/>
      <c r="AK9" s="1866"/>
      <c r="AL9" s="1867"/>
      <c r="AM9" s="1868"/>
      <c r="AN9" s="1869"/>
      <c r="AO9" s="1870"/>
      <c r="AP9" s="1871"/>
      <c r="AQ9" s="1872"/>
      <c r="AR9" s="1873"/>
      <c r="AS9" s="1874"/>
      <c r="AT9" s="1875"/>
      <c r="AU9" s="1876"/>
      <c r="AV9" s="1877"/>
      <c r="AW9" s="1878"/>
      <c r="AX9" s="1879"/>
      <c r="AY9" s="1880"/>
      <c r="AZ9" s="1881"/>
      <c r="BA9" s="1882"/>
      <c r="BB9" s="1883"/>
      <c r="BC9" s="1884"/>
      <c r="BD9" s="1885"/>
      <c r="BE9" s="1886"/>
      <c r="BF9" s="1887"/>
      <c r="BG9" s="1888"/>
      <c r="BH9" s="1889"/>
      <c r="BI9" s="1890"/>
      <c r="BJ9" s="1891"/>
      <c r="BK9" s="1892"/>
      <c r="BL9" s="1893"/>
      <c r="BM9" s="1894"/>
      <c r="BN9" s="1895"/>
      <c r="BO9" s="1896"/>
      <c r="BP9" s="1897"/>
      <c r="BQ9" s="1898"/>
      <c r="BR9" s="1899"/>
      <c r="BS9" s="1900"/>
      <c r="BT9" s="1901"/>
      <c r="BU9" s="1902"/>
      <c r="BV9" s="1903"/>
      <c r="BW9" s="1904"/>
      <c r="BX9" s="1905"/>
      <c r="BY9" s="1906"/>
      <c r="BZ9" s="1907"/>
      <c r="CA9" s="1908"/>
      <c r="CB9" s="1909"/>
      <c r="CC9" s="1910"/>
      <c r="CD9" s="1911"/>
      <c r="CE9" s="1912"/>
      <c r="CF9" s="1913"/>
      <c r="CG9" s="1914"/>
      <c r="CH9" s="1915"/>
      <c r="CI9" s="1916"/>
      <c r="CJ9" s="1917"/>
      <c r="CK9" s="1918"/>
      <c r="CL9" s="1919"/>
      <c r="CM9" s="1920"/>
      <c r="CN9" s="1921"/>
      <c r="CO9" s="1922"/>
      <c r="CP9" s="1923"/>
      <c r="CQ9" s="1924"/>
      <c r="CR9" s="1925"/>
      <c r="CS9" s="1926"/>
      <c r="CT9" s="1927"/>
      <c r="CU9" s="291"/>
      <c r="CV9" s="1182" t="s">
        <v>515</v>
      </c>
      <c r="CX9" s="424"/>
      <c r="CY9" s="424" t="str">
        <f t="shared" si="0"/>
        <v>Добавить значение признака дифференциации</v>
      </c>
      <c r="CZ9" s="424"/>
      <c r="DA9" s="424"/>
    </row>
    <row r="10" spans="1:105" ht="21" hidden="1" customHeight="1">
      <c r="A10" s="1284"/>
      <c r="B10" s="1284"/>
      <c r="C10" s="1284"/>
      <c r="D10" s="1284"/>
      <c r="E10" s="3909"/>
      <c r="F10" s="3909"/>
      <c r="G10" s="3909"/>
      <c r="H10" s="3909"/>
      <c r="I10" s="3906"/>
      <c r="J10" s="1284"/>
      <c r="K10" s="1284"/>
      <c r="L10" s="1285"/>
      <c r="P10" s="3907"/>
      <c r="Q10" s="1368"/>
      <c r="R10" s="277"/>
      <c r="S10" s="1203"/>
      <c r="T10" s="288" t="s">
        <v>443</v>
      </c>
      <c r="U10" s="291"/>
      <c r="V10" s="291"/>
      <c r="W10" s="291"/>
      <c r="X10" s="291"/>
      <c r="Y10" s="291"/>
      <c r="Z10" s="291"/>
      <c r="AA10" s="291"/>
      <c r="AB10" s="290"/>
      <c r="AC10" s="291"/>
      <c r="AD10" s="291"/>
      <c r="AE10" s="291"/>
      <c r="AF10" s="291"/>
      <c r="AG10" s="291"/>
      <c r="AH10" s="291"/>
      <c r="AI10" s="290"/>
      <c r="AJ10" s="1928"/>
      <c r="AK10" s="1929"/>
      <c r="AL10" s="1930"/>
      <c r="AM10" s="1931"/>
      <c r="AN10" s="1932"/>
      <c r="AO10" s="1933"/>
      <c r="AP10" s="1934"/>
      <c r="AQ10" s="1935"/>
      <c r="AR10" s="1936"/>
      <c r="AS10" s="1937"/>
      <c r="AT10" s="1938"/>
      <c r="AU10" s="1939"/>
      <c r="AV10" s="1940"/>
      <c r="AW10" s="1941"/>
      <c r="AX10" s="1942"/>
      <c r="AY10" s="1943"/>
      <c r="AZ10" s="1944"/>
      <c r="BA10" s="1945"/>
      <c r="BB10" s="1946"/>
      <c r="BC10" s="1947"/>
      <c r="BD10" s="1948"/>
      <c r="BE10" s="1949"/>
      <c r="BF10" s="1950"/>
      <c r="BG10" s="1951"/>
      <c r="BH10" s="1952"/>
      <c r="BI10" s="1953"/>
      <c r="BJ10" s="1954"/>
      <c r="BK10" s="1955"/>
      <c r="BL10" s="1956"/>
      <c r="BM10" s="1957"/>
      <c r="BN10" s="1958"/>
      <c r="BO10" s="1959"/>
      <c r="BP10" s="1960"/>
      <c r="BQ10" s="1961"/>
      <c r="BR10" s="1962"/>
      <c r="BS10" s="1963"/>
      <c r="BT10" s="1964"/>
      <c r="BU10" s="1965"/>
      <c r="BV10" s="1966"/>
      <c r="BW10" s="1967"/>
      <c r="BX10" s="1968"/>
      <c r="BY10" s="1969"/>
      <c r="BZ10" s="1970"/>
      <c r="CA10" s="1971"/>
      <c r="CB10" s="1972"/>
      <c r="CC10" s="1973"/>
      <c r="CD10" s="1974"/>
      <c r="CE10" s="1975"/>
      <c r="CF10" s="1976"/>
      <c r="CG10" s="1977"/>
      <c r="CH10" s="1978"/>
      <c r="CI10" s="1979"/>
      <c r="CJ10" s="1980"/>
      <c r="CK10" s="1981"/>
      <c r="CL10" s="1982"/>
      <c r="CM10" s="1983"/>
      <c r="CN10" s="1984"/>
      <c r="CO10" s="1985"/>
      <c r="CP10" s="1986"/>
      <c r="CQ10" s="1987"/>
      <c r="CR10" s="1988"/>
      <c r="CS10" s="1989"/>
      <c r="CT10" s="1990"/>
      <c r="CU10" s="291"/>
      <c r="CV10" s="1360"/>
      <c r="CX10" s="424"/>
      <c r="CY10" s="424" t="str">
        <f t="shared" si="0"/>
        <v>Добавить группу потребителей</v>
      </c>
      <c r="CZ10" s="424"/>
      <c r="DA10" s="424"/>
    </row>
    <row r="11" spans="1:105" ht="21" hidden="1" customHeight="1">
      <c r="A11" s="1284"/>
      <c r="B11" s="1284"/>
      <c r="C11" s="1284"/>
      <c r="D11" s="1284"/>
      <c r="E11" s="3909"/>
      <c r="F11" s="3909"/>
      <c r="G11" s="3909"/>
      <c r="H11" s="3908"/>
      <c r="I11" s="1284"/>
      <c r="J11" s="1284"/>
      <c r="K11" s="1284"/>
      <c r="L11" s="1285"/>
      <c r="M11" s="1286"/>
      <c r="N11" s="1286"/>
      <c r="O11" s="460"/>
      <c r="P11" s="281"/>
      <c r="Q11" s="299"/>
      <c r="R11" s="276"/>
      <c r="S11" s="1203"/>
      <c r="T11" s="296" t="s">
        <v>516</v>
      </c>
      <c r="U11" s="291"/>
      <c r="V11" s="291"/>
      <c r="W11" s="291"/>
      <c r="X11" s="291"/>
      <c r="Y11" s="291"/>
      <c r="Z11" s="291"/>
      <c r="AA11" s="291"/>
      <c r="AB11" s="290"/>
      <c r="AC11" s="291"/>
      <c r="AD11" s="291"/>
      <c r="AE11" s="291"/>
      <c r="AF11" s="291"/>
      <c r="AG11" s="291"/>
      <c r="AH11" s="291"/>
      <c r="AI11" s="290"/>
      <c r="AJ11" s="1991"/>
      <c r="AK11" s="1992"/>
      <c r="AL11" s="1993"/>
      <c r="AM11" s="1994"/>
      <c r="AN11" s="1995"/>
      <c r="AO11" s="1996"/>
      <c r="AP11" s="1997"/>
      <c r="AQ11" s="1998"/>
      <c r="AR11" s="1999"/>
      <c r="AS11" s="2000"/>
      <c r="AT11" s="2001"/>
      <c r="AU11" s="2002"/>
      <c r="AV11" s="2003"/>
      <c r="AW11" s="2004"/>
      <c r="AX11" s="2005"/>
      <c r="AY11" s="2006"/>
      <c r="AZ11" s="2007"/>
      <c r="BA11" s="2008"/>
      <c r="BB11" s="2009"/>
      <c r="BC11" s="2010"/>
      <c r="BD11" s="2011"/>
      <c r="BE11" s="2012"/>
      <c r="BF11" s="2013"/>
      <c r="BG11" s="2014"/>
      <c r="BH11" s="2015"/>
      <c r="BI11" s="2016"/>
      <c r="BJ11" s="2017"/>
      <c r="BK11" s="2018"/>
      <c r="BL11" s="2019"/>
      <c r="BM11" s="2020"/>
      <c r="BN11" s="2021"/>
      <c r="BO11" s="2022"/>
      <c r="BP11" s="2023"/>
      <c r="BQ11" s="2024"/>
      <c r="BR11" s="2025"/>
      <c r="BS11" s="2026"/>
      <c r="BT11" s="2027"/>
      <c r="BU11" s="2028"/>
      <c r="BV11" s="2029"/>
      <c r="BW11" s="2030"/>
      <c r="BX11" s="2031"/>
      <c r="BY11" s="2032"/>
      <c r="BZ11" s="2033"/>
      <c r="CA11" s="2034"/>
      <c r="CB11" s="2035"/>
      <c r="CC11" s="2036"/>
      <c r="CD11" s="2037"/>
      <c r="CE11" s="2038"/>
      <c r="CF11" s="2039"/>
      <c r="CG11" s="2040"/>
      <c r="CH11" s="2041"/>
      <c r="CI11" s="2042"/>
      <c r="CJ11" s="2043"/>
      <c r="CK11" s="2044"/>
      <c r="CL11" s="2045"/>
      <c r="CM11" s="2046"/>
      <c r="CN11" s="2047"/>
      <c r="CO11" s="2048"/>
      <c r="CP11" s="2049"/>
      <c r="CQ11" s="2050"/>
      <c r="CR11" s="2051"/>
      <c r="CS11" s="2052"/>
      <c r="CT11" s="2053"/>
      <c r="CU11" s="291"/>
      <c r="CV11" s="217"/>
      <c r="CX11" s="424"/>
      <c r="CY11" s="424" t="str">
        <f t="shared" si="0"/>
        <v>Добавить наименование признака дифференциации</v>
      </c>
      <c r="CZ11" s="424"/>
      <c r="DA11" s="424"/>
    </row>
    <row r="12" spans="1:105" s="1562" customFormat="1" ht="14.25" hidden="1" customHeight="1">
      <c r="A12" s="1265"/>
      <c r="B12" s="1265"/>
      <c r="C12" s="1237"/>
      <c r="D12" s="1237"/>
      <c r="E12" s="3909"/>
      <c r="F12" s="3908"/>
      <c r="G12" s="1237"/>
      <c r="H12" s="1237"/>
      <c r="I12" s="1237"/>
      <c r="J12" s="1237"/>
      <c r="K12" s="1237"/>
      <c r="L12" s="1376"/>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X12" s="703"/>
      <c r="CY12" s="703" t="str">
        <f t="shared" si="0"/>
        <v>Добавить централизованную систему для дифференциации</v>
      </c>
      <c r="CZ12" s="703"/>
      <c r="DA12" s="703"/>
    </row>
    <row r="13" spans="1:105" s="1562" customFormat="1" ht="14.25" hidden="1" customHeight="1">
      <c r="A13" s="1265"/>
      <c r="B13" s="1265"/>
      <c r="C13" s="1265"/>
      <c r="D13" s="1265"/>
      <c r="E13" s="3908"/>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X13" s="424"/>
      <c r="CY13" s="424" t="str">
        <f t="shared" si="0"/>
        <v>Добавить территорию для дифференциации</v>
      </c>
      <c r="CZ13" s="424"/>
      <c r="DA13" s="424"/>
    </row>
    <row r="14" spans="1:105" ht="14.25" hidden="1" customHeight="1">
      <c r="AB14" s="249"/>
      <c r="AI14" s="249"/>
      <c r="AJ14" s="1555"/>
      <c r="AK14" s="1555"/>
      <c r="AL14" s="1555"/>
      <c r="AM14" s="1555"/>
      <c r="AN14" s="1555"/>
      <c r="AO14" s="1555"/>
      <c r="AP14" s="1555"/>
      <c r="AQ14" s="1555"/>
      <c r="AR14" s="1555"/>
      <c r="AS14" s="1555"/>
      <c r="AT14" s="1555"/>
      <c r="AU14" s="1555"/>
      <c r="AV14" s="1555"/>
      <c r="AW14" s="1555"/>
      <c r="AX14" s="1555"/>
      <c r="AY14" s="1555"/>
      <c r="AZ14" s="1555"/>
      <c r="BA14" s="1555"/>
      <c r="BB14" s="1555"/>
      <c r="BC14" s="1555"/>
      <c r="BD14" s="1555"/>
      <c r="BE14" s="1555"/>
      <c r="BF14" s="1555"/>
      <c r="BG14" s="1555"/>
      <c r="BH14" s="1555"/>
      <c r="BI14" s="1555"/>
      <c r="BJ14" s="1555"/>
      <c r="BK14" s="1555"/>
      <c r="BL14" s="1555"/>
      <c r="BM14" s="1555"/>
      <c r="BN14" s="1555"/>
      <c r="BO14" s="1555"/>
      <c r="BP14" s="1555"/>
      <c r="BQ14" s="1555"/>
      <c r="BR14" s="1555"/>
      <c r="BS14" s="1555"/>
      <c r="BT14" s="1555"/>
      <c r="BU14" s="1555"/>
      <c r="BV14" s="1555"/>
      <c r="BW14" s="1555"/>
      <c r="BX14" s="1555"/>
      <c r="BY14" s="1555"/>
      <c r="BZ14" s="1555"/>
      <c r="CA14" s="1555"/>
      <c r="CB14" s="1555"/>
      <c r="CC14" s="1555"/>
      <c r="CD14" s="1555"/>
      <c r="CE14" s="1555"/>
      <c r="CF14" s="1555"/>
      <c r="CG14" s="1555"/>
      <c r="CH14" s="1555"/>
      <c r="CI14" s="1555"/>
      <c r="CJ14" s="1555"/>
      <c r="CK14" s="1555"/>
      <c r="CL14" s="1555"/>
      <c r="CM14" s="1555"/>
      <c r="CN14" s="1555"/>
      <c r="CO14" s="1555"/>
      <c r="CP14" s="1555"/>
      <c r="CQ14" s="1555"/>
      <c r="CR14" s="1555"/>
      <c r="CS14" s="1555"/>
      <c r="CT14" s="1555"/>
    </row>
    <row r="15" spans="1:105" ht="14.25" hidden="1" customHeight="1">
      <c r="AC15" s="1281"/>
      <c r="AD15" s="1281"/>
      <c r="AE15" s="1282"/>
      <c r="AF15" s="3913"/>
      <c r="AG15" s="3914" t="s">
        <v>60</v>
      </c>
      <c r="AH15" s="3913"/>
      <c r="AI15" s="3914" t="s">
        <v>60</v>
      </c>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5"/>
      <c r="CE15" s="1555"/>
      <c r="CF15" s="1555"/>
      <c r="CG15" s="1555"/>
      <c r="CH15" s="1555"/>
      <c r="CI15" s="1555"/>
      <c r="CJ15" s="1555"/>
      <c r="CK15" s="1555"/>
      <c r="CL15" s="1555"/>
      <c r="CM15" s="1555"/>
      <c r="CN15" s="1555"/>
      <c r="CO15" s="1555"/>
      <c r="CP15" s="1555"/>
      <c r="CQ15" s="1555"/>
      <c r="CR15" s="1555"/>
      <c r="CS15" s="1555"/>
      <c r="CT15" s="1555"/>
    </row>
    <row r="16" spans="1:105" ht="14.25" hidden="1" customHeight="1">
      <c r="AC16" s="1281"/>
      <c r="AD16" s="1281"/>
      <c r="AE16" s="250" t="str">
        <f>AF15&amp;"-"&amp;AH15</f>
        <v>-</v>
      </c>
      <c r="AF16" s="3914"/>
      <c r="AG16" s="3914"/>
      <c r="AH16" s="3914"/>
      <c r="AI16" s="3914"/>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c r="BS16" s="1555"/>
      <c r="BT16" s="1555"/>
      <c r="BU16" s="1555"/>
      <c r="BV16" s="1555"/>
      <c r="BW16" s="1555"/>
      <c r="BX16" s="1555"/>
      <c r="BY16" s="1555"/>
      <c r="BZ16" s="1555"/>
      <c r="CA16" s="1555"/>
      <c r="CB16" s="1555"/>
      <c r="CC16" s="1555"/>
      <c r="CD16" s="1555"/>
      <c r="CE16" s="1555"/>
      <c r="CF16" s="1555"/>
      <c r="CG16" s="1555"/>
      <c r="CH16" s="1555"/>
      <c r="CI16" s="1555"/>
      <c r="CJ16" s="1555"/>
      <c r="CK16" s="1555"/>
      <c r="CL16" s="1555"/>
      <c r="CM16" s="1555"/>
      <c r="CN16" s="1555"/>
      <c r="CO16" s="1555"/>
      <c r="CP16" s="1555"/>
      <c r="CQ16" s="1555"/>
      <c r="CR16" s="1555"/>
      <c r="CS16" s="1555"/>
      <c r="CT16" s="1555"/>
    </row>
    <row r="17" spans="1:105" ht="14.25" hidden="1" customHeight="1">
      <c r="AI17" s="249"/>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c r="BS17" s="1555"/>
      <c r="BT17" s="1555"/>
      <c r="BU17" s="1555"/>
      <c r="BV17" s="1555"/>
      <c r="BW17" s="1555"/>
      <c r="BX17" s="1555"/>
      <c r="BY17" s="1555"/>
      <c r="BZ17" s="1555"/>
      <c r="CA17" s="1555"/>
      <c r="CB17" s="1555"/>
      <c r="CC17" s="1555"/>
      <c r="CD17" s="1555"/>
      <c r="CE17" s="1555"/>
      <c r="CF17" s="1555"/>
      <c r="CG17" s="1555"/>
      <c r="CH17" s="1555"/>
      <c r="CI17" s="1555"/>
      <c r="CJ17" s="1555"/>
      <c r="CK17" s="1555"/>
      <c r="CL17" s="1555"/>
      <c r="CM17" s="1555"/>
      <c r="CN17" s="1555"/>
      <c r="CO17" s="1555"/>
      <c r="CP17" s="1555"/>
      <c r="CQ17" s="1555"/>
      <c r="CR17" s="1555"/>
      <c r="CS17" s="1555"/>
      <c r="CT17" s="1555"/>
    </row>
    <row r="18" spans="1:105" s="1287" customFormat="1" ht="22.5" hidden="1" customHeight="1">
      <c r="L18" s="1365"/>
      <c r="M18" s="1283"/>
      <c r="N18" s="1283"/>
      <c r="O18" s="1288" t="s">
        <v>446</v>
      </c>
      <c r="P18" s="1283"/>
      <c r="Q18" s="1292"/>
      <c r="R18" s="1292"/>
      <c r="S18" s="646"/>
      <c r="Y18" s="1288"/>
      <c r="AA18" s="1288"/>
      <c r="AF18" s="1288"/>
      <c r="AH18" s="1288"/>
      <c r="AM18" s="1288"/>
      <c r="AO18" s="1288"/>
      <c r="AT18" s="1288"/>
      <c r="AV18" s="1288"/>
      <c r="BA18" s="1288"/>
      <c r="BC18" s="1288"/>
      <c r="BH18" s="1288"/>
      <c r="BJ18" s="1288"/>
      <c r="BO18" s="1288"/>
      <c r="BQ18" s="1288"/>
      <c r="BV18" s="1288"/>
      <c r="BX18" s="1288"/>
      <c r="CC18" s="1288"/>
      <c r="CE18" s="1288"/>
      <c r="CJ18" s="1288"/>
      <c r="CL18" s="1288"/>
      <c r="CQ18" s="1288"/>
      <c r="CS18" s="1288"/>
      <c r="CW18" s="435"/>
      <c r="CX18" s="435"/>
      <c r="CY18" s="435"/>
      <c r="CZ18" s="435"/>
      <c r="DA18" s="435"/>
    </row>
    <row r="19" spans="1:105" s="1287" customFormat="1" ht="14.25" hidden="1" customHeight="1">
      <c r="L19" s="1365"/>
      <c r="M19" s="1283"/>
      <c r="N19" s="1283"/>
      <c r="O19" s="1283"/>
      <c r="P19" s="1283"/>
      <c r="Q19" s="1292"/>
      <c r="R19" s="1292"/>
      <c r="S19" s="646"/>
      <c r="CW19" s="435"/>
      <c r="CX19" s="435"/>
      <c r="CY19" s="435"/>
      <c r="CZ19" s="435"/>
      <c r="DA19" s="435"/>
    </row>
    <row r="20" spans="1:105" s="1287" customFormat="1" ht="12" hidden="1" customHeight="1">
      <c r="L20" s="1365"/>
      <c r="M20" s="1283"/>
      <c r="N20" s="1283"/>
      <c r="O20" s="1285" t="s">
        <v>447</v>
      </c>
      <c r="P20" s="1283"/>
      <c r="Q20" s="1361"/>
      <c r="R20" s="1361"/>
      <c r="S20" s="646"/>
      <c r="T20" s="1065" t="s">
        <v>448</v>
      </c>
      <c r="Z20" s="104" t="s">
        <v>449</v>
      </c>
      <c r="AB20" s="104" t="s">
        <v>450</v>
      </c>
      <c r="AC20" s="1065" t="s">
        <v>448</v>
      </c>
      <c r="AG20" s="104" t="s">
        <v>451</v>
      </c>
      <c r="AI20" s="104" t="s">
        <v>450</v>
      </c>
      <c r="AN20" s="1291" t="s">
        <v>449</v>
      </c>
      <c r="AP20" s="1291" t="s">
        <v>450</v>
      </c>
      <c r="AU20" s="1291" t="s">
        <v>449</v>
      </c>
      <c r="AW20" s="1291" t="s">
        <v>450</v>
      </c>
      <c r="BB20" s="1291" t="s">
        <v>449</v>
      </c>
      <c r="BD20" s="1291" t="s">
        <v>450</v>
      </c>
      <c r="BI20" s="1291" t="s">
        <v>449</v>
      </c>
      <c r="BK20" s="1291" t="s">
        <v>450</v>
      </c>
      <c r="BP20" s="1291" t="s">
        <v>449</v>
      </c>
      <c r="BR20" s="1291" t="s">
        <v>450</v>
      </c>
      <c r="BW20" s="1291" t="s">
        <v>449</v>
      </c>
      <c r="BY20" s="1291" t="s">
        <v>450</v>
      </c>
      <c r="CD20" s="1291" t="s">
        <v>449</v>
      </c>
      <c r="CF20" s="1291" t="s">
        <v>450</v>
      </c>
      <c r="CK20" s="1291" t="s">
        <v>449</v>
      </c>
      <c r="CM20" s="1291" t="s">
        <v>450</v>
      </c>
      <c r="CR20" s="1291" t="s">
        <v>449</v>
      </c>
      <c r="CT20" s="1291" t="s">
        <v>450</v>
      </c>
    </row>
    <row r="21" spans="1:105" ht="14.25" hidden="1" customHeight="1">
      <c r="O21" s="128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c r="BS21" s="1555"/>
      <c r="BT21" s="1555"/>
      <c r="BU21" s="1555"/>
      <c r="BV21" s="1555"/>
      <c r="BW21" s="1555"/>
      <c r="BX21" s="1555"/>
      <c r="BY21" s="1555"/>
      <c r="BZ21" s="1555"/>
      <c r="CA21" s="1555"/>
      <c r="CB21" s="1555"/>
      <c r="CC21" s="1555"/>
      <c r="CD21" s="1555"/>
      <c r="CE21" s="1555"/>
      <c r="CF21" s="1555"/>
      <c r="CG21" s="1555"/>
      <c r="CH21" s="1555"/>
      <c r="CI21" s="1555"/>
      <c r="CJ21" s="1555"/>
      <c r="CK21" s="1555"/>
      <c r="CL21" s="1555"/>
      <c r="CM21" s="1555"/>
      <c r="CN21" s="1555"/>
      <c r="CO21" s="1555"/>
      <c r="CP21" s="1555"/>
      <c r="CQ21" s="1555"/>
      <c r="CR21" s="1555"/>
      <c r="CS21" s="1555"/>
      <c r="CT21" s="1555"/>
    </row>
    <row r="22" spans="1:105" ht="14.25" hidden="1" customHeight="1">
      <c r="O22" s="1285"/>
      <c r="AJ22" s="1555"/>
      <c r="AK22" s="1555"/>
      <c r="AL22" s="1555"/>
      <c r="AM22" s="1555"/>
      <c r="AN22" s="1555"/>
      <c r="AO22" s="1555"/>
      <c r="AP22" s="1555"/>
      <c r="AQ22" s="1555"/>
      <c r="AR22" s="1555"/>
      <c r="AS22" s="1555"/>
      <c r="AT22" s="1555"/>
      <c r="AU22" s="1555"/>
      <c r="AV22" s="1555"/>
      <c r="AW22" s="1555"/>
      <c r="AX22" s="1555"/>
      <c r="AY22" s="1555"/>
      <c r="AZ22" s="1555"/>
      <c r="BA22" s="1555"/>
      <c r="BB22" s="1555"/>
      <c r="BC22" s="1555"/>
      <c r="BD22" s="1555"/>
      <c r="BE22" s="1555"/>
      <c r="BF22" s="1555"/>
      <c r="BG22" s="1555"/>
      <c r="BH22" s="1555"/>
      <c r="BI22" s="1555"/>
      <c r="BJ22" s="1555"/>
      <c r="BK22" s="1555"/>
      <c r="BL22" s="1555"/>
      <c r="BM22" s="1555"/>
      <c r="BN22" s="1555"/>
      <c r="BO22" s="1555"/>
      <c r="BP22" s="1555"/>
      <c r="BQ22" s="1555"/>
      <c r="BR22" s="1555"/>
      <c r="BS22" s="1555"/>
      <c r="BT22" s="1555"/>
      <c r="BU22" s="1555"/>
      <c r="BV22" s="1555"/>
      <c r="BW22" s="1555"/>
      <c r="BX22" s="1555"/>
      <c r="BY22" s="1555"/>
      <c r="BZ22" s="1555"/>
      <c r="CA22" s="1555"/>
      <c r="CB22" s="1555"/>
      <c r="CC22" s="1555"/>
      <c r="CD22" s="1555"/>
      <c r="CE22" s="1555"/>
      <c r="CF22" s="1555"/>
      <c r="CG22" s="1555"/>
      <c r="CH22" s="1555"/>
      <c r="CI22" s="1555"/>
      <c r="CJ22" s="1555"/>
      <c r="CK22" s="1555"/>
      <c r="CL22" s="1555"/>
      <c r="CM22" s="1555"/>
      <c r="CN22" s="1555"/>
      <c r="CO22" s="1555"/>
      <c r="CP22" s="1555"/>
      <c r="CQ22" s="1555"/>
      <c r="CR22" s="1555"/>
      <c r="CS22" s="1555"/>
      <c r="CT22" s="1555"/>
    </row>
    <row r="23" spans="1:105"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c r="AQ23" s="1555"/>
      <c r="AR23" s="1555"/>
      <c r="AS23" s="1555"/>
      <c r="AT23" s="1555"/>
      <c r="AU23" s="1555"/>
      <c r="AV23" s="1555"/>
      <c r="AW23" s="1555"/>
      <c r="AX23" s="1555"/>
      <c r="AY23" s="1555"/>
      <c r="AZ23" s="1555"/>
      <c r="BA23" s="1555"/>
      <c r="BB23" s="1555"/>
      <c r="BC23" s="1555"/>
      <c r="BD23" s="1555"/>
      <c r="BE23" s="1555"/>
      <c r="BF23" s="1555"/>
      <c r="BG23" s="1555"/>
      <c r="BH23" s="1555"/>
      <c r="BI23" s="1555"/>
      <c r="BJ23" s="1555"/>
      <c r="BK23" s="1555"/>
      <c r="BL23" s="1555"/>
      <c r="BM23" s="1555"/>
      <c r="BN23" s="1555"/>
      <c r="BO23" s="1555"/>
      <c r="BP23" s="1555"/>
      <c r="BQ23" s="1555"/>
      <c r="BR23" s="1555"/>
      <c r="BS23" s="1555"/>
      <c r="BT23" s="1555"/>
      <c r="BU23" s="1555"/>
      <c r="BV23" s="1555"/>
      <c r="BW23" s="1555"/>
      <c r="BX23" s="1555"/>
      <c r="BY23" s="1555"/>
      <c r="BZ23" s="1555"/>
      <c r="CA23" s="1555"/>
      <c r="CB23" s="1555"/>
      <c r="CC23" s="1555"/>
      <c r="CD23" s="1555"/>
      <c r="CE23" s="1555"/>
      <c r="CF23" s="1555"/>
      <c r="CG23" s="1555"/>
      <c r="CH23" s="1555"/>
      <c r="CI23" s="1555"/>
      <c r="CJ23" s="1555"/>
      <c r="CK23" s="1555"/>
      <c r="CL23" s="1555"/>
      <c r="CM23" s="1555"/>
      <c r="CN23" s="1555"/>
      <c r="CO23" s="1555"/>
      <c r="CP23" s="1555"/>
      <c r="CQ23" s="1555"/>
      <c r="CR23" s="1555"/>
      <c r="CS23" s="1555"/>
      <c r="CT23" s="1555"/>
    </row>
    <row r="24" spans="1:105" ht="14.25" customHeight="1">
      <c r="Q24" s="300"/>
      <c r="R24" s="300"/>
      <c r="S24" s="38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892"/>
      <c r="U24" s="3892"/>
      <c r="V24" s="3892"/>
      <c r="W24" s="3892"/>
      <c r="X24" s="3892"/>
      <c r="Y24" s="3892"/>
      <c r="Z24" s="3892"/>
      <c r="AA24" s="3892"/>
      <c r="AB24" s="3892"/>
      <c r="AC24" s="3892"/>
      <c r="AD24" s="3892"/>
      <c r="AE24" s="3892"/>
      <c r="AF24" s="3892"/>
      <c r="AG24" s="3892"/>
      <c r="AH24" s="3892"/>
      <c r="AI24" s="1157"/>
      <c r="AJ24" s="1814"/>
      <c r="AK24" s="1814"/>
      <c r="AL24" s="1814"/>
      <c r="AM24" s="1814"/>
      <c r="AN24" s="1814"/>
      <c r="AO24" s="1814"/>
      <c r="AP24" s="1814"/>
      <c r="AQ24" s="1814"/>
      <c r="AR24" s="1814"/>
      <c r="AS24" s="1814"/>
      <c r="AT24" s="1814"/>
      <c r="AU24" s="1814"/>
      <c r="AV24" s="1814"/>
      <c r="AW24" s="1814"/>
      <c r="AX24" s="1814"/>
      <c r="AY24" s="1814"/>
      <c r="AZ24" s="1814"/>
      <c r="BA24" s="1814"/>
      <c r="BB24" s="1814"/>
      <c r="BC24" s="1814"/>
      <c r="BD24" s="1814"/>
      <c r="BE24" s="1814"/>
      <c r="BF24" s="1814"/>
      <c r="BG24" s="1814"/>
      <c r="BH24" s="1814"/>
      <c r="BI24" s="1814"/>
      <c r="BJ24" s="1814"/>
      <c r="BK24" s="1814"/>
      <c r="BL24" s="1814"/>
      <c r="BM24" s="1814"/>
      <c r="BN24" s="1814"/>
      <c r="BO24" s="1814"/>
      <c r="BP24" s="1814"/>
      <c r="BQ24" s="1814"/>
      <c r="BR24" s="1814"/>
      <c r="BS24" s="1814"/>
      <c r="BT24" s="1814"/>
      <c r="BU24" s="1814"/>
      <c r="BV24" s="1814"/>
      <c r="BW24" s="1814"/>
      <c r="BX24" s="1814"/>
      <c r="BY24" s="1814"/>
      <c r="BZ24" s="1814"/>
      <c r="CA24" s="1814"/>
      <c r="CB24" s="1814"/>
      <c r="CC24" s="1814"/>
      <c r="CD24" s="1814"/>
      <c r="CE24" s="1814"/>
      <c r="CF24" s="1814"/>
      <c r="CG24" s="1814"/>
      <c r="CH24" s="1814"/>
      <c r="CI24" s="1814"/>
      <c r="CJ24" s="1814"/>
      <c r="CK24" s="1814"/>
      <c r="CL24" s="1814"/>
      <c r="CM24" s="1814"/>
      <c r="CN24" s="1814"/>
      <c r="CO24" s="1814"/>
      <c r="CP24" s="1814"/>
      <c r="CQ24" s="1814"/>
      <c r="CR24" s="1814"/>
      <c r="CS24" s="1814"/>
      <c r="CT24" s="1814"/>
    </row>
    <row r="25" spans="1:105" ht="14.25" customHeight="1">
      <c r="Q25" s="300"/>
      <c r="R25" s="300"/>
      <c r="S25" s="3839" t="str">
        <f>IF(org=0,"Не определено",org)</f>
        <v>ГУП СК "Ставрополькрайводоканал"</v>
      </c>
      <c r="T25" s="3839"/>
      <c r="U25" s="3839"/>
      <c r="V25" s="3839"/>
      <c r="W25" s="3839"/>
      <c r="X25" s="3839"/>
      <c r="Y25" s="3839"/>
      <c r="Z25" s="3839"/>
      <c r="AA25" s="3839"/>
      <c r="AB25" s="3839"/>
      <c r="AC25" s="3839"/>
      <c r="AD25" s="3839"/>
      <c r="AE25" s="3839"/>
      <c r="AF25" s="3839"/>
      <c r="AG25" s="3839"/>
      <c r="AH25" s="3839"/>
      <c r="AI25" s="1157"/>
      <c r="AJ25" s="1815"/>
      <c r="AK25" s="1815"/>
      <c r="AL25" s="1815"/>
      <c r="AM25" s="1815"/>
      <c r="AN25" s="1815"/>
      <c r="AO25" s="1815"/>
      <c r="AP25" s="1815"/>
      <c r="AQ25" s="1815"/>
      <c r="AR25" s="1815"/>
      <c r="AS25" s="1815"/>
      <c r="AT25" s="1815"/>
      <c r="AU25" s="1815"/>
      <c r="AV25" s="1815"/>
      <c r="AW25" s="1815"/>
      <c r="AX25" s="1815"/>
      <c r="AY25" s="1815"/>
      <c r="AZ25" s="1815"/>
      <c r="BA25" s="1815"/>
      <c r="BB25" s="1815"/>
      <c r="BC25" s="1815"/>
      <c r="BD25" s="1815"/>
      <c r="BE25" s="1815"/>
      <c r="BF25" s="1815"/>
      <c r="BG25" s="1815"/>
      <c r="BH25" s="1815"/>
      <c r="BI25" s="1815"/>
      <c r="BJ25" s="1815"/>
      <c r="BK25" s="1815"/>
      <c r="BL25" s="1815"/>
      <c r="BM25" s="1815"/>
      <c r="BN25" s="1815"/>
      <c r="BO25" s="1815"/>
      <c r="BP25" s="1815"/>
      <c r="BQ25" s="1815"/>
      <c r="BR25" s="1815"/>
      <c r="BS25" s="1815"/>
      <c r="BT25" s="1815"/>
      <c r="BU25" s="1815"/>
      <c r="BV25" s="1815"/>
      <c r="BW25" s="1815"/>
      <c r="BX25" s="1815"/>
      <c r="BY25" s="1815"/>
      <c r="BZ25" s="1815"/>
      <c r="CA25" s="1815"/>
      <c r="CB25" s="1815"/>
      <c r="CC25" s="1815"/>
      <c r="CD25" s="1815"/>
      <c r="CE25" s="1815"/>
      <c r="CF25" s="1815"/>
      <c r="CG25" s="1815"/>
      <c r="CH25" s="1815"/>
      <c r="CI25" s="1815"/>
      <c r="CJ25" s="1815"/>
      <c r="CK25" s="1815"/>
      <c r="CL25" s="1815"/>
      <c r="CM25" s="1815"/>
      <c r="CN25" s="1815"/>
      <c r="CO25" s="1815"/>
      <c r="CP25" s="1815"/>
      <c r="CQ25" s="1815"/>
      <c r="CR25" s="1815"/>
      <c r="CS25" s="1815"/>
      <c r="CT25" s="1815"/>
    </row>
    <row r="26" spans="1:105"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433"/>
    </row>
    <row r="27" spans="1:105" s="1771" customFormat="1" ht="25.5" customHeight="1">
      <c r="A27" s="1289"/>
      <c r="B27" s="1289"/>
      <c r="C27" s="1289"/>
      <c r="D27" s="1289"/>
      <c r="E27" s="1289"/>
      <c r="F27" s="1289"/>
      <c r="G27" s="1289"/>
      <c r="H27" s="1289"/>
      <c r="I27" s="1289"/>
      <c r="J27" s="1289"/>
      <c r="K27" s="1289"/>
      <c r="L27" s="1290"/>
      <c r="M27" s="1289"/>
      <c r="N27" s="1289"/>
      <c r="O27" s="1289"/>
      <c r="S27" s="3900" t="s">
        <v>38</v>
      </c>
      <c r="T27" s="3900"/>
      <c r="U27" s="1293"/>
      <c r="V27" s="3901" t="str">
        <f>IF(TITLE_NAME_OR_PR_CHANGE="",IF(TITLE_NAME_OR_PR="","",TITLE_NAME_OR_PR),TITLE_NAME_OR_PR_CHANGE)</f>
        <v>Региональная тарифная комиссия Ставропольского края</v>
      </c>
      <c r="W27" s="3901"/>
      <c r="X27" s="3901"/>
      <c r="Y27" s="3901"/>
      <c r="Z27" s="3901"/>
      <c r="AA27" s="3901"/>
      <c r="AB27" s="248"/>
      <c r="AC27" s="3901" t="str">
        <f>IF(TITLE_NAME_OR_PR_CHANGE="",IF(TITLE_NAME_OR_PR="","",TITLE_NAME_OR_PR),TITLE_NAME_OR_PR_CHANGE)</f>
        <v>Региональная тарифная комиссия Ставропольского края</v>
      </c>
      <c r="AD27" s="3901"/>
      <c r="AE27" s="3901"/>
      <c r="AF27" s="3901"/>
      <c r="AG27" s="3901"/>
      <c r="AH27" s="3901"/>
      <c r="AI27" s="248"/>
      <c r="AJ27" s="3901" t="str">
        <f>IF(TITLE_NAME_OR_PR_CHANGE="",IF(TITLE_NAME_OR_PR="","",TITLE_NAME_OR_PR),TITLE_NAME_OR_PR_CHANGE)</f>
        <v>Региональная тарифная комиссия Ставропольского края</v>
      </c>
      <c r="AK27" s="3901"/>
      <c r="AL27" s="3901"/>
      <c r="AM27" s="3901"/>
      <c r="AN27" s="3901"/>
      <c r="AO27" s="3901"/>
      <c r="AP27" s="1555"/>
      <c r="AQ27" s="3901" t="str">
        <f>IF(TITLE_NAME_OR_PR_CHANGE="",IF(TITLE_NAME_OR_PR="","",TITLE_NAME_OR_PR),TITLE_NAME_OR_PR_CHANGE)</f>
        <v>Региональная тарифная комиссия Ставропольского края</v>
      </c>
      <c r="AR27" s="3901"/>
      <c r="AS27" s="3901"/>
      <c r="AT27" s="3901"/>
      <c r="AU27" s="3901"/>
      <c r="AV27" s="3901"/>
      <c r="AW27" s="1555"/>
      <c r="AX27" s="3901" t="str">
        <f>IF(TITLE_NAME_OR_PR_CHANGE="",IF(TITLE_NAME_OR_PR="","",TITLE_NAME_OR_PR),TITLE_NAME_OR_PR_CHANGE)</f>
        <v>Региональная тарифная комиссия Ставропольского края</v>
      </c>
      <c r="AY27" s="3901"/>
      <c r="AZ27" s="3901"/>
      <c r="BA27" s="3901"/>
      <c r="BB27" s="3901"/>
      <c r="BC27" s="3901"/>
      <c r="BD27" s="1555"/>
      <c r="BE27" s="3901" t="str">
        <f>IF(TITLE_NAME_OR_PR_CHANGE="",IF(TITLE_NAME_OR_PR="","",TITLE_NAME_OR_PR),TITLE_NAME_OR_PR_CHANGE)</f>
        <v>Региональная тарифная комиссия Ставропольского края</v>
      </c>
      <c r="BF27" s="3901"/>
      <c r="BG27" s="3901"/>
      <c r="BH27" s="3901"/>
      <c r="BI27" s="3901"/>
      <c r="BJ27" s="3901"/>
      <c r="BK27" s="1555"/>
      <c r="BL27" s="3901" t="str">
        <f>IF(TITLE_NAME_OR_PR_CHANGE="",IF(TITLE_NAME_OR_PR="","",TITLE_NAME_OR_PR),TITLE_NAME_OR_PR_CHANGE)</f>
        <v>Региональная тарифная комиссия Ставропольского края</v>
      </c>
      <c r="BM27" s="3901"/>
      <c r="BN27" s="3901"/>
      <c r="BO27" s="3901"/>
      <c r="BP27" s="3901"/>
      <c r="BQ27" s="3901"/>
      <c r="BR27" s="1555"/>
      <c r="BS27" s="3901" t="str">
        <f>IF(TITLE_NAME_OR_PR_CHANGE="",IF(TITLE_NAME_OR_PR="","",TITLE_NAME_OR_PR),TITLE_NAME_OR_PR_CHANGE)</f>
        <v>Региональная тарифная комиссия Ставропольского края</v>
      </c>
      <c r="BT27" s="3901"/>
      <c r="BU27" s="3901"/>
      <c r="BV27" s="3901"/>
      <c r="BW27" s="3901"/>
      <c r="BX27" s="3901"/>
      <c r="BY27" s="1555"/>
      <c r="BZ27" s="3901" t="str">
        <f>IF(TITLE_NAME_OR_PR_CHANGE="",IF(TITLE_NAME_OR_PR="","",TITLE_NAME_OR_PR),TITLE_NAME_OR_PR_CHANGE)</f>
        <v>Региональная тарифная комиссия Ставропольского края</v>
      </c>
      <c r="CA27" s="3901"/>
      <c r="CB27" s="3901"/>
      <c r="CC27" s="3901"/>
      <c r="CD27" s="3901"/>
      <c r="CE27" s="3901"/>
      <c r="CF27" s="1555"/>
      <c r="CG27" s="3901" t="str">
        <f>IF(TITLE_NAME_OR_PR_CHANGE="",IF(TITLE_NAME_OR_PR="","",TITLE_NAME_OR_PR),TITLE_NAME_OR_PR_CHANGE)</f>
        <v>Региональная тарифная комиссия Ставропольского края</v>
      </c>
      <c r="CH27" s="3901"/>
      <c r="CI27" s="3901"/>
      <c r="CJ27" s="3901"/>
      <c r="CK27" s="3901"/>
      <c r="CL27" s="3901"/>
      <c r="CM27" s="1555"/>
      <c r="CN27" s="3901" t="str">
        <f>IF(TITLE_NAME_OR_PR_CHANGE="",IF(TITLE_NAME_OR_PR="","",TITLE_NAME_OR_PR),TITLE_NAME_OR_PR_CHANGE)</f>
        <v>Региональная тарифная комиссия Ставропольского края</v>
      </c>
      <c r="CO27" s="3901"/>
      <c r="CP27" s="3901"/>
      <c r="CQ27" s="3901"/>
      <c r="CR27" s="3901"/>
      <c r="CS27" s="3901"/>
      <c r="CT27" s="1555"/>
      <c r="CU27" s="248"/>
      <c r="CV27" s="196"/>
      <c r="CW27" s="292"/>
      <c r="CX27" s="292"/>
      <c r="CY27" s="292"/>
      <c r="CZ27" s="292"/>
      <c r="DA27" s="292"/>
    </row>
    <row r="28" spans="1:105" s="1771" customFormat="1" ht="18.75" customHeight="1">
      <c r="A28" s="1289"/>
      <c r="B28" s="1289"/>
      <c r="C28" s="1289"/>
      <c r="D28" s="1289"/>
      <c r="E28" s="1289"/>
      <c r="F28" s="1289"/>
      <c r="G28" s="1289"/>
      <c r="H28" s="1289"/>
      <c r="I28" s="1289"/>
      <c r="J28" s="1289"/>
      <c r="K28" s="1289"/>
      <c r="L28" s="1290"/>
      <c r="M28" s="1289"/>
      <c r="N28" s="1289"/>
      <c r="O28" s="1289"/>
      <c r="S28" s="3900" t="s">
        <v>452</v>
      </c>
      <c r="T28" s="3900"/>
      <c r="U28" s="1293"/>
      <c r="V28" s="3910">
        <f>IF(TITLE_DATE_PR_CHANGE="",IF(TITLE_DATE_PR="","",TITLE_DATE_PR),TITLE_DATE_PR_CHANGE)</f>
        <v>45278</v>
      </c>
      <c r="W28" s="3910"/>
      <c r="X28" s="3910"/>
      <c r="Y28" s="3910"/>
      <c r="Z28" s="3910"/>
      <c r="AA28" s="3910"/>
      <c r="AB28" s="248"/>
      <c r="AC28" s="3910">
        <f>IF(TITLE_DATE_PR_CHANGE="",IF(TITLE_DATE_PR="","",TITLE_DATE_PR),TITLE_DATE_PR_CHANGE)</f>
        <v>45278</v>
      </c>
      <c r="AD28" s="3910"/>
      <c r="AE28" s="3910"/>
      <c r="AF28" s="3910"/>
      <c r="AG28" s="3910"/>
      <c r="AH28" s="3910"/>
      <c r="AI28" s="248"/>
      <c r="AJ28" s="3910">
        <f>IF(TITLE_DATE_PR_CHANGE="",IF(TITLE_DATE_PR="","",TITLE_DATE_PR),TITLE_DATE_PR_CHANGE)</f>
        <v>45278</v>
      </c>
      <c r="AK28" s="3910"/>
      <c r="AL28" s="3910"/>
      <c r="AM28" s="3910"/>
      <c r="AN28" s="3910"/>
      <c r="AO28" s="3910"/>
      <c r="AP28" s="1555"/>
      <c r="AQ28" s="3910">
        <f>IF(TITLE_DATE_PR_CHANGE="",IF(TITLE_DATE_PR="","",TITLE_DATE_PR),TITLE_DATE_PR_CHANGE)</f>
        <v>45278</v>
      </c>
      <c r="AR28" s="3910"/>
      <c r="AS28" s="3910"/>
      <c r="AT28" s="3910"/>
      <c r="AU28" s="3910"/>
      <c r="AV28" s="3910"/>
      <c r="AW28" s="1555"/>
      <c r="AX28" s="3910">
        <f>IF(TITLE_DATE_PR_CHANGE="",IF(TITLE_DATE_PR="","",TITLE_DATE_PR),TITLE_DATE_PR_CHANGE)</f>
        <v>45278</v>
      </c>
      <c r="AY28" s="3910"/>
      <c r="AZ28" s="3910"/>
      <c r="BA28" s="3910"/>
      <c r="BB28" s="3910"/>
      <c r="BC28" s="3910"/>
      <c r="BD28" s="1555"/>
      <c r="BE28" s="3910">
        <f>IF(TITLE_DATE_PR_CHANGE="",IF(TITLE_DATE_PR="","",TITLE_DATE_PR),TITLE_DATE_PR_CHANGE)</f>
        <v>45278</v>
      </c>
      <c r="BF28" s="3910"/>
      <c r="BG28" s="3910"/>
      <c r="BH28" s="3910"/>
      <c r="BI28" s="3910"/>
      <c r="BJ28" s="3910"/>
      <c r="BK28" s="1555"/>
      <c r="BL28" s="3910">
        <f>IF(TITLE_DATE_PR_CHANGE="",IF(TITLE_DATE_PR="","",TITLE_DATE_PR),TITLE_DATE_PR_CHANGE)</f>
        <v>45278</v>
      </c>
      <c r="BM28" s="3910"/>
      <c r="BN28" s="3910"/>
      <c r="BO28" s="3910"/>
      <c r="BP28" s="3910"/>
      <c r="BQ28" s="3910"/>
      <c r="BR28" s="1555"/>
      <c r="BS28" s="3910">
        <f>IF(TITLE_DATE_PR_CHANGE="",IF(TITLE_DATE_PR="","",TITLE_DATE_PR),TITLE_DATE_PR_CHANGE)</f>
        <v>45278</v>
      </c>
      <c r="BT28" s="3910"/>
      <c r="BU28" s="3910"/>
      <c r="BV28" s="3910"/>
      <c r="BW28" s="3910"/>
      <c r="BX28" s="3910"/>
      <c r="BY28" s="1555"/>
      <c r="BZ28" s="3910">
        <f>IF(TITLE_DATE_PR_CHANGE="",IF(TITLE_DATE_PR="","",TITLE_DATE_PR),TITLE_DATE_PR_CHANGE)</f>
        <v>45278</v>
      </c>
      <c r="CA28" s="3910"/>
      <c r="CB28" s="3910"/>
      <c r="CC28" s="3910"/>
      <c r="CD28" s="3910"/>
      <c r="CE28" s="3910"/>
      <c r="CF28" s="1555"/>
      <c r="CG28" s="3910">
        <f>IF(TITLE_DATE_PR_CHANGE="",IF(TITLE_DATE_PR="","",TITLE_DATE_PR),TITLE_DATE_PR_CHANGE)</f>
        <v>45278</v>
      </c>
      <c r="CH28" s="3910"/>
      <c r="CI28" s="3910"/>
      <c r="CJ28" s="3910"/>
      <c r="CK28" s="3910"/>
      <c r="CL28" s="3910"/>
      <c r="CM28" s="1555"/>
      <c r="CN28" s="3910">
        <f>IF(TITLE_DATE_PR_CHANGE="",IF(TITLE_DATE_PR="","",TITLE_DATE_PR),TITLE_DATE_PR_CHANGE)</f>
        <v>45278</v>
      </c>
      <c r="CO28" s="3910"/>
      <c r="CP28" s="3910"/>
      <c r="CQ28" s="3910"/>
      <c r="CR28" s="3910"/>
      <c r="CS28" s="3910"/>
      <c r="CT28" s="1555"/>
      <c r="CU28" s="248"/>
      <c r="CV28" s="196"/>
      <c r="CW28" s="292"/>
      <c r="CX28" s="292"/>
      <c r="CY28" s="292"/>
      <c r="CZ28" s="292"/>
      <c r="DA28" s="292"/>
    </row>
    <row r="29" spans="1:105" s="1771" customFormat="1" ht="18.75" customHeight="1">
      <c r="A29" s="1289"/>
      <c r="B29" s="1289"/>
      <c r="C29" s="1289"/>
      <c r="D29" s="1289"/>
      <c r="E29" s="1289"/>
      <c r="F29" s="1289"/>
      <c r="G29" s="1289"/>
      <c r="H29" s="1289"/>
      <c r="I29" s="1289"/>
      <c r="J29" s="1289"/>
      <c r="K29" s="1289"/>
      <c r="L29" s="1290"/>
      <c r="M29" s="1289"/>
      <c r="N29" s="1289"/>
      <c r="O29" s="1289"/>
      <c r="S29" s="3900" t="s">
        <v>453</v>
      </c>
      <c r="T29" s="3900"/>
      <c r="U29" s="1293"/>
      <c r="V29" s="3901" t="str">
        <f>IF(TITLE_NUMBER_PR_CHANGE="",IF(TITLE_NUMBER_PR="","",TITLE_NUMBER_PR),TITLE_NUMBER_PR_CHANGE)</f>
        <v>79/2</v>
      </c>
      <c r="W29" s="3901"/>
      <c r="X29" s="3901"/>
      <c r="Y29" s="3901"/>
      <c r="Z29" s="3901"/>
      <c r="AA29" s="3901"/>
      <c r="AB29" s="248"/>
      <c r="AC29" s="3901" t="str">
        <f>IF(TITLE_NUMBER_PR_CHANGE="",IF(TITLE_NUMBER_PR="","",TITLE_NUMBER_PR),TITLE_NUMBER_PR_CHANGE)</f>
        <v>79/2</v>
      </c>
      <c r="AD29" s="3901"/>
      <c r="AE29" s="3901"/>
      <c r="AF29" s="3901"/>
      <c r="AG29" s="3901"/>
      <c r="AH29" s="3901"/>
      <c r="AI29" s="248"/>
      <c r="AJ29" s="3901" t="str">
        <f>IF(TITLE_NUMBER_PR_CHANGE="",IF(TITLE_NUMBER_PR="","",TITLE_NUMBER_PR),TITLE_NUMBER_PR_CHANGE)</f>
        <v>79/2</v>
      </c>
      <c r="AK29" s="3901"/>
      <c r="AL29" s="3901"/>
      <c r="AM29" s="3901"/>
      <c r="AN29" s="3901"/>
      <c r="AO29" s="3901"/>
      <c r="AP29" s="1555"/>
      <c r="AQ29" s="3901" t="str">
        <f>IF(TITLE_NUMBER_PR_CHANGE="",IF(TITLE_NUMBER_PR="","",TITLE_NUMBER_PR),TITLE_NUMBER_PR_CHANGE)</f>
        <v>79/2</v>
      </c>
      <c r="AR29" s="3901"/>
      <c r="AS29" s="3901"/>
      <c r="AT29" s="3901"/>
      <c r="AU29" s="3901"/>
      <c r="AV29" s="3901"/>
      <c r="AW29" s="1555"/>
      <c r="AX29" s="3901" t="str">
        <f>IF(TITLE_NUMBER_PR_CHANGE="",IF(TITLE_NUMBER_PR="","",TITLE_NUMBER_PR),TITLE_NUMBER_PR_CHANGE)</f>
        <v>79/2</v>
      </c>
      <c r="AY29" s="3901"/>
      <c r="AZ29" s="3901"/>
      <c r="BA29" s="3901"/>
      <c r="BB29" s="3901"/>
      <c r="BC29" s="3901"/>
      <c r="BD29" s="1555"/>
      <c r="BE29" s="3901" t="str">
        <f>IF(TITLE_NUMBER_PR_CHANGE="",IF(TITLE_NUMBER_PR="","",TITLE_NUMBER_PR),TITLE_NUMBER_PR_CHANGE)</f>
        <v>79/2</v>
      </c>
      <c r="BF29" s="3901"/>
      <c r="BG29" s="3901"/>
      <c r="BH29" s="3901"/>
      <c r="BI29" s="3901"/>
      <c r="BJ29" s="3901"/>
      <c r="BK29" s="1555"/>
      <c r="BL29" s="3901" t="str">
        <f>IF(TITLE_NUMBER_PR_CHANGE="",IF(TITLE_NUMBER_PR="","",TITLE_NUMBER_PR),TITLE_NUMBER_PR_CHANGE)</f>
        <v>79/2</v>
      </c>
      <c r="BM29" s="3901"/>
      <c r="BN29" s="3901"/>
      <c r="BO29" s="3901"/>
      <c r="BP29" s="3901"/>
      <c r="BQ29" s="3901"/>
      <c r="BR29" s="1555"/>
      <c r="BS29" s="3901" t="str">
        <f>IF(TITLE_NUMBER_PR_CHANGE="",IF(TITLE_NUMBER_PR="","",TITLE_NUMBER_PR),TITLE_NUMBER_PR_CHANGE)</f>
        <v>79/2</v>
      </c>
      <c r="BT29" s="3901"/>
      <c r="BU29" s="3901"/>
      <c r="BV29" s="3901"/>
      <c r="BW29" s="3901"/>
      <c r="BX29" s="3901"/>
      <c r="BY29" s="1555"/>
      <c r="BZ29" s="3901" t="str">
        <f>IF(TITLE_NUMBER_PR_CHANGE="",IF(TITLE_NUMBER_PR="","",TITLE_NUMBER_PR),TITLE_NUMBER_PR_CHANGE)</f>
        <v>79/2</v>
      </c>
      <c r="CA29" s="3901"/>
      <c r="CB29" s="3901"/>
      <c r="CC29" s="3901"/>
      <c r="CD29" s="3901"/>
      <c r="CE29" s="3901"/>
      <c r="CF29" s="1555"/>
      <c r="CG29" s="3901" t="str">
        <f>IF(TITLE_NUMBER_PR_CHANGE="",IF(TITLE_NUMBER_PR="","",TITLE_NUMBER_PR),TITLE_NUMBER_PR_CHANGE)</f>
        <v>79/2</v>
      </c>
      <c r="CH29" s="3901"/>
      <c r="CI29" s="3901"/>
      <c r="CJ29" s="3901"/>
      <c r="CK29" s="3901"/>
      <c r="CL29" s="3901"/>
      <c r="CM29" s="1555"/>
      <c r="CN29" s="3901" t="str">
        <f>IF(TITLE_NUMBER_PR_CHANGE="",IF(TITLE_NUMBER_PR="","",TITLE_NUMBER_PR),TITLE_NUMBER_PR_CHANGE)</f>
        <v>79/2</v>
      </c>
      <c r="CO29" s="3901"/>
      <c r="CP29" s="3901"/>
      <c r="CQ29" s="3901"/>
      <c r="CR29" s="3901"/>
      <c r="CS29" s="3901"/>
      <c r="CT29" s="1555"/>
      <c r="CU29" s="248"/>
      <c r="CV29" s="196"/>
      <c r="CW29" s="292"/>
      <c r="CX29" s="292"/>
      <c r="CY29" s="292"/>
      <c r="CZ29" s="292"/>
      <c r="DA29" s="292"/>
    </row>
    <row r="30" spans="1:105" s="1771" customFormat="1" ht="18.75" customHeight="1">
      <c r="A30" s="1289"/>
      <c r="B30" s="1289"/>
      <c r="C30" s="1289"/>
      <c r="D30" s="1289"/>
      <c r="E30" s="1289"/>
      <c r="F30" s="1289"/>
      <c r="G30" s="1289"/>
      <c r="H30" s="1289"/>
      <c r="I30" s="1289"/>
      <c r="J30" s="1289"/>
      <c r="K30" s="1289"/>
      <c r="L30" s="1290"/>
      <c r="M30" s="1289"/>
      <c r="N30" s="1289"/>
      <c r="O30" s="1289"/>
      <c r="S30" s="3900" t="s">
        <v>40</v>
      </c>
      <c r="T30" s="3900"/>
      <c r="U30" s="1293"/>
      <c r="V30" s="3901" t="str">
        <f>IF(TITLE_IST_PUB_CHANGE="",IF(TITLE_IST_PUB="","",TITLE_IST_PUB),TITLE_IST_PUB_CHANGE)</f>
        <v>http://pravo.stavregion.ru/</v>
      </c>
      <c r="W30" s="3901"/>
      <c r="X30" s="3901"/>
      <c r="Y30" s="3901"/>
      <c r="Z30" s="3901"/>
      <c r="AA30" s="3901"/>
      <c r="AB30" s="248"/>
      <c r="AC30" s="3901" t="str">
        <f>IF(TITLE_IST_PUB_CHANGE="",IF(TITLE_IST_PUB="","",TITLE_IST_PUB),TITLE_IST_PUB_CHANGE)</f>
        <v>http://pravo.stavregion.ru/</v>
      </c>
      <c r="AD30" s="3901"/>
      <c r="AE30" s="3901"/>
      <c r="AF30" s="3901"/>
      <c r="AG30" s="3901"/>
      <c r="AH30" s="3901"/>
      <c r="AI30" s="248"/>
      <c r="AJ30" s="3901" t="str">
        <f>IF(TITLE_IST_PUB_CHANGE="",IF(TITLE_IST_PUB="","",TITLE_IST_PUB),TITLE_IST_PUB_CHANGE)</f>
        <v>http://pravo.stavregion.ru/</v>
      </c>
      <c r="AK30" s="3901"/>
      <c r="AL30" s="3901"/>
      <c r="AM30" s="3901"/>
      <c r="AN30" s="3901"/>
      <c r="AO30" s="3901"/>
      <c r="AP30" s="1555"/>
      <c r="AQ30" s="3901" t="str">
        <f>IF(TITLE_IST_PUB_CHANGE="",IF(TITLE_IST_PUB="","",TITLE_IST_PUB),TITLE_IST_PUB_CHANGE)</f>
        <v>http://pravo.stavregion.ru/</v>
      </c>
      <c r="AR30" s="3901"/>
      <c r="AS30" s="3901"/>
      <c r="AT30" s="3901"/>
      <c r="AU30" s="3901"/>
      <c r="AV30" s="3901"/>
      <c r="AW30" s="1555"/>
      <c r="AX30" s="3901" t="str">
        <f>IF(TITLE_IST_PUB_CHANGE="",IF(TITLE_IST_PUB="","",TITLE_IST_PUB),TITLE_IST_PUB_CHANGE)</f>
        <v>http://pravo.stavregion.ru/</v>
      </c>
      <c r="AY30" s="3901"/>
      <c r="AZ30" s="3901"/>
      <c r="BA30" s="3901"/>
      <c r="BB30" s="3901"/>
      <c r="BC30" s="3901"/>
      <c r="BD30" s="1555"/>
      <c r="BE30" s="3901" t="str">
        <f>IF(TITLE_IST_PUB_CHANGE="",IF(TITLE_IST_PUB="","",TITLE_IST_PUB),TITLE_IST_PUB_CHANGE)</f>
        <v>http://pravo.stavregion.ru/</v>
      </c>
      <c r="BF30" s="3901"/>
      <c r="BG30" s="3901"/>
      <c r="BH30" s="3901"/>
      <c r="BI30" s="3901"/>
      <c r="BJ30" s="3901"/>
      <c r="BK30" s="1555"/>
      <c r="BL30" s="3901" t="str">
        <f>IF(TITLE_IST_PUB_CHANGE="",IF(TITLE_IST_PUB="","",TITLE_IST_PUB),TITLE_IST_PUB_CHANGE)</f>
        <v>http://pravo.stavregion.ru/</v>
      </c>
      <c r="BM30" s="3901"/>
      <c r="BN30" s="3901"/>
      <c r="BO30" s="3901"/>
      <c r="BP30" s="3901"/>
      <c r="BQ30" s="3901"/>
      <c r="BR30" s="1555"/>
      <c r="BS30" s="3901" t="str">
        <f>IF(TITLE_IST_PUB_CHANGE="",IF(TITLE_IST_PUB="","",TITLE_IST_PUB),TITLE_IST_PUB_CHANGE)</f>
        <v>http://pravo.stavregion.ru/</v>
      </c>
      <c r="BT30" s="3901"/>
      <c r="BU30" s="3901"/>
      <c r="BV30" s="3901"/>
      <c r="BW30" s="3901"/>
      <c r="BX30" s="3901"/>
      <c r="BY30" s="1555"/>
      <c r="BZ30" s="3901" t="str">
        <f>IF(TITLE_IST_PUB_CHANGE="",IF(TITLE_IST_PUB="","",TITLE_IST_PUB),TITLE_IST_PUB_CHANGE)</f>
        <v>http://pravo.stavregion.ru/</v>
      </c>
      <c r="CA30" s="3901"/>
      <c r="CB30" s="3901"/>
      <c r="CC30" s="3901"/>
      <c r="CD30" s="3901"/>
      <c r="CE30" s="3901"/>
      <c r="CF30" s="1555"/>
      <c r="CG30" s="3901" t="str">
        <f>IF(TITLE_IST_PUB_CHANGE="",IF(TITLE_IST_PUB="","",TITLE_IST_PUB),TITLE_IST_PUB_CHANGE)</f>
        <v>http://pravo.stavregion.ru/</v>
      </c>
      <c r="CH30" s="3901"/>
      <c r="CI30" s="3901"/>
      <c r="CJ30" s="3901"/>
      <c r="CK30" s="3901"/>
      <c r="CL30" s="3901"/>
      <c r="CM30" s="1555"/>
      <c r="CN30" s="3901" t="str">
        <f>IF(TITLE_IST_PUB_CHANGE="",IF(TITLE_IST_PUB="","",TITLE_IST_PUB),TITLE_IST_PUB_CHANGE)</f>
        <v>http://pravo.stavregion.ru/</v>
      </c>
      <c r="CO30" s="3901"/>
      <c r="CP30" s="3901"/>
      <c r="CQ30" s="3901"/>
      <c r="CR30" s="3901"/>
      <c r="CS30" s="3901"/>
      <c r="CT30" s="1555"/>
      <c r="CU30" s="248"/>
      <c r="CV30" s="196"/>
      <c r="CW30" s="292"/>
      <c r="CX30" s="292"/>
      <c r="CY30" s="292"/>
      <c r="CZ30" s="292"/>
      <c r="DA30" s="292"/>
    </row>
    <row r="31" spans="1:105"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433"/>
    </row>
    <row r="32" spans="1:105" s="1771" customFormat="1" ht="18.75" hidden="1" customHeight="1">
      <c r="A32" s="1289"/>
      <c r="B32" s="1289"/>
      <c r="C32" s="1289"/>
      <c r="D32" s="1289"/>
      <c r="E32" s="1289"/>
      <c r="F32" s="1289"/>
      <c r="G32" s="1289"/>
      <c r="H32" s="1289"/>
      <c r="I32" s="1289"/>
      <c r="J32" s="1289"/>
      <c r="K32" s="1289"/>
      <c r="L32" s="1290"/>
      <c r="M32" s="1289"/>
      <c r="N32" s="1289"/>
      <c r="O32" s="1289"/>
      <c r="S32" s="3900" t="s">
        <v>454</v>
      </c>
      <c r="T32" s="3900"/>
      <c r="U32" s="1293"/>
      <c r="V32" s="3910">
        <f>IF(TITLE_DATE_PR_CHANGE="",IF(TITLE_DATE_PR="","",TITLE_DATE_PR),TITLE_DATE_PR_CHANGE)</f>
        <v>45278</v>
      </c>
      <c r="W32" s="3910"/>
      <c r="X32" s="3910"/>
      <c r="Y32" s="3910"/>
      <c r="Z32" s="3910"/>
      <c r="AA32" s="3910"/>
      <c r="AB32" s="248"/>
      <c r="AC32" s="3910">
        <f>IF(TITLE_DATE_PR_CHANGE="",IF(TITLE_DATE_PR="","",TITLE_DATE_PR),TITLE_DATE_PR_CHANGE)</f>
        <v>45278</v>
      </c>
      <c r="AD32" s="3910"/>
      <c r="AE32" s="3910"/>
      <c r="AF32" s="3910"/>
      <c r="AG32" s="3910"/>
      <c r="AH32" s="3910"/>
      <c r="AI32" s="248"/>
      <c r="AJ32" s="3910">
        <f>IF(TITLE_DATE_PR_CHANGE="",IF(TITLE_DATE_PR="","",TITLE_DATE_PR),TITLE_DATE_PR_CHANGE)</f>
        <v>45278</v>
      </c>
      <c r="AK32" s="3910"/>
      <c r="AL32" s="3910"/>
      <c r="AM32" s="3910"/>
      <c r="AN32" s="3910"/>
      <c r="AO32" s="3910"/>
      <c r="AP32" s="1555"/>
      <c r="AQ32" s="3910">
        <f>IF(TITLE_DATE_PR_CHANGE="",IF(TITLE_DATE_PR="","",TITLE_DATE_PR),TITLE_DATE_PR_CHANGE)</f>
        <v>45278</v>
      </c>
      <c r="AR32" s="3910"/>
      <c r="AS32" s="3910"/>
      <c r="AT32" s="3910"/>
      <c r="AU32" s="3910"/>
      <c r="AV32" s="3910"/>
      <c r="AW32" s="1555"/>
      <c r="AX32" s="3910">
        <f>IF(TITLE_DATE_PR_CHANGE="",IF(TITLE_DATE_PR="","",TITLE_DATE_PR),TITLE_DATE_PR_CHANGE)</f>
        <v>45278</v>
      </c>
      <c r="AY32" s="3910"/>
      <c r="AZ32" s="3910"/>
      <c r="BA32" s="3910"/>
      <c r="BB32" s="3910"/>
      <c r="BC32" s="3910"/>
      <c r="BD32" s="1555"/>
      <c r="BE32" s="3910">
        <f>IF(TITLE_DATE_PR_CHANGE="",IF(TITLE_DATE_PR="","",TITLE_DATE_PR),TITLE_DATE_PR_CHANGE)</f>
        <v>45278</v>
      </c>
      <c r="BF32" s="3910"/>
      <c r="BG32" s="3910"/>
      <c r="BH32" s="3910"/>
      <c r="BI32" s="3910"/>
      <c r="BJ32" s="3910"/>
      <c r="BK32" s="1555"/>
      <c r="BL32" s="3910">
        <f>IF(TITLE_DATE_PR_CHANGE="",IF(TITLE_DATE_PR="","",TITLE_DATE_PR),TITLE_DATE_PR_CHANGE)</f>
        <v>45278</v>
      </c>
      <c r="BM32" s="3910"/>
      <c r="BN32" s="3910"/>
      <c r="BO32" s="3910"/>
      <c r="BP32" s="3910"/>
      <c r="BQ32" s="3910"/>
      <c r="BR32" s="1555"/>
      <c r="BS32" s="3910">
        <f>IF(TITLE_DATE_PR_CHANGE="",IF(TITLE_DATE_PR="","",TITLE_DATE_PR),TITLE_DATE_PR_CHANGE)</f>
        <v>45278</v>
      </c>
      <c r="BT32" s="3910"/>
      <c r="BU32" s="3910"/>
      <c r="BV32" s="3910"/>
      <c r="BW32" s="3910"/>
      <c r="BX32" s="3910"/>
      <c r="BY32" s="1555"/>
      <c r="BZ32" s="3910">
        <f>IF(TITLE_DATE_PR_CHANGE="",IF(TITLE_DATE_PR="","",TITLE_DATE_PR),TITLE_DATE_PR_CHANGE)</f>
        <v>45278</v>
      </c>
      <c r="CA32" s="3910"/>
      <c r="CB32" s="3910"/>
      <c r="CC32" s="3910"/>
      <c r="CD32" s="3910"/>
      <c r="CE32" s="3910"/>
      <c r="CF32" s="1555"/>
      <c r="CG32" s="3910">
        <f>IF(TITLE_DATE_PR_CHANGE="",IF(TITLE_DATE_PR="","",TITLE_DATE_PR),TITLE_DATE_PR_CHANGE)</f>
        <v>45278</v>
      </c>
      <c r="CH32" s="3910"/>
      <c r="CI32" s="3910"/>
      <c r="CJ32" s="3910"/>
      <c r="CK32" s="3910"/>
      <c r="CL32" s="3910"/>
      <c r="CM32" s="1555"/>
      <c r="CN32" s="3910">
        <f>IF(TITLE_DATE_PR_CHANGE="",IF(TITLE_DATE_PR="","",TITLE_DATE_PR),TITLE_DATE_PR_CHANGE)</f>
        <v>45278</v>
      </c>
      <c r="CO32" s="3910"/>
      <c r="CP32" s="3910"/>
      <c r="CQ32" s="3910"/>
      <c r="CR32" s="3910"/>
      <c r="CS32" s="3910"/>
      <c r="CT32" s="1555"/>
      <c r="CU32" s="248"/>
      <c r="CV32" s="196"/>
      <c r="CW32" s="292"/>
      <c r="CX32" s="292"/>
      <c r="CY32" s="292"/>
      <c r="CZ32" s="292"/>
      <c r="DA32" s="292"/>
    </row>
    <row r="33" spans="1:105" s="1771" customFormat="1" ht="18.75" hidden="1" customHeight="1">
      <c r="A33" s="1289"/>
      <c r="B33" s="1289"/>
      <c r="C33" s="1289"/>
      <c r="D33" s="1289"/>
      <c r="E33" s="1289"/>
      <c r="F33" s="1289"/>
      <c r="G33" s="1289"/>
      <c r="H33" s="1289"/>
      <c r="I33" s="1289"/>
      <c r="J33" s="1289"/>
      <c r="K33" s="1289"/>
      <c r="L33" s="1290"/>
      <c r="M33" s="1289"/>
      <c r="N33" s="1289"/>
      <c r="O33" s="1289"/>
      <c r="S33" s="3900" t="s">
        <v>455</v>
      </c>
      <c r="T33" s="3900"/>
      <c r="U33" s="1293"/>
      <c r="V33" s="3901" t="str">
        <f>IF(TITLE_NUMBER_PR_CHANGE="",IF(TITLE_NUMBER_PR="","",TITLE_NUMBER_PR),TITLE_NUMBER_PR_CHANGE)</f>
        <v>79/2</v>
      </c>
      <c r="W33" s="3901"/>
      <c r="X33" s="3901"/>
      <c r="Y33" s="3901"/>
      <c r="Z33" s="3901"/>
      <c r="AA33" s="3901"/>
      <c r="AB33" s="248"/>
      <c r="AC33" s="3901" t="str">
        <f>IF(TITLE_NUMBER_PR_CHANGE="",IF(TITLE_NUMBER_PR="","",TITLE_NUMBER_PR),TITLE_NUMBER_PR_CHANGE)</f>
        <v>79/2</v>
      </c>
      <c r="AD33" s="3901"/>
      <c r="AE33" s="3901"/>
      <c r="AF33" s="3901"/>
      <c r="AG33" s="3901"/>
      <c r="AH33" s="3901"/>
      <c r="AI33" s="248"/>
      <c r="AJ33" s="3901" t="str">
        <f>IF(TITLE_NUMBER_PR_CHANGE="",IF(TITLE_NUMBER_PR="","",TITLE_NUMBER_PR),TITLE_NUMBER_PR_CHANGE)</f>
        <v>79/2</v>
      </c>
      <c r="AK33" s="3901"/>
      <c r="AL33" s="3901"/>
      <c r="AM33" s="3901"/>
      <c r="AN33" s="3901"/>
      <c r="AO33" s="3901"/>
      <c r="AP33" s="1555"/>
      <c r="AQ33" s="3901" t="str">
        <f>IF(TITLE_NUMBER_PR_CHANGE="",IF(TITLE_NUMBER_PR="","",TITLE_NUMBER_PR),TITLE_NUMBER_PR_CHANGE)</f>
        <v>79/2</v>
      </c>
      <c r="AR33" s="3901"/>
      <c r="AS33" s="3901"/>
      <c r="AT33" s="3901"/>
      <c r="AU33" s="3901"/>
      <c r="AV33" s="3901"/>
      <c r="AW33" s="1555"/>
      <c r="AX33" s="3901" t="str">
        <f>IF(TITLE_NUMBER_PR_CHANGE="",IF(TITLE_NUMBER_PR="","",TITLE_NUMBER_PR),TITLE_NUMBER_PR_CHANGE)</f>
        <v>79/2</v>
      </c>
      <c r="AY33" s="3901"/>
      <c r="AZ33" s="3901"/>
      <c r="BA33" s="3901"/>
      <c r="BB33" s="3901"/>
      <c r="BC33" s="3901"/>
      <c r="BD33" s="1555"/>
      <c r="BE33" s="3901" t="str">
        <f>IF(TITLE_NUMBER_PR_CHANGE="",IF(TITLE_NUMBER_PR="","",TITLE_NUMBER_PR),TITLE_NUMBER_PR_CHANGE)</f>
        <v>79/2</v>
      </c>
      <c r="BF33" s="3901"/>
      <c r="BG33" s="3901"/>
      <c r="BH33" s="3901"/>
      <c r="BI33" s="3901"/>
      <c r="BJ33" s="3901"/>
      <c r="BK33" s="1555"/>
      <c r="BL33" s="3901" t="str">
        <f>IF(TITLE_NUMBER_PR_CHANGE="",IF(TITLE_NUMBER_PR="","",TITLE_NUMBER_PR),TITLE_NUMBER_PR_CHANGE)</f>
        <v>79/2</v>
      </c>
      <c r="BM33" s="3901"/>
      <c r="BN33" s="3901"/>
      <c r="BO33" s="3901"/>
      <c r="BP33" s="3901"/>
      <c r="BQ33" s="3901"/>
      <c r="BR33" s="1555"/>
      <c r="BS33" s="3901" t="str">
        <f>IF(TITLE_NUMBER_PR_CHANGE="",IF(TITLE_NUMBER_PR="","",TITLE_NUMBER_PR),TITLE_NUMBER_PR_CHANGE)</f>
        <v>79/2</v>
      </c>
      <c r="BT33" s="3901"/>
      <c r="BU33" s="3901"/>
      <c r="BV33" s="3901"/>
      <c r="BW33" s="3901"/>
      <c r="BX33" s="3901"/>
      <c r="BY33" s="1555"/>
      <c r="BZ33" s="3901" t="str">
        <f>IF(TITLE_NUMBER_PR_CHANGE="",IF(TITLE_NUMBER_PR="","",TITLE_NUMBER_PR),TITLE_NUMBER_PR_CHANGE)</f>
        <v>79/2</v>
      </c>
      <c r="CA33" s="3901"/>
      <c r="CB33" s="3901"/>
      <c r="CC33" s="3901"/>
      <c r="CD33" s="3901"/>
      <c r="CE33" s="3901"/>
      <c r="CF33" s="1555"/>
      <c r="CG33" s="3901" t="str">
        <f>IF(TITLE_NUMBER_PR_CHANGE="",IF(TITLE_NUMBER_PR="","",TITLE_NUMBER_PR),TITLE_NUMBER_PR_CHANGE)</f>
        <v>79/2</v>
      </c>
      <c r="CH33" s="3901"/>
      <c r="CI33" s="3901"/>
      <c r="CJ33" s="3901"/>
      <c r="CK33" s="3901"/>
      <c r="CL33" s="3901"/>
      <c r="CM33" s="1555"/>
      <c r="CN33" s="3901" t="str">
        <f>IF(TITLE_NUMBER_PR_CHANGE="",IF(TITLE_NUMBER_PR="","",TITLE_NUMBER_PR),TITLE_NUMBER_PR_CHANGE)</f>
        <v>79/2</v>
      </c>
      <c r="CO33" s="3901"/>
      <c r="CP33" s="3901"/>
      <c r="CQ33" s="3901"/>
      <c r="CR33" s="3901"/>
      <c r="CS33" s="3901"/>
      <c r="CT33" s="1555"/>
      <c r="CU33" s="248"/>
      <c r="CV33" s="196"/>
      <c r="CW33" s="292"/>
      <c r="CX33" s="292"/>
      <c r="CY33" s="292"/>
      <c r="CZ33" s="292"/>
      <c r="DA33" s="292"/>
    </row>
    <row r="34" spans="1:105"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456</v>
      </c>
      <c r="AC34" s="248"/>
      <c r="AD34" s="248"/>
      <c r="AE34" s="248"/>
      <c r="AF34" s="248"/>
      <c r="AG34" s="248"/>
      <c r="AH34" s="248"/>
      <c r="AI34" s="194" t="s">
        <v>456</v>
      </c>
      <c r="AJ34" s="1555"/>
      <c r="AK34" s="1555"/>
      <c r="AL34" s="1555"/>
      <c r="AM34" s="1555"/>
      <c r="AN34" s="1555"/>
      <c r="AO34" s="1555"/>
      <c r="AP34" s="1562" t="s">
        <v>456</v>
      </c>
      <c r="AQ34" s="1555"/>
      <c r="AR34" s="1555"/>
      <c r="AS34" s="1555"/>
      <c r="AT34" s="1555"/>
      <c r="AU34" s="1555"/>
      <c r="AV34" s="1555"/>
      <c r="AW34" s="1562" t="s">
        <v>456</v>
      </c>
      <c r="AX34" s="1555"/>
      <c r="AY34" s="1555"/>
      <c r="AZ34" s="1555"/>
      <c r="BA34" s="1555"/>
      <c r="BB34" s="1555"/>
      <c r="BC34" s="1555"/>
      <c r="BD34" s="1562" t="s">
        <v>456</v>
      </c>
      <c r="BE34" s="1555"/>
      <c r="BF34" s="1555"/>
      <c r="BG34" s="1555"/>
      <c r="BH34" s="1555"/>
      <c r="BI34" s="1555"/>
      <c r="BJ34" s="1555"/>
      <c r="BK34" s="1562" t="s">
        <v>456</v>
      </c>
      <c r="BL34" s="1555"/>
      <c r="BM34" s="1555"/>
      <c r="BN34" s="1555"/>
      <c r="BO34" s="1555"/>
      <c r="BP34" s="1555"/>
      <c r="BQ34" s="1555"/>
      <c r="BR34" s="1562" t="s">
        <v>456</v>
      </c>
      <c r="BS34" s="1555"/>
      <c r="BT34" s="1555"/>
      <c r="BU34" s="1555"/>
      <c r="BV34" s="1555"/>
      <c r="BW34" s="1555"/>
      <c r="BX34" s="1555"/>
      <c r="BY34" s="1562" t="s">
        <v>456</v>
      </c>
      <c r="BZ34" s="1555"/>
      <c r="CA34" s="1555"/>
      <c r="CB34" s="1555"/>
      <c r="CC34" s="1555"/>
      <c r="CD34" s="1555"/>
      <c r="CE34" s="1555"/>
      <c r="CF34" s="1562" t="s">
        <v>456</v>
      </c>
      <c r="CG34" s="1555"/>
      <c r="CH34" s="1555"/>
      <c r="CI34" s="1555"/>
      <c r="CJ34" s="1555"/>
      <c r="CK34" s="1555"/>
      <c r="CL34" s="1555"/>
      <c r="CM34" s="1562" t="s">
        <v>456</v>
      </c>
      <c r="CN34" s="1555"/>
      <c r="CO34" s="1555"/>
      <c r="CP34" s="1555"/>
      <c r="CQ34" s="1555"/>
      <c r="CR34" s="1555"/>
      <c r="CS34" s="1555"/>
      <c r="CT34" s="1562" t="s">
        <v>456</v>
      </c>
      <c r="CW34" s="292"/>
      <c r="CX34" s="292"/>
      <c r="CY34" s="292"/>
      <c r="CZ34" s="292"/>
      <c r="DA34" s="292"/>
    </row>
    <row r="35" spans="1:105" ht="14.25" customHeight="1">
      <c r="Q35" s="300"/>
      <c r="R35" s="300"/>
      <c r="S35" s="1200"/>
      <c r="T35" s="286"/>
      <c r="U35" s="1158"/>
      <c r="V35" s="3902"/>
      <c r="W35" s="3902"/>
      <c r="X35" s="3902"/>
      <c r="Y35" s="3902"/>
      <c r="Z35" s="3902"/>
      <c r="AA35" s="3902"/>
      <c r="AB35" s="3902"/>
      <c r="AC35" s="3902"/>
      <c r="AD35" s="3902"/>
      <c r="AE35" s="3902"/>
      <c r="AF35" s="3902"/>
      <c r="AG35" s="3902"/>
      <c r="AH35" s="3902"/>
      <c r="AI35" s="3902"/>
      <c r="AJ35" s="3902" t="s">
        <v>103</v>
      </c>
      <c r="AK35" s="3902"/>
      <c r="AL35" s="3902"/>
      <c r="AM35" s="3902"/>
      <c r="AN35" s="3902"/>
      <c r="AO35" s="3902"/>
      <c r="AP35" s="3902"/>
      <c r="AQ35" s="3902" t="s">
        <v>103</v>
      </c>
      <c r="AR35" s="3902"/>
      <c r="AS35" s="3902"/>
      <c r="AT35" s="3902"/>
      <c r="AU35" s="3902"/>
      <c r="AV35" s="3902"/>
      <c r="AW35" s="3902"/>
      <c r="AX35" s="3902" t="s">
        <v>103</v>
      </c>
      <c r="AY35" s="3902"/>
      <c r="AZ35" s="3902"/>
      <c r="BA35" s="3902"/>
      <c r="BB35" s="3902"/>
      <c r="BC35" s="3902"/>
      <c r="BD35" s="3902"/>
      <c r="BE35" s="3902" t="s">
        <v>103</v>
      </c>
      <c r="BF35" s="3902"/>
      <c r="BG35" s="3902"/>
      <c r="BH35" s="3902"/>
      <c r="BI35" s="3902"/>
      <c r="BJ35" s="3902"/>
      <c r="BK35" s="3902"/>
      <c r="BL35" s="3902" t="s">
        <v>103</v>
      </c>
      <c r="BM35" s="3902"/>
      <c r="BN35" s="3902"/>
      <c r="BO35" s="3902"/>
      <c r="BP35" s="3902"/>
      <c r="BQ35" s="3902"/>
      <c r="BR35" s="3902"/>
      <c r="BS35" s="3902" t="s">
        <v>103</v>
      </c>
      <c r="BT35" s="3902"/>
      <c r="BU35" s="3902"/>
      <c r="BV35" s="3902"/>
      <c r="BW35" s="3902"/>
      <c r="BX35" s="3902"/>
      <c r="BY35" s="3902"/>
      <c r="BZ35" s="3902" t="s">
        <v>103</v>
      </c>
      <c r="CA35" s="3902"/>
      <c r="CB35" s="3902"/>
      <c r="CC35" s="3902"/>
      <c r="CD35" s="3902"/>
      <c r="CE35" s="3902"/>
      <c r="CF35" s="3902"/>
      <c r="CG35" s="3902" t="s">
        <v>103</v>
      </c>
      <c r="CH35" s="3902"/>
      <c r="CI35" s="3902"/>
      <c r="CJ35" s="3902"/>
      <c r="CK35" s="3902"/>
      <c r="CL35" s="3902"/>
      <c r="CM35" s="3902"/>
      <c r="CN35" s="3902" t="s">
        <v>103</v>
      </c>
      <c r="CO35" s="3902"/>
      <c r="CP35" s="3902"/>
      <c r="CQ35" s="3902"/>
      <c r="CR35" s="3902"/>
      <c r="CS35" s="3902"/>
      <c r="CT35" s="3902"/>
    </row>
    <row r="36" spans="1:105" ht="14.25" customHeight="1">
      <c r="Q36" s="300"/>
      <c r="R36" s="300"/>
      <c r="S36" s="3778" t="s">
        <v>329</v>
      </c>
      <c r="T36" s="3778"/>
      <c r="U36" s="3778"/>
      <c r="V36" s="3778"/>
      <c r="W36" s="3778"/>
      <c r="X36" s="3778"/>
      <c r="Y36" s="3778"/>
      <c r="Z36" s="3778"/>
      <c r="AA36" s="3778"/>
      <c r="AB36" s="3778"/>
      <c r="AC36" s="3778"/>
      <c r="AD36" s="3778"/>
      <c r="AE36" s="3778"/>
      <c r="AF36" s="3778"/>
      <c r="AG36" s="3778"/>
      <c r="AH36" s="3778"/>
      <c r="AI36" s="3778"/>
      <c r="AJ36" s="3778" t="s">
        <v>329</v>
      </c>
      <c r="AK36" s="3778"/>
      <c r="AL36" s="3778"/>
      <c r="AM36" s="3778"/>
      <c r="AN36" s="3778"/>
      <c r="AO36" s="3778"/>
      <c r="AP36" s="3778"/>
      <c r="AQ36" s="3778" t="s">
        <v>329</v>
      </c>
      <c r="AR36" s="3778"/>
      <c r="AS36" s="3778"/>
      <c r="AT36" s="3778"/>
      <c r="AU36" s="3778"/>
      <c r="AV36" s="3778"/>
      <c r="AW36" s="3778"/>
      <c r="AX36" s="3778" t="s">
        <v>329</v>
      </c>
      <c r="AY36" s="3778"/>
      <c r="AZ36" s="3778"/>
      <c r="BA36" s="3778"/>
      <c r="BB36" s="3778"/>
      <c r="BC36" s="3778"/>
      <c r="BD36" s="3778"/>
      <c r="BE36" s="3778" t="s">
        <v>329</v>
      </c>
      <c r="BF36" s="3778"/>
      <c r="BG36" s="3778"/>
      <c r="BH36" s="3778"/>
      <c r="BI36" s="3778"/>
      <c r="BJ36" s="3778"/>
      <c r="BK36" s="3778"/>
      <c r="BL36" s="3778" t="s">
        <v>329</v>
      </c>
      <c r="BM36" s="3778"/>
      <c r="BN36" s="3778"/>
      <c r="BO36" s="3778"/>
      <c r="BP36" s="3778"/>
      <c r="BQ36" s="3778"/>
      <c r="BR36" s="3778"/>
      <c r="BS36" s="3778" t="s">
        <v>329</v>
      </c>
      <c r="BT36" s="3778"/>
      <c r="BU36" s="3778"/>
      <c r="BV36" s="3778"/>
      <c r="BW36" s="3778"/>
      <c r="BX36" s="3778"/>
      <c r="BY36" s="3778"/>
      <c r="BZ36" s="3778" t="s">
        <v>329</v>
      </c>
      <c r="CA36" s="3778"/>
      <c r="CB36" s="3778"/>
      <c r="CC36" s="3778"/>
      <c r="CD36" s="3778"/>
      <c r="CE36" s="3778"/>
      <c r="CF36" s="3778"/>
      <c r="CG36" s="3778" t="s">
        <v>329</v>
      </c>
      <c r="CH36" s="3778"/>
      <c r="CI36" s="3778"/>
      <c r="CJ36" s="3778"/>
      <c r="CK36" s="3778"/>
      <c r="CL36" s="3778"/>
      <c r="CM36" s="3778"/>
      <c r="CN36" s="3778" t="s">
        <v>329</v>
      </c>
      <c r="CO36" s="3778"/>
      <c r="CP36" s="3778"/>
      <c r="CQ36" s="3778"/>
      <c r="CR36" s="3778"/>
      <c r="CS36" s="3778"/>
      <c r="CT36" s="3778"/>
      <c r="CU36" s="3778"/>
      <c r="CV36" s="3778"/>
    </row>
    <row r="37" spans="1:105" ht="14.25" customHeight="1">
      <c r="Q37" s="300"/>
      <c r="R37" s="300"/>
      <c r="S37" s="3916" t="s">
        <v>86</v>
      </c>
      <c r="T37" s="3868" t="s">
        <v>457</v>
      </c>
      <c r="U37" s="215"/>
      <c r="V37" s="3917" t="s">
        <v>458</v>
      </c>
      <c r="W37" s="3918"/>
      <c r="X37" s="3918"/>
      <c r="Y37" s="3918"/>
      <c r="Z37" s="3918"/>
      <c r="AA37" s="3919"/>
      <c r="AB37" s="3920" t="s">
        <v>459</v>
      </c>
      <c r="AC37" s="3917" t="s">
        <v>458</v>
      </c>
      <c r="AD37" s="3918"/>
      <c r="AE37" s="3918"/>
      <c r="AF37" s="3918"/>
      <c r="AG37" s="3918"/>
      <c r="AH37" s="3919"/>
      <c r="AI37" s="3920" t="s">
        <v>460</v>
      </c>
      <c r="AJ37" s="3917" t="s">
        <v>458</v>
      </c>
      <c r="AK37" s="3918"/>
      <c r="AL37" s="3918"/>
      <c r="AM37" s="3918"/>
      <c r="AN37" s="3918"/>
      <c r="AO37" s="3919"/>
      <c r="AP37" s="3920" t="s">
        <v>459</v>
      </c>
      <c r="AQ37" s="3917" t="s">
        <v>458</v>
      </c>
      <c r="AR37" s="3918"/>
      <c r="AS37" s="3918"/>
      <c r="AT37" s="3918"/>
      <c r="AU37" s="3918"/>
      <c r="AV37" s="3919"/>
      <c r="AW37" s="3920" t="s">
        <v>459</v>
      </c>
      <c r="AX37" s="3917" t="s">
        <v>458</v>
      </c>
      <c r="AY37" s="3918"/>
      <c r="AZ37" s="3918"/>
      <c r="BA37" s="3918"/>
      <c r="BB37" s="3918"/>
      <c r="BC37" s="3919"/>
      <c r="BD37" s="3920" t="s">
        <v>459</v>
      </c>
      <c r="BE37" s="3917" t="s">
        <v>458</v>
      </c>
      <c r="BF37" s="3918"/>
      <c r="BG37" s="3918"/>
      <c r="BH37" s="3918"/>
      <c r="BI37" s="3918"/>
      <c r="BJ37" s="3919"/>
      <c r="BK37" s="3920" t="s">
        <v>459</v>
      </c>
      <c r="BL37" s="3917" t="s">
        <v>458</v>
      </c>
      <c r="BM37" s="3918"/>
      <c r="BN37" s="3918"/>
      <c r="BO37" s="3918"/>
      <c r="BP37" s="3918"/>
      <c r="BQ37" s="3919"/>
      <c r="BR37" s="3920" t="s">
        <v>459</v>
      </c>
      <c r="BS37" s="3917" t="s">
        <v>458</v>
      </c>
      <c r="BT37" s="3918"/>
      <c r="BU37" s="3918"/>
      <c r="BV37" s="3918"/>
      <c r="BW37" s="3918"/>
      <c r="BX37" s="3919"/>
      <c r="BY37" s="3920" t="s">
        <v>459</v>
      </c>
      <c r="BZ37" s="3917" t="s">
        <v>458</v>
      </c>
      <c r="CA37" s="3918"/>
      <c r="CB37" s="3918"/>
      <c r="CC37" s="3918"/>
      <c r="CD37" s="3918"/>
      <c r="CE37" s="3919"/>
      <c r="CF37" s="3920" t="s">
        <v>459</v>
      </c>
      <c r="CG37" s="3917" t="s">
        <v>458</v>
      </c>
      <c r="CH37" s="3918"/>
      <c r="CI37" s="3918"/>
      <c r="CJ37" s="3918"/>
      <c r="CK37" s="3918"/>
      <c r="CL37" s="3919"/>
      <c r="CM37" s="3920" t="s">
        <v>459</v>
      </c>
      <c r="CN37" s="3917" t="s">
        <v>458</v>
      </c>
      <c r="CO37" s="3918"/>
      <c r="CP37" s="3918"/>
      <c r="CQ37" s="3918"/>
      <c r="CR37" s="3918"/>
      <c r="CS37" s="3919"/>
      <c r="CT37" s="3920" t="s">
        <v>459</v>
      </c>
      <c r="CU37" s="3923" t="s">
        <v>461</v>
      </c>
      <c r="CV37" s="3778"/>
    </row>
    <row r="38" spans="1:105" ht="33.75" customHeight="1">
      <c r="Q38" s="300"/>
      <c r="R38" s="300"/>
      <c r="S38" s="3916"/>
      <c r="T38" s="3868"/>
      <c r="U38" s="942"/>
      <c r="V38" s="1370" t="s">
        <v>517</v>
      </c>
      <c r="W38" s="3749" t="s">
        <v>464</v>
      </c>
      <c r="X38" s="3748"/>
      <c r="Y38" s="3749" t="s">
        <v>465</v>
      </c>
      <c r="Z38" s="3754"/>
      <c r="AA38" s="3748"/>
      <c r="AB38" s="3921"/>
      <c r="AC38" s="1370" t="s">
        <v>517</v>
      </c>
      <c r="AD38" s="3749" t="s">
        <v>464</v>
      </c>
      <c r="AE38" s="3748"/>
      <c r="AF38" s="3749" t="s">
        <v>465</v>
      </c>
      <c r="AG38" s="3754"/>
      <c r="AH38" s="3748"/>
      <c r="AI38" s="3921"/>
      <c r="AJ38" s="1809" t="s">
        <v>517</v>
      </c>
      <c r="AK38" s="3749" t="s">
        <v>464</v>
      </c>
      <c r="AL38" s="3748"/>
      <c r="AM38" s="3749" t="s">
        <v>465</v>
      </c>
      <c r="AN38" s="3754"/>
      <c r="AO38" s="3748"/>
      <c r="AP38" s="3921"/>
      <c r="AQ38" s="1809" t="s">
        <v>517</v>
      </c>
      <c r="AR38" s="3749" t="s">
        <v>464</v>
      </c>
      <c r="AS38" s="3748"/>
      <c r="AT38" s="3749" t="s">
        <v>465</v>
      </c>
      <c r="AU38" s="3754"/>
      <c r="AV38" s="3748"/>
      <c r="AW38" s="3921"/>
      <c r="AX38" s="1809" t="s">
        <v>517</v>
      </c>
      <c r="AY38" s="3749" t="s">
        <v>464</v>
      </c>
      <c r="AZ38" s="3748"/>
      <c r="BA38" s="3749" t="s">
        <v>465</v>
      </c>
      <c r="BB38" s="3754"/>
      <c r="BC38" s="3748"/>
      <c r="BD38" s="3921"/>
      <c r="BE38" s="1809" t="s">
        <v>517</v>
      </c>
      <c r="BF38" s="3749" t="s">
        <v>464</v>
      </c>
      <c r="BG38" s="3748"/>
      <c r="BH38" s="3749" t="s">
        <v>465</v>
      </c>
      <c r="BI38" s="3754"/>
      <c r="BJ38" s="3748"/>
      <c r="BK38" s="3921"/>
      <c r="BL38" s="1809" t="s">
        <v>517</v>
      </c>
      <c r="BM38" s="3749" t="s">
        <v>464</v>
      </c>
      <c r="BN38" s="3748"/>
      <c r="BO38" s="3749" t="s">
        <v>465</v>
      </c>
      <c r="BP38" s="3754"/>
      <c r="BQ38" s="3748"/>
      <c r="BR38" s="3921"/>
      <c r="BS38" s="1809" t="s">
        <v>517</v>
      </c>
      <c r="BT38" s="3749" t="s">
        <v>464</v>
      </c>
      <c r="BU38" s="3748"/>
      <c r="BV38" s="3749" t="s">
        <v>465</v>
      </c>
      <c r="BW38" s="3754"/>
      <c r="BX38" s="3748"/>
      <c r="BY38" s="3921"/>
      <c r="BZ38" s="1809" t="s">
        <v>517</v>
      </c>
      <c r="CA38" s="3749" t="s">
        <v>464</v>
      </c>
      <c r="CB38" s="3748"/>
      <c r="CC38" s="3749" t="s">
        <v>465</v>
      </c>
      <c r="CD38" s="3754"/>
      <c r="CE38" s="3748"/>
      <c r="CF38" s="3921"/>
      <c r="CG38" s="1809" t="s">
        <v>517</v>
      </c>
      <c r="CH38" s="3749" t="s">
        <v>464</v>
      </c>
      <c r="CI38" s="3748"/>
      <c r="CJ38" s="3749" t="s">
        <v>465</v>
      </c>
      <c r="CK38" s="3754"/>
      <c r="CL38" s="3748"/>
      <c r="CM38" s="3921"/>
      <c r="CN38" s="1809" t="s">
        <v>517</v>
      </c>
      <c r="CO38" s="3749" t="s">
        <v>464</v>
      </c>
      <c r="CP38" s="3748"/>
      <c r="CQ38" s="3749" t="s">
        <v>465</v>
      </c>
      <c r="CR38" s="3754"/>
      <c r="CS38" s="3748"/>
      <c r="CT38" s="3921"/>
      <c r="CU38" s="3924"/>
      <c r="CV38" s="3778"/>
    </row>
    <row r="39" spans="1:105" ht="33.75" customHeight="1">
      <c r="A39" s="1291"/>
      <c r="B39" s="1291" t="s">
        <v>153</v>
      </c>
      <c r="C39" s="1291" t="s">
        <v>154</v>
      </c>
      <c r="D39" s="1291" t="s">
        <v>155</v>
      </c>
      <c r="E39" s="1285" t="s">
        <v>466</v>
      </c>
      <c r="F39" s="1285" t="s">
        <v>467</v>
      </c>
      <c r="G39" s="1285" t="s">
        <v>468</v>
      </c>
      <c r="H39" s="1285"/>
      <c r="I39" s="1285" t="s">
        <v>518</v>
      </c>
      <c r="J39" s="1285" t="s">
        <v>471</v>
      </c>
      <c r="K39" s="1285" t="s">
        <v>519</v>
      </c>
      <c r="L39" s="1285" t="s">
        <v>447</v>
      </c>
      <c r="Q39" s="300"/>
      <c r="R39" s="300"/>
      <c r="S39" s="3916"/>
      <c r="T39" s="3868"/>
      <c r="U39" s="216"/>
      <c r="V39" s="1370" t="s">
        <v>520</v>
      </c>
      <c r="W39" s="1133" t="s">
        <v>521</v>
      </c>
      <c r="X39" s="1133" t="s">
        <v>522</v>
      </c>
      <c r="Y39" s="1373" t="s">
        <v>475</v>
      </c>
      <c r="Z39" s="3876" t="s">
        <v>476</v>
      </c>
      <c r="AA39" s="3878"/>
      <c r="AB39" s="3922"/>
      <c r="AC39" s="1370" t="s">
        <v>520</v>
      </c>
      <c r="AD39" s="1133" t="s">
        <v>521</v>
      </c>
      <c r="AE39" s="1133" t="s">
        <v>522</v>
      </c>
      <c r="AF39" s="1373" t="s">
        <v>475</v>
      </c>
      <c r="AG39" s="3876" t="s">
        <v>476</v>
      </c>
      <c r="AH39" s="3878"/>
      <c r="AI39" s="3922"/>
      <c r="AJ39" s="1809" t="s">
        <v>520</v>
      </c>
      <c r="AK39" s="1824" t="s">
        <v>521</v>
      </c>
      <c r="AL39" s="1824" t="s">
        <v>522</v>
      </c>
      <c r="AM39" s="1824" t="s">
        <v>475</v>
      </c>
      <c r="AN39" s="3876" t="s">
        <v>476</v>
      </c>
      <c r="AO39" s="3878"/>
      <c r="AP39" s="3922"/>
      <c r="AQ39" s="1809" t="s">
        <v>520</v>
      </c>
      <c r="AR39" s="1824" t="s">
        <v>521</v>
      </c>
      <c r="AS39" s="1824" t="s">
        <v>522</v>
      </c>
      <c r="AT39" s="1824" t="s">
        <v>475</v>
      </c>
      <c r="AU39" s="3876" t="s">
        <v>476</v>
      </c>
      <c r="AV39" s="3878"/>
      <c r="AW39" s="3922"/>
      <c r="AX39" s="1809" t="s">
        <v>520</v>
      </c>
      <c r="AY39" s="1824" t="s">
        <v>521</v>
      </c>
      <c r="AZ39" s="1824" t="s">
        <v>522</v>
      </c>
      <c r="BA39" s="1824" t="s">
        <v>475</v>
      </c>
      <c r="BB39" s="3876" t="s">
        <v>476</v>
      </c>
      <c r="BC39" s="3878"/>
      <c r="BD39" s="3922"/>
      <c r="BE39" s="1809" t="s">
        <v>520</v>
      </c>
      <c r="BF39" s="1824" t="s">
        <v>521</v>
      </c>
      <c r="BG39" s="1824" t="s">
        <v>522</v>
      </c>
      <c r="BH39" s="1824" t="s">
        <v>475</v>
      </c>
      <c r="BI39" s="3876" t="s">
        <v>476</v>
      </c>
      <c r="BJ39" s="3878"/>
      <c r="BK39" s="3922"/>
      <c r="BL39" s="1809" t="s">
        <v>520</v>
      </c>
      <c r="BM39" s="1824" t="s">
        <v>521</v>
      </c>
      <c r="BN39" s="1824" t="s">
        <v>522</v>
      </c>
      <c r="BO39" s="1824" t="s">
        <v>475</v>
      </c>
      <c r="BP39" s="3876" t="s">
        <v>476</v>
      </c>
      <c r="BQ39" s="3878"/>
      <c r="BR39" s="3922"/>
      <c r="BS39" s="1809" t="s">
        <v>520</v>
      </c>
      <c r="BT39" s="1824" t="s">
        <v>521</v>
      </c>
      <c r="BU39" s="1824" t="s">
        <v>522</v>
      </c>
      <c r="BV39" s="1824" t="s">
        <v>475</v>
      </c>
      <c r="BW39" s="3876" t="s">
        <v>476</v>
      </c>
      <c r="BX39" s="3878"/>
      <c r="BY39" s="3922"/>
      <c r="BZ39" s="1809" t="s">
        <v>520</v>
      </c>
      <c r="CA39" s="1824" t="s">
        <v>521</v>
      </c>
      <c r="CB39" s="1824" t="s">
        <v>522</v>
      </c>
      <c r="CC39" s="1824" t="s">
        <v>475</v>
      </c>
      <c r="CD39" s="3876" t="s">
        <v>476</v>
      </c>
      <c r="CE39" s="3878"/>
      <c r="CF39" s="3922"/>
      <c r="CG39" s="1809" t="s">
        <v>520</v>
      </c>
      <c r="CH39" s="1824" t="s">
        <v>521</v>
      </c>
      <c r="CI39" s="1824" t="s">
        <v>522</v>
      </c>
      <c r="CJ39" s="1824" t="s">
        <v>475</v>
      </c>
      <c r="CK39" s="3876" t="s">
        <v>476</v>
      </c>
      <c r="CL39" s="3878"/>
      <c r="CM39" s="3922"/>
      <c r="CN39" s="1809" t="s">
        <v>520</v>
      </c>
      <c r="CO39" s="1824" t="s">
        <v>521</v>
      </c>
      <c r="CP39" s="1824" t="s">
        <v>522</v>
      </c>
      <c r="CQ39" s="1824" t="s">
        <v>475</v>
      </c>
      <c r="CR39" s="3876" t="s">
        <v>476</v>
      </c>
      <c r="CS39" s="3878"/>
      <c r="CT39" s="3922"/>
      <c r="CU39" s="3925"/>
      <c r="CV39" s="3778"/>
    </row>
    <row r="40" spans="1:105"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129</v>
      </c>
      <c r="T40" s="1177" t="s">
        <v>102</v>
      </c>
      <c r="U40" s="1159" t="str">
        <f ca="1">OFFSET(U40,0,-1)</f>
        <v>2</v>
      </c>
      <c r="V40" s="1369">
        <f ca="1">OFFSET(V40,0,-1)+1</f>
        <v>3</v>
      </c>
      <c r="W40" s="1369">
        <f ca="1">OFFSET(W40,0,-1)+1</f>
        <v>4</v>
      </c>
      <c r="X40" s="1369">
        <f ca="1">OFFSET(X40,0,-1)+1</f>
        <v>5</v>
      </c>
      <c r="Y40" s="1369">
        <f ca="1">OFFSET(Y40,0,-1)+1</f>
        <v>6</v>
      </c>
      <c r="Z40" s="3915">
        <f ca="1">OFFSET(Z40,0,-1)+1</f>
        <v>7</v>
      </c>
      <c r="AA40" s="3915"/>
      <c r="AB40" s="1369">
        <f ca="1">OFFSET(AB40,0,-2)+1</f>
        <v>8</v>
      </c>
      <c r="AC40" s="1369">
        <f ca="1">OFFSET(AC40,0,-1)+1</f>
        <v>9</v>
      </c>
      <c r="AD40" s="1369">
        <f ca="1">OFFSET(AD40,0,-1)+1</f>
        <v>10</v>
      </c>
      <c r="AE40" s="1369">
        <f ca="1">OFFSET(AE40,0,-1)+1</f>
        <v>11</v>
      </c>
      <c r="AF40" s="1369">
        <f ca="1">OFFSET(AF40,0,-1)+1</f>
        <v>12</v>
      </c>
      <c r="AG40" s="3915">
        <f ca="1">OFFSET(AG40,0,-1)+1</f>
        <v>13</v>
      </c>
      <c r="AH40" s="3915"/>
      <c r="AI40" s="1369">
        <f ca="1">OFFSET(AI40,0,-2)+1</f>
        <v>14</v>
      </c>
      <c r="AJ40" s="1812">
        <f ca="1">OFFSET(AJ40,0,-1)+1</f>
        <v>15</v>
      </c>
      <c r="AK40" s="1812">
        <f ca="1">OFFSET(AK40,0,-1)+1</f>
        <v>16</v>
      </c>
      <c r="AL40" s="1812">
        <f ca="1">OFFSET(AL40,0,-1)+1</f>
        <v>17</v>
      </c>
      <c r="AM40" s="1812">
        <f ca="1">OFFSET(AM40,0,-1)+1</f>
        <v>18</v>
      </c>
      <c r="AN40" s="3915">
        <f ca="1">OFFSET(AN40,0,-1)+1</f>
        <v>19</v>
      </c>
      <c r="AO40" s="3915"/>
      <c r="AP40" s="1812">
        <f ca="1">OFFSET(AP40,0,-2)+1</f>
        <v>20</v>
      </c>
      <c r="AQ40" s="1812">
        <f ca="1">OFFSET(AQ40,0,-1)+1</f>
        <v>21</v>
      </c>
      <c r="AR40" s="1812">
        <f ca="1">OFFSET(AR40,0,-1)+1</f>
        <v>22</v>
      </c>
      <c r="AS40" s="1812">
        <f ca="1">OFFSET(AS40,0,-1)+1</f>
        <v>23</v>
      </c>
      <c r="AT40" s="1812">
        <f ca="1">OFFSET(AT40,0,-1)+1</f>
        <v>24</v>
      </c>
      <c r="AU40" s="3915">
        <f ca="1">OFFSET(AU40,0,-1)+1</f>
        <v>25</v>
      </c>
      <c r="AV40" s="3915"/>
      <c r="AW40" s="1812">
        <f ca="1">OFFSET(AW40,0,-2)+1</f>
        <v>26</v>
      </c>
      <c r="AX40" s="1812">
        <f ca="1">OFFSET(AX40,0,-1)+1</f>
        <v>27</v>
      </c>
      <c r="AY40" s="1812">
        <f ca="1">OFFSET(AY40,0,-1)+1</f>
        <v>28</v>
      </c>
      <c r="AZ40" s="1812">
        <f ca="1">OFFSET(AZ40,0,-1)+1</f>
        <v>29</v>
      </c>
      <c r="BA40" s="1812">
        <f ca="1">OFFSET(BA40,0,-1)+1</f>
        <v>30</v>
      </c>
      <c r="BB40" s="3915">
        <f ca="1">OFFSET(BB40,0,-1)+1</f>
        <v>31</v>
      </c>
      <c r="BC40" s="3915"/>
      <c r="BD40" s="1812">
        <f ca="1">OFFSET(BD40,0,-2)+1</f>
        <v>32</v>
      </c>
      <c r="BE40" s="1812">
        <f ca="1">OFFSET(BE40,0,-1)+1</f>
        <v>33</v>
      </c>
      <c r="BF40" s="1812">
        <f ca="1">OFFSET(BF40,0,-1)+1</f>
        <v>34</v>
      </c>
      <c r="BG40" s="1812">
        <f ca="1">OFFSET(BG40,0,-1)+1</f>
        <v>35</v>
      </c>
      <c r="BH40" s="1812">
        <f ca="1">OFFSET(BH40,0,-1)+1</f>
        <v>36</v>
      </c>
      <c r="BI40" s="3915">
        <f ca="1">OFFSET(BI40,0,-1)+1</f>
        <v>37</v>
      </c>
      <c r="BJ40" s="3915"/>
      <c r="BK40" s="1812">
        <f ca="1">OFFSET(BK40,0,-2)+1</f>
        <v>38</v>
      </c>
      <c r="BL40" s="1812">
        <f ca="1">OFFSET(BL40,0,-1)+1</f>
        <v>39</v>
      </c>
      <c r="BM40" s="1812">
        <f ca="1">OFFSET(BM40,0,-1)+1</f>
        <v>40</v>
      </c>
      <c r="BN40" s="1812">
        <f ca="1">OFFSET(BN40,0,-1)+1</f>
        <v>41</v>
      </c>
      <c r="BO40" s="1812">
        <f ca="1">OFFSET(BO40,0,-1)+1</f>
        <v>42</v>
      </c>
      <c r="BP40" s="3915">
        <f ca="1">OFFSET(BP40,0,-1)+1</f>
        <v>43</v>
      </c>
      <c r="BQ40" s="3915"/>
      <c r="BR40" s="1812">
        <f ca="1">OFFSET(BR40,0,-2)+1</f>
        <v>44</v>
      </c>
      <c r="BS40" s="1812">
        <f ca="1">OFFSET(BS40,0,-1)+1</f>
        <v>45</v>
      </c>
      <c r="BT40" s="1812">
        <f ca="1">OFFSET(BT40,0,-1)+1</f>
        <v>46</v>
      </c>
      <c r="BU40" s="1812">
        <f ca="1">OFFSET(BU40,0,-1)+1</f>
        <v>47</v>
      </c>
      <c r="BV40" s="1812">
        <f ca="1">OFFSET(BV40,0,-1)+1</f>
        <v>48</v>
      </c>
      <c r="BW40" s="3915">
        <f ca="1">OFFSET(BW40,0,-1)+1</f>
        <v>49</v>
      </c>
      <c r="BX40" s="3915"/>
      <c r="BY40" s="1812">
        <f ca="1">OFFSET(BY40,0,-2)+1</f>
        <v>50</v>
      </c>
      <c r="BZ40" s="1812">
        <f ca="1">OFFSET(BZ40,0,-1)+1</f>
        <v>51</v>
      </c>
      <c r="CA40" s="1812">
        <f ca="1">OFFSET(CA40,0,-1)+1</f>
        <v>52</v>
      </c>
      <c r="CB40" s="1812">
        <f ca="1">OFFSET(CB40,0,-1)+1</f>
        <v>53</v>
      </c>
      <c r="CC40" s="1812">
        <f ca="1">OFFSET(CC40,0,-1)+1</f>
        <v>54</v>
      </c>
      <c r="CD40" s="3915">
        <f ca="1">OFFSET(CD40,0,-1)+1</f>
        <v>55</v>
      </c>
      <c r="CE40" s="3915"/>
      <c r="CF40" s="1812">
        <f ca="1">OFFSET(CF40,0,-2)+1</f>
        <v>56</v>
      </c>
      <c r="CG40" s="1812">
        <f ca="1">OFFSET(CG40,0,-1)+1</f>
        <v>57</v>
      </c>
      <c r="CH40" s="1812">
        <f ca="1">OFFSET(CH40,0,-1)+1</f>
        <v>58</v>
      </c>
      <c r="CI40" s="1812">
        <f ca="1">OFFSET(CI40,0,-1)+1</f>
        <v>59</v>
      </c>
      <c r="CJ40" s="1812">
        <f ca="1">OFFSET(CJ40,0,-1)+1</f>
        <v>60</v>
      </c>
      <c r="CK40" s="3915">
        <f ca="1">OFFSET(CK40,0,-1)+1</f>
        <v>61</v>
      </c>
      <c r="CL40" s="3915"/>
      <c r="CM40" s="1812">
        <f ca="1">OFFSET(CM40,0,-2)+1</f>
        <v>62</v>
      </c>
      <c r="CN40" s="1812">
        <f ca="1">OFFSET(CN40,0,-1)+1</f>
        <v>63</v>
      </c>
      <c r="CO40" s="1812">
        <f ca="1">OFFSET(CO40,0,-1)+1</f>
        <v>64</v>
      </c>
      <c r="CP40" s="1812">
        <f ca="1">OFFSET(CP40,0,-1)+1</f>
        <v>65</v>
      </c>
      <c r="CQ40" s="1812">
        <f ca="1">OFFSET(CQ40,0,-1)+1</f>
        <v>66</v>
      </c>
      <c r="CR40" s="3915">
        <f ca="1">OFFSET(CR40,0,-1)+1</f>
        <v>67</v>
      </c>
      <c r="CS40" s="3915"/>
      <c r="CT40" s="1812">
        <f ca="1">OFFSET(CT40,0,-2)+1</f>
        <v>68</v>
      </c>
      <c r="CU40" s="1159">
        <f ca="1">OFFSET(CU40,0,-1)</f>
        <v>68</v>
      </c>
      <c r="CV40" s="1369">
        <f ca="1">OFFSET(CV40,0,-1)+1</f>
        <v>69</v>
      </c>
      <c r="CW40" s="435"/>
      <c r="CX40" s="435"/>
      <c r="CY40" s="435"/>
      <c r="CZ40" s="435"/>
      <c r="DA40" s="435"/>
    </row>
    <row r="41" spans="1:105" ht="23.25" customHeight="1">
      <c r="A41" s="1284" t="s">
        <v>237</v>
      </c>
      <c r="B41" s="1284"/>
      <c r="C41" s="1284"/>
      <c r="D41" s="1284"/>
      <c r="E41" s="3908">
        <v>1</v>
      </c>
      <c r="F41" s="1284"/>
      <c r="G41" s="1284"/>
      <c r="H41" s="1284"/>
      <c r="I41" s="1284"/>
      <c r="J41" s="1284"/>
      <c r="K41" s="1284"/>
      <c r="L41" s="1285"/>
      <c r="M41" s="1286"/>
      <c r="N41" s="1286"/>
      <c r="O41" s="1286"/>
      <c r="P41" s="282"/>
      <c r="Q41" s="281"/>
      <c r="R41" s="276"/>
      <c r="S41" s="1375">
        <f>INDEX(PT_DIFFERENTIATION_NUM_NTAR,MATCH(A41,PT_DIFFERENTIATION_NTAR_ID,0))</f>
        <v>1</v>
      </c>
      <c r="T41" s="212" t="s">
        <v>141</v>
      </c>
      <c r="U41" s="214"/>
      <c r="V41" s="3894"/>
      <c r="W41" s="3895"/>
      <c r="X41" s="3895"/>
      <c r="Y41" s="3895"/>
      <c r="Z41" s="3895"/>
      <c r="AA41" s="3895"/>
      <c r="AB41" s="3896"/>
      <c r="AC41" s="3894" t="str">
        <f>INDEX(PT_DIFFERENTIATION_NTAR,MATCH(A41,PT_DIFFERENTIATION_NTAR_ID,0))</f>
        <v>Тариф на техническую воду для потребителей, присоединенных к централизованной системе технического водоснабжения города Буденновска Буденновского муниципального округа</v>
      </c>
      <c r="AD41" s="3895"/>
      <c r="AE41" s="3895"/>
      <c r="AF41" s="3895"/>
      <c r="AG41" s="3895"/>
      <c r="AH41" s="3895"/>
      <c r="AI41" s="3895"/>
      <c r="AJ41" s="3894"/>
      <c r="AK41" s="3895"/>
      <c r="AL41" s="3895"/>
      <c r="AM41" s="3895"/>
      <c r="AN41" s="3895"/>
      <c r="AO41" s="3895"/>
      <c r="AP41" s="3896"/>
      <c r="AQ41" s="3894"/>
      <c r="AR41" s="3895"/>
      <c r="AS41" s="3895"/>
      <c r="AT41" s="3895"/>
      <c r="AU41" s="3895"/>
      <c r="AV41" s="3895"/>
      <c r="AW41" s="3896"/>
      <c r="AX41" s="3894"/>
      <c r="AY41" s="3895"/>
      <c r="AZ41" s="3895"/>
      <c r="BA41" s="3895"/>
      <c r="BB41" s="3895"/>
      <c r="BC41" s="3895"/>
      <c r="BD41" s="3896"/>
      <c r="BE41" s="3894"/>
      <c r="BF41" s="3895"/>
      <c r="BG41" s="3895"/>
      <c r="BH41" s="3895"/>
      <c r="BI41" s="3895"/>
      <c r="BJ41" s="3895"/>
      <c r="BK41" s="3896"/>
      <c r="BL41" s="3894"/>
      <c r="BM41" s="3895"/>
      <c r="BN41" s="3895"/>
      <c r="BO41" s="3895"/>
      <c r="BP41" s="3895"/>
      <c r="BQ41" s="3895"/>
      <c r="BR41" s="3896"/>
      <c r="BS41" s="3894"/>
      <c r="BT41" s="3895"/>
      <c r="BU41" s="3895"/>
      <c r="BV41" s="3895"/>
      <c r="BW41" s="3895"/>
      <c r="BX41" s="3895"/>
      <c r="BY41" s="3896"/>
      <c r="BZ41" s="3894"/>
      <c r="CA41" s="3895"/>
      <c r="CB41" s="3895"/>
      <c r="CC41" s="3895"/>
      <c r="CD41" s="3895"/>
      <c r="CE41" s="3895"/>
      <c r="CF41" s="3896"/>
      <c r="CG41" s="3894"/>
      <c r="CH41" s="3895"/>
      <c r="CI41" s="3895"/>
      <c r="CJ41" s="3895"/>
      <c r="CK41" s="3895"/>
      <c r="CL41" s="3895"/>
      <c r="CM41" s="3896"/>
      <c r="CN41" s="3894"/>
      <c r="CO41" s="3895"/>
      <c r="CP41" s="3895"/>
      <c r="CQ41" s="3895"/>
      <c r="CR41" s="3895"/>
      <c r="CS41" s="3895"/>
      <c r="CT41" s="3896"/>
      <c r="CU41" s="3896"/>
      <c r="CV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4"/>
      <c r="CY41" s="424" t="str">
        <f t="shared" ref="CY41:CY72" si="1">IF(T41="","",T41)</f>
        <v>Наименование тарифа</v>
      </c>
      <c r="CZ41" s="424"/>
      <c r="DA41" s="424"/>
    </row>
    <row r="42" spans="1:105" ht="23.25" customHeight="1">
      <c r="A42" s="1284" t="s">
        <v>237</v>
      </c>
      <c r="B42" s="1284" t="s">
        <v>238</v>
      </c>
      <c r="C42" s="1284"/>
      <c r="D42" s="1284"/>
      <c r="E42" s="3909"/>
      <c r="F42" s="3908">
        <v>1</v>
      </c>
      <c r="G42" s="1284"/>
      <c r="H42" s="1284"/>
      <c r="I42" s="1284"/>
      <c r="J42" s="1284"/>
      <c r="K42" s="1284"/>
      <c r="L42" s="1285"/>
      <c r="M42" s="1286"/>
      <c r="N42" s="1286"/>
      <c r="O42" s="1286"/>
      <c r="P42" s="1371"/>
      <c r="Q42" s="273"/>
      <c r="R42" s="274"/>
      <c r="S42" s="1375" t="str">
        <f>INDEX(PT_DIFFERENTIATION_NUM_TER,MATCH(B42,PT_DIFFERENTIATION_TER_ID,0))</f>
        <v>1.1</v>
      </c>
      <c r="T42" s="224" t="s">
        <v>428</v>
      </c>
      <c r="U42" s="214"/>
      <c r="V42" s="3894"/>
      <c r="W42" s="3895"/>
      <c r="X42" s="3895"/>
      <c r="Y42" s="3895"/>
      <c r="Z42" s="3895"/>
      <c r="AA42" s="3895"/>
      <c r="AB42" s="3896"/>
      <c r="AC42" s="3894" t="str">
        <f>INDEX(PT_DIFFERENTIATION_TER,MATCH(B42,PT_DIFFERENTIATION_TER_ID,0))</f>
        <v>Территория 1</v>
      </c>
      <c r="AD42" s="3895"/>
      <c r="AE42" s="3895"/>
      <c r="AF42" s="3895"/>
      <c r="AG42" s="3895"/>
      <c r="AH42" s="3895"/>
      <c r="AI42" s="3895"/>
      <c r="AJ42" s="3894"/>
      <c r="AK42" s="3895"/>
      <c r="AL42" s="3895"/>
      <c r="AM42" s="3895"/>
      <c r="AN42" s="3895"/>
      <c r="AO42" s="3895"/>
      <c r="AP42" s="3896"/>
      <c r="AQ42" s="3894"/>
      <c r="AR42" s="3895"/>
      <c r="AS42" s="3895"/>
      <c r="AT42" s="3895"/>
      <c r="AU42" s="3895"/>
      <c r="AV42" s="3895"/>
      <c r="AW42" s="3896"/>
      <c r="AX42" s="3894"/>
      <c r="AY42" s="3895"/>
      <c r="AZ42" s="3895"/>
      <c r="BA42" s="3895"/>
      <c r="BB42" s="3895"/>
      <c r="BC42" s="3895"/>
      <c r="BD42" s="3896"/>
      <c r="BE42" s="3894"/>
      <c r="BF42" s="3895"/>
      <c r="BG42" s="3895"/>
      <c r="BH42" s="3895"/>
      <c r="BI42" s="3895"/>
      <c r="BJ42" s="3895"/>
      <c r="BK42" s="3896"/>
      <c r="BL42" s="3894"/>
      <c r="BM42" s="3895"/>
      <c r="BN42" s="3895"/>
      <c r="BO42" s="3895"/>
      <c r="BP42" s="3895"/>
      <c r="BQ42" s="3895"/>
      <c r="BR42" s="3896"/>
      <c r="BS42" s="3894"/>
      <c r="BT42" s="3895"/>
      <c r="BU42" s="3895"/>
      <c r="BV42" s="3895"/>
      <c r="BW42" s="3895"/>
      <c r="BX42" s="3895"/>
      <c r="BY42" s="3896"/>
      <c r="BZ42" s="3894"/>
      <c r="CA42" s="3895"/>
      <c r="CB42" s="3895"/>
      <c r="CC42" s="3895"/>
      <c r="CD42" s="3895"/>
      <c r="CE42" s="3895"/>
      <c r="CF42" s="3896"/>
      <c r="CG42" s="3894"/>
      <c r="CH42" s="3895"/>
      <c r="CI42" s="3895"/>
      <c r="CJ42" s="3895"/>
      <c r="CK42" s="3895"/>
      <c r="CL42" s="3895"/>
      <c r="CM42" s="3896"/>
      <c r="CN42" s="3894"/>
      <c r="CO42" s="3895"/>
      <c r="CP42" s="3895"/>
      <c r="CQ42" s="3895"/>
      <c r="CR42" s="3895"/>
      <c r="CS42" s="3895"/>
      <c r="CT42" s="3896"/>
      <c r="CU42" s="3896"/>
      <c r="CV42" s="1182" t="s">
        <v>429</v>
      </c>
      <c r="CX42" s="424"/>
      <c r="CY42" s="424" t="str">
        <f t="shared" si="1"/>
        <v>Территория действия тарифа</v>
      </c>
      <c r="CZ42" s="424"/>
      <c r="DA42" s="424"/>
    </row>
    <row r="43" spans="1:105" ht="23.25" customHeight="1">
      <c r="A43" s="1284" t="s">
        <v>237</v>
      </c>
      <c r="B43" s="1284" t="s">
        <v>238</v>
      </c>
      <c r="C43" s="1284" t="s">
        <v>239</v>
      </c>
      <c r="D43" s="1284"/>
      <c r="E43" s="3909"/>
      <c r="F43" s="3909"/>
      <c r="G43" s="3908">
        <v>1</v>
      </c>
      <c r="H43" s="1284"/>
      <c r="I43" s="1284"/>
      <c r="J43" s="1284"/>
      <c r="K43" s="1284"/>
      <c r="L43" s="1285"/>
      <c r="M43" s="1286"/>
      <c r="N43" s="1286"/>
      <c r="O43" s="1286"/>
      <c r="P43" s="275"/>
      <c r="Q43" s="273"/>
      <c r="R43" s="274"/>
      <c r="S43" s="1375" t="str">
        <f>INDEX(PT_DIFFERENTIATION_NUM_CS,MATCH(C43,PT_DIFFERENTIATION_CS_ID,0))</f>
        <v>1.1.1</v>
      </c>
      <c r="T43" s="225" t="s">
        <v>509</v>
      </c>
      <c r="U43" s="214"/>
      <c r="V43" s="3894"/>
      <c r="W43" s="3895"/>
      <c r="X43" s="3895"/>
      <c r="Y43" s="3895"/>
      <c r="Z43" s="3895"/>
      <c r="AA43" s="3895"/>
      <c r="AB43" s="3896"/>
      <c r="AC43" s="3894" t="str">
        <f>INDEX(PT_DIFFERENTIATION_CS,MATCH(C43,PT_DIFFERENTIATION_CS_ID,0))</f>
        <v>без дифференциации</v>
      </c>
      <c r="AD43" s="3895"/>
      <c r="AE43" s="3895"/>
      <c r="AF43" s="3895"/>
      <c r="AG43" s="3895"/>
      <c r="AH43" s="3895"/>
      <c r="AI43" s="3895"/>
      <c r="AJ43" s="3894"/>
      <c r="AK43" s="3895"/>
      <c r="AL43" s="3895"/>
      <c r="AM43" s="3895"/>
      <c r="AN43" s="3895"/>
      <c r="AO43" s="3895"/>
      <c r="AP43" s="3896"/>
      <c r="AQ43" s="3894"/>
      <c r="AR43" s="3895"/>
      <c r="AS43" s="3895"/>
      <c r="AT43" s="3895"/>
      <c r="AU43" s="3895"/>
      <c r="AV43" s="3895"/>
      <c r="AW43" s="3896"/>
      <c r="AX43" s="3894"/>
      <c r="AY43" s="3895"/>
      <c r="AZ43" s="3895"/>
      <c r="BA43" s="3895"/>
      <c r="BB43" s="3895"/>
      <c r="BC43" s="3895"/>
      <c r="BD43" s="3896"/>
      <c r="BE43" s="3894"/>
      <c r="BF43" s="3895"/>
      <c r="BG43" s="3895"/>
      <c r="BH43" s="3895"/>
      <c r="BI43" s="3895"/>
      <c r="BJ43" s="3895"/>
      <c r="BK43" s="3896"/>
      <c r="BL43" s="3894"/>
      <c r="BM43" s="3895"/>
      <c r="BN43" s="3895"/>
      <c r="BO43" s="3895"/>
      <c r="BP43" s="3895"/>
      <c r="BQ43" s="3895"/>
      <c r="BR43" s="3896"/>
      <c r="BS43" s="3894"/>
      <c r="BT43" s="3895"/>
      <c r="BU43" s="3895"/>
      <c r="BV43" s="3895"/>
      <c r="BW43" s="3895"/>
      <c r="BX43" s="3895"/>
      <c r="BY43" s="3896"/>
      <c r="BZ43" s="3894"/>
      <c r="CA43" s="3895"/>
      <c r="CB43" s="3895"/>
      <c r="CC43" s="3895"/>
      <c r="CD43" s="3895"/>
      <c r="CE43" s="3895"/>
      <c r="CF43" s="3896"/>
      <c r="CG43" s="3894"/>
      <c r="CH43" s="3895"/>
      <c r="CI43" s="3895"/>
      <c r="CJ43" s="3895"/>
      <c r="CK43" s="3895"/>
      <c r="CL43" s="3895"/>
      <c r="CM43" s="3896"/>
      <c r="CN43" s="3894"/>
      <c r="CO43" s="3895"/>
      <c r="CP43" s="3895"/>
      <c r="CQ43" s="3895"/>
      <c r="CR43" s="3895"/>
      <c r="CS43" s="3895"/>
      <c r="CT43" s="3896"/>
      <c r="CU43" s="3896"/>
      <c r="CV43" s="1182" t="s">
        <v>510</v>
      </c>
      <c r="CX43" s="424"/>
      <c r="CY43" s="424" t="str">
        <f t="shared" si="1"/>
        <v>Наименование централизованной системы холодного водоснабжения</v>
      </c>
      <c r="CZ43" s="424"/>
      <c r="DA43" s="424"/>
    </row>
    <row r="44" spans="1:105" ht="23.25" customHeight="1">
      <c r="A44" s="1284" t="s">
        <v>237</v>
      </c>
      <c r="B44" s="1284" t="s">
        <v>238</v>
      </c>
      <c r="C44" s="1284" t="s">
        <v>239</v>
      </c>
      <c r="D44" s="1284" t="s">
        <v>524</v>
      </c>
      <c r="E44" s="3909"/>
      <c r="F44" s="3909"/>
      <c r="G44" s="3909"/>
      <c r="H44" s="3909"/>
      <c r="I44" s="3906" t="str">
        <f>S43&amp;".1"</f>
        <v>1.1.1.1</v>
      </c>
      <c r="J44" s="1284"/>
      <c r="K44" s="1284"/>
      <c r="L44" s="1285"/>
      <c r="P44" s="3907">
        <v>1</v>
      </c>
      <c r="Q44" s="1368"/>
      <c r="R44" s="277"/>
      <c r="S44" s="1375" t="str">
        <f>$I44</f>
        <v>1.1.1.1</v>
      </c>
      <c r="T44" s="200" t="s">
        <v>511</v>
      </c>
      <c r="U44" s="214"/>
      <c r="V44" s="3967"/>
      <c r="W44" s="3968"/>
      <c r="X44" s="3968"/>
      <c r="Y44" s="3968"/>
      <c r="Z44" s="3968"/>
      <c r="AA44" s="3968"/>
      <c r="AB44" s="3969"/>
      <c r="AC44" s="3970"/>
      <c r="AD44" s="3971"/>
      <c r="AE44" s="3971"/>
      <c r="AF44" s="3971"/>
      <c r="AG44" s="3971"/>
      <c r="AH44" s="3971"/>
      <c r="AI44" s="3971"/>
      <c r="AJ44" s="3967"/>
      <c r="AK44" s="3968"/>
      <c r="AL44" s="3968"/>
      <c r="AM44" s="3968"/>
      <c r="AN44" s="3968"/>
      <c r="AO44" s="3968"/>
      <c r="AP44" s="3969"/>
      <c r="AQ44" s="3967"/>
      <c r="AR44" s="3968"/>
      <c r="AS44" s="3968"/>
      <c r="AT44" s="3968"/>
      <c r="AU44" s="3968"/>
      <c r="AV44" s="3968"/>
      <c r="AW44" s="3969"/>
      <c r="AX44" s="3967"/>
      <c r="AY44" s="3968"/>
      <c r="AZ44" s="3968"/>
      <c r="BA44" s="3968"/>
      <c r="BB44" s="3968"/>
      <c r="BC44" s="3968"/>
      <c r="BD44" s="3969"/>
      <c r="BE44" s="3967"/>
      <c r="BF44" s="3968"/>
      <c r="BG44" s="3968"/>
      <c r="BH44" s="3968"/>
      <c r="BI44" s="3968"/>
      <c r="BJ44" s="3968"/>
      <c r="BK44" s="3969"/>
      <c r="BL44" s="3967"/>
      <c r="BM44" s="3968"/>
      <c r="BN44" s="3968"/>
      <c r="BO44" s="3968"/>
      <c r="BP44" s="3968"/>
      <c r="BQ44" s="3968"/>
      <c r="BR44" s="3969"/>
      <c r="BS44" s="3967"/>
      <c r="BT44" s="3968"/>
      <c r="BU44" s="3968"/>
      <c r="BV44" s="3968"/>
      <c r="BW44" s="3968"/>
      <c r="BX44" s="3968"/>
      <c r="BY44" s="3969"/>
      <c r="BZ44" s="3967"/>
      <c r="CA44" s="3968"/>
      <c r="CB44" s="3968"/>
      <c r="CC44" s="3968"/>
      <c r="CD44" s="3968"/>
      <c r="CE44" s="3968"/>
      <c r="CF44" s="3969"/>
      <c r="CG44" s="3967"/>
      <c r="CH44" s="3968"/>
      <c r="CI44" s="3968"/>
      <c r="CJ44" s="3968"/>
      <c r="CK44" s="3968"/>
      <c r="CL44" s="3968"/>
      <c r="CM44" s="3969"/>
      <c r="CN44" s="3967"/>
      <c r="CO44" s="3968"/>
      <c r="CP44" s="3968"/>
      <c r="CQ44" s="3968"/>
      <c r="CR44" s="3968"/>
      <c r="CS44" s="3968"/>
      <c r="CT44" s="3969"/>
      <c r="CU44" s="3972"/>
      <c r="CV44" s="1182" t="s">
        <v>512</v>
      </c>
      <c r="CX44" s="424"/>
      <c r="CY44" s="424" t="str">
        <f t="shared" si="1"/>
        <v>Наименование признака дифференциации</v>
      </c>
      <c r="CZ44" s="424"/>
      <c r="DA44" s="424"/>
    </row>
    <row r="45" spans="1:105" ht="23.25" customHeight="1">
      <c r="A45" s="1284" t="s">
        <v>237</v>
      </c>
      <c r="B45" s="1284" t="s">
        <v>238</v>
      </c>
      <c r="C45" s="1284" t="s">
        <v>239</v>
      </c>
      <c r="D45" s="1284" t="s">
        <v>524</v>
      </c>
      <c r="E45" s="3909"/>
      <c r="F45" s="3909"/>
      <c r="G45" s="3909"/>
      <c r="H45" s="3909"/>
      <c r="I45" s="3929"/>
      <c r="J45" s="3906" t="str">
        <f>I44&amp;".1"</f>
        <v>1.1.1.1.1</v>
      </c>
      <c r="K45" s="1284"/>
      <c r="L45" s="1285" t="s">
        <v>437</v>
      </c>
      <c r="P45" s="3907"/>
      <c r="Q45" s="3907">
        <v>1</v>
      </c>
      <c r="R45" s="278"/>
      <c r="S45" s="1375" t="str">
        <f>$J45</f>
        <v>1.1.1.1.1</v>
      </c>
      <c r="T45" s="201" t="s">
        <v>438</v>
      </c>
      <c r="U45" s="214"/>
      <c r="V45" s="3897"/>
      <c r="W45" s="3898"/>
      <c r="X45" s="3898"/>
      <c r="Y45" s="3898"/>
      <c r="Z45" s="3898"/>
      <c r="AA45" s="3898"/>
      <c r="AB45" s="3899"/>
      <c r="AC45" s="3897" t="s">
        <v>525</v>
      </c>
      <c r="AD45" s="3898"/>
      <c r="AE45" s="3898"/>
      <c r="AF45" s="3898"/>
      <c r="AG45" s="3898"/>
      <c r="AH45" s="3898"/>
      <c r="AI45" s="3898"/>
      <c r="AJ45" s="3897"/>
      <c r="AK45" s="3898"/>
      <c r="AL45" s="3898"/>
      <c r="AM45" s="3898"/>
      <c r="AN45" s="3898"/>
      <c r="AO45" s="3898"/>
      <c r="AP45" s="3899"/>
      <c r="AQ45" s="3897"/>
      <c r="AR45" s="3898"/>
      <c r="AS45" s="3898"/>
      <c r="AT45" s="3898"/>
      <c r="AU45" s="3898"/>
      <c r="AV45" s="3898"/>
      <c r="AW45" s="3899"/>
      <c r="AX45" s="3897"/>
      <c r="AY45" s="3898"/>
      <c r="AZ45" s="3898"/>
      <c r="BA45" s="3898"/>
      <c r="BB45" s="3898"/>
      <c r="BC45" s="3898"/>
      <c r="BD45" s="3899"/>
      <c r="BE45" s="3897"/>
      <c r="BF45" s="3898"/>
      <c r="BG45" s="3898"/>
      <c r="BH45" s="3898"/>
      <c r="BI45" s="3898"/>
      <c r="BJ45" s="3898"/>
      <c r="BK45" s="3899"/>
      <c r="BL45" s="3897"/>
      <c r="BM45" s="3898"/>
      <c r="BN45" s="3898"/>
      <c r="BO45" s="3898"/>
      <c r="BP45" s="3898"/>
      <c r="BQ45" s="3898"/>
      <c r="BR45" s="3899"/>
      <c r="BS45" s="3897"/>
      <c r="BT45" s="3898"/>
      <c r="BU45" s="3898"/>
      <c r="BV45" s="3898"/>
      <c r="BW45" s="3898"/>
      <c r="BX45" s="3898"/>
      <c r="BY45" s="3899"/>
      <c r="BZ45" s="3897"/>
      <c r="CA45" s="3898"/>
      <c r="CB45" s="3898"/>
      <c r="CC45" s="3898"/>
      <c r="CD45" s="3898"/>
      <c r="CE45" s="3898"/>
      <c r="CF45" s="3899"/>
      <c r="CG45" s="3897"/>
      <c r="CH45" s="3898"/>
      <c r="CI45" s="3898"/>
      <c r="CJ45" s="3898"/>
      <c r="CK45" s="3898"/>
      <c r="CL45" s="3898"/>
      <c r="CM45" s="3899"/>
      <c r="CN45" s="3897"/>
      <c r="CO45" s="3898"/>
      <c r="CP45" s="3898"/>
      <c r="CQ45" s="3898"/>
      <c r="CR45" s="3898"/>
      <c r="CS45" s="3898"/>
      <c r="CT45" s="3899"/>
      <c r="CU45" s="3899"/>
      <c r="CV45" s="1231" t="s">
        <v>513</v>
      </c>
      <c r="CX45" s="424"/>
      <c r="CY45" s="424" t="str">
        <f t="shared" si="1"/>
        <v>Группа потребителей</v>
      </c>
      <c r="CZ45" s="424"/>
      <c r="DA45" s="424"/>
    </row>
    <row r="46" spans="1:105" ht="23.25" customHeight="1">
      <c r="A46" s="1284" t="s">
        <v>237</v>
      </c>
      <c r="B46" s="1284" t="s">
        <v>238</v>
      </c>
      <c r="C46" s="1284" t="s">
        <v>239</v>
      </c>
      <c r="D46" s="1284" t="s">
        <v>524</v>
      </c>
      <c r="E46" s="3909"/>
      <c r="F46" s="3909"/>
      <c r="G46" s="3909"/>
      <c r="H46" s="3909"/>
      <c r="I46" s="3929"/>
      <c r="J46" s="3929"/>
      <c r="K46" s="3906" t="str">
        <f>J45&amp;".1"</f>
        <v>1.1.1.1.1.1</v>
      </c>
      <c r="L46" s="1285"/>
      <c r="P46" s="3907"/>
      <c r="Q46" s="3907"/>
      <c r="R46" s="278">
        <v>1</v>
      </c>
      <c r="S46" s="1375" t="str">
        <f>$K46</f>
        <v>1.1.1.1.1.1</v>
      </c>
      <c r="T46" s="1357" t="s">
        <v>526</v>
      </c>
      <c r="U46" s="214"/>
      <c r="V46" s="666"/>
      <c r="W46" s="666"/>
      <c r="X46" s="1181"/>
      <c r="Y46" s="3911"/>
      <c r="Z46" s="3759" t="s">
        <v>60</v>
      </c>
      <c r="AA46" s="3911"/>
      <c r="AB46" s="3759" t="s">
        <v>60</v>
      </c>
      <c r="AC46" s="666">
        <v>52.26</v>
      </c>
      <c r="AD46" s="666"/>
      <c r="AE46" s="1181"/>
      <c r="AF46" s="3911">
        <v>45292</v>
      </c>
      <c r="AG46" s="3759" t="s">
        <v>60</v>
      </c>
      <c r="AH46" s="3930">
        <v>45473</v>
      </c>
      <c r="AI46" s="3759" t="s">
        <v>60</v>
      </c>
      <c r="AJ46" s="666">
        <v>61.16</v>
      </c>
      <c r="AK46" s="666"/>
      <c r="AL46" s="1181"/>
      <c r="AM46" s="3911">
        <v>45474</v>
      </c>
      <c r="AN46" s="3759" t="s">
        <v>60</v>
      </c>
      <c r="AO46" s="3911">
        <v>45657</v>
      </c>
      <c r="AP46" s="3759" t="s">
        <v>60</v>
      </c>
      <c r="AQ46" s="666">
        <v>61.16</v>
      </c>
      <c r="AR46" s="666"/>
      <c r="AS46" s="1181"/>
      <c r="AT46" s="3911">
        <v>45658.612858796296</v>
      </c>
      <c r="AU46" s="3759" t="s">
        <v>60</v>
      </c>
      <c r="AV46" s="3911">
        <v>45838</v>
      </c>
      <c r="AW46" s="3759" t="s">
        <v>60</v>
      </c>
      <c r="AX46" s="666">
        <v>74.94</v>
      </c>
      <c r="AY46" s="666"/>
      <c r="AZ46" s="1181"/>
      <c r="BA46" s="3911">
        <v>45839</v>
      </c>
      <c r="BB46" s="3759" t="s">
        <v>60</v>
      </c>
      <c r="BC46" s="3911">
        <v>46022</v>
      </c>
      <c r="BD46" s="3759" t="s">
        <v>60</v>
      </c>
      <c r="BE46" s="666">
        <v>74.94</v>
      </c>
      <c r="BF46" s="666"/>
      <c r="BG46" s="1181"/>
      <c r="BH46" s="3911">
        <v>46023</v>
      </c>
      <c r="BI46" s="3759" t="s">
        <v>60</v>
      </c>
      <c r="BJ46" s="3911">
        <v>46203</v>
      </c>
      <c r="BK46" s="3759" t="s">
        <v>60</v>
      </c>
      <c r="BL46" s="666">
        <v>77.709999999999994</v>
      </c>
      <c r="BM46" s="666"/>
      <c r="BN46" s="1181"/>
      <c r="BO46" s="3911">
        <v>46204</v>
      </c>
      <c r="BP46" s="3759" t="s">
        <v>60</v>
      </c>
      <c r="BQ46" s="3911">
        <v>46387</v>
      </c>
      <c r="BR46" s="3759" t="s">
        <v>60</v>
      </c>
      <c r="BS46" s="666">
        <v>77.709999999999994</v>
      </c>
      <c r="BT46" s="666"/>
      <c r="BU46" s="1181"/>
      <c r="BV46" s="3911">
        <v>46388</v>
      </c>
      <c r="BW46" s="3759" t="s">
        <v>60</v>
      </c>
      <c r="BX46" s="3911">
        <v>46568</v>
      </c>
      <c r="BY46" s="3759" t="s">
        <v>60</v>
      </c>
      <c r="BZ46" s="666">
        <v>80.72</v>
      </c>
      <c r="CA46" s="666"/>
      <c r="CB46" s="1181"/>
      <c r="CC46" s="3911">
        <v>46569</v>
      </c>
      <c r="CD46" s="3759" t="s">
        <v>60</v>
      </c>
      <c r="CE46" s="3911">
        <v>46752</v>
      </c>
      <c r="CF46" s="3759" t="s">
        <v>60</v>
      </c>
      <c r="CG46" s="666">
        <v>73.27</v>
      </c>
      <c r="CH46" s="666"/>
      <c r="CI46" s="1181"/>
      <c r="CJ46" s="3911">
        <v>46753</v>
      </c>
      <c r="CK46" s="3759" t="s">
        <v>60</v>
      </c>
      <c r="CL46" s="3911">
        <v>46934</v>
      </c>
      <c r="CM46" s="3759" t="s">
        <v>60</v>
      </c>
      <c r="CN46" s="666">
        <v>73.27</v>
      </c>
      <c r="CO46" s="666"/>
      <c r="CP46" s="1181"/>
      <c r="CQ46" s="3911">
        <v>46935</v>
      </c>
      <c r="CR46" s="3759" t="s">
        <v>60</v>
      </c>
      <c r="CS46" s="3911">
        <v>47118</v>
      </c>
      <c r="CT46" s="3759" t="s">
        <v>60</v>
      </c>
      <c r="CU46" s="1358"/>
      <c r="CV4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5" t="e">
        <f ca="1">STRCHECKDATE(V47:CU47)</f>
        <v>#NAME?</v>
      </c>
      <c r="CX46" s="424"/>
      <c r="CY46" s="424" t="str">
        <f t="shared" si="1"/>
        <v>Тариф для населения, руб. за 1 куб. метр с НДС</v>
      </c>
      <c r="CZ46" s="424"/>
      <c r="DA46" s="424"/>
    </row>
    <row r="47" spans="1:105" ht="0" hidden="1" customHeight="1">
      <c r="A47" s="1284" t="s">
        <v>237</v>
      </c>
      <c r="B47" s="1284" t="s">
        <v>238</v>
      </c>
      <c r="C47" s="1284" t="s">
        <v>239</v>
      </c>
      <c r="D47" s="1284" t="s">
        <v>524</v>
      </c>
      <c r="E47" s="3909"/>
      <c r="F47" s="3909"/>
      <c r="G47" s="3909"/>
      <c r="H47" s="3909"/>
      <c r="I47" s="3929"/>
      <c r="J47" s="3929"/>
      <c r="K47" s="3906"/>
      <c r="L47" s="1285"/>
      <c r="P47" s="3907"/>
      <c r="Q47" s="3907"/>
      <c r="R47" s="278"/>
      <c r="S47" s="1374"/>
      <c r="T47" s="214"/>
      <c r="U47" s="214"/>
      <c r="V47" s="246"/>
      <c r="W47" s="246"/>
      <c r="X47" s="250" t="str">
        <f>Y46&amp;"-"&amp;AA46</f>
        <v>-</v>
      </c>
      <c r="Y47" s="3912"/>
      <c r="Z47" s="3759"/>
      <c r="AA47" s="3912"/>
      <c r="AB47" s="3759"/>
      <c r="AC47" s="246"/>
      <c r="AD47" s="246"/>
      <c r="AE47" s="250" t="str">
        <f>AF46&amp;"-"&amp;AH46</f>
        <v>45292-45473</v>
      </c>
      <c r="AF47" s="3912"/>
      <c r="AG47" s="3759"/>
      <c r="AH47" s="3931"/>
      <c r="AI47" s="3759"/>
      <c r="AJ47" s="246"/>
      <c r="AK47" s="246"/>
      <c r="AL47" s="250" t="str">
        <f>AM46&amp;"-"&amp;AO46</f>
        <v>45474-45657</v>
      </c>
      <c r="AM47" s="3912"/>
      <c r="AN47" s="3759"/>
      <c r="AO47" s="3912"/>
      <c r="AP47" s="3759"/>
      <c r="AQ47" s="246"/>
      <c r="AR47" s="246"/>
      <c r="AS47" s="250" t="str">
        <f>AT46&amp;"-"&amp;AV46</f>
        <v>45658,6128587963-45838</v>
      </c>
      <c r="AT47" s="3912"/>
      <c r="AU47" s="3759"/>
      <c r="AV47" s="3912"/>
      <c r="AW47" s="3759"/>
      <c r="AX47" s="246"/>
      <c r="AY47" s="246"/>
      <c r="AZ47" s="250" t="str">
        <f>BA46&amp;"-"&amp;BC46</f>
        <v>45839-46022</v>
      </c>
      <c r="BA47" s="3912"/>
      <c r="BB47" s="3759"/>
      <c r="BC47" s="3912"/>
      <c r="BD47" s="3759"/>
      <c r="BE47" s="246"/>
      <c r="BF47" s="246"/>
      <c r="BG47" s="250" t="str">
        <f>BH46&amp;"-"&amp;BJ46</f>
        <v>46023-46203</v>
      </c>
      <c r="BH47" s="3912"/>
      <c r="BI47" s="3759"/>
      <c r="BJ47" s="3912"/>
      <c r="BK47" s="3759"/>
      <c r="BL47" s="246"/>
      <c r="BM47" s="246"/>
      <c r="BN47" s="250" t="str">
        <f>BO46&amp;"-"&amp;BQ46</f>
        <v>46204-46387</v>
      </c>
      <c r="BO47" s="3912"/>
      <c r="BP47" s="3759"/>
      <c r="BQ47" s="3912"/>
      <c r="BR47" s="3759"/>
      <c r="BS47" s="246"/>
      <c r="BT47" s="246"/>
      <c r="BU47" s="250" t="str">
        <f>BV46&amp;"-"&amp;BX46</f>
        <v>46388-46568</v>
      </c>
      <c r="BV47" s="3912"/>
      <c r="BW47" s="3759"/>
      <c r="BX47" s="3912"/>
      <c r="BY47" s="3759"/>
      <c r="BZ47" s="246"/>
      <c r="CA47" s="246"/>
      <c r="CB47" s="250" t="str">
        <f>CC46&amp;"-"&amp;CE46</f>
        <v>46569-46752</v>
      </c>
      <c r="CC47" s="3912"/>
      <c r="CD47" s="3759"/>
      <c r="CE47" s="3912"/>
      <c r="CF47" s="3759"/>
      <c r="CG47" s="246"/>
      <c r="CH47" s="246"/>
      <c r="CI47" s="250" t="str">
        <f>CJ46&amp;"-"&amp;CL46</f>
        <v>46753-46934</v>
      </c>
      <c r="CJ47" s="3912"/>
      <c r="CK47" s="3759"/>
      <c r="CL47" s="3912"/>
      <c r="CM47" s="3759"/>
      <c r="CN47" s="246"/>
      <c r="CO47" s="246"/>
      <c r="CP47" s="250" t="str">
        <f>CQ46&amp;"-"&amp;CS46</f>
        <v>46935-47118</v>
      </c>
      <c r="CQ47" s="3912"/>
      <c r="CR47" s="3759"/>
      <c r="CS47" s="3912"/>
      <c r="CT47" s="3759"/>
      <c r="CU47" s="1359"/>
      <c r="CV47" s="3966"/>
      <c r="CX47" s="424"/>
      <c r="CY47" s="424" t="str">
        <f t="shared" si="1"/>
        <v/>
      </c>
      <c r="CZ47" s="424"/>
      <c r="DA47" s="424"/>
    </row>
    <row r="48" spans="1:105" ht="21" customHeight="1">
      <c r="A48" s="1284" t="s">
        <v>237</v>
      </c>
      <c r="B48" s="1284" t="s">
        <v>238</v>
      </c>
      <c r="C48" s="1284" t="s">
        <v>239</v>
      </c>
      <c r="D48" s="1284" t="s">
        <v>524</v>
      </c>
      <c r="E48" s="3909"/>
      <c r="F48" s="3909"/>
      <c r="G48" s="3909"/>
      <c r="H48" s="3909"/>
      <c r="I48" s="3929"/>
      <c r="J48" s="3906"/>
      <c r="K48" s="1284"/>
      <c r="L48" s="1285"/>
      <c r="P48" s="3907"/>
      <c r="Q48" s="3907"/>
      <c r="R48" s="277"/>
      <c r="S48" s="1203"/>
      <c r="T48" s="202" t="s">
        <v>514</v>
      </c>
      <c r="U48" s="291"/>
      <c r="V48" s="291"/>
      <c r="W48" s="291"/>
      <c r="X48" s="291"/>
      <c r="Y48" s="291"/>
      <c r="Z48" s="291"/>
      <c r="AA48" s="291"/>
      <c r="AB48" s="291"/>
      <c r="AC48" s="291"/>
      <c r="AD48" s="291"/>
      <c r="AE48" s="291"/>
      <c r="AF48" s="291"/>
      <c r="AG48" s="291"/>
      <c r="AH48" s="291"/>
      <c r="AI48" s="291"/>
      <c r="AJ48" s="2054"/>
      <c r="AK48" s="2055"/>
      <c r="AL48" s="2056"/>
      <c r="AM48" s="2057"/>
      <c r="AN48" s="2058"/>
      <c r="AO48" s="2059"/>
      <c r="AP48" s="2060"/>
      <c r="AQ48" s="2061"/>
      <c r="AR48" s="2062"/>
      <c r="AS48" s="2063"/>
      <c r="AT48" s="2064"/>
      <c r="AU48" s="2065"/>
      <c r="AV48" s="2066"/>
      <c r="AW48" s="2067"/>
      <c r="AX48" s="2068"/>
      <c r="AY48" s="2069"/>
      <c r="AZ48" s="2070"/>
      <c r="BA48" s="2071"/>
      <c r="BB48" s="2072"/>
      <c r="BC48" s="2073"/>
      <c r="BD48" s="2074"/>
      <c r="BE48" s="2075"/>
      <c r="BF48" s="2076"/>
      <c r="BG48" s="2077"/>
      <c r="BH48" s="2078"/>
      <c r="BI48" s="2079"/>
      <c r="BJ48" s="2080"/>
      <c r="BK48" s="2081"/>
      <c r="BL48" s="2082"/>
      <c r="BM48" s="2083"/>
      <c r="BN48" s="2084"/>
      <c r="BO48" s="2085"/>
      <c r="BP48" s="2086"/>
      <c r="BQ48" s="2087"/>
      <c r="BR48" s="2088"/>
      <c r="BS48" s="2089"/>
      <c r="BT48" s="2090"/>
      <c r="BU48" s="2091"/>
      <c r="BV48" s="2092"/>
      <c r="BW48" s="2093"/>
      <c r="BX48" s="2094"/>
      <c r="BY48" s="2095"/>
      <c r="BZ48" s="2096"/>
      <c r="CA48" s="2097"/>
      <c r="CB48" s="2098"/>
      <c r="CC48" s="2099"/>
      <c r="CD48" s="2100"/>
      <c r="CE48" s="2101"/>
      <c r="CF48" s="2102"/>
      <c r="CG48" s="2103"/>
      <c r="CH48" s="2104"/>
      <c r="CI48" s="2105"/>
      <c r="CJ48" s="2106"/>
      <c r="CK48" s="2107"/>
      <c r="CL48" s="2108"/>
      <c r="CM48" s="2109"/>
      <c r="CN48" s="2110"/>
      <c r="CO48" s="2111"/>
      <c r="CP48" s="2112"/>
      <c r="CQ48" s="2113"/>
      <c r="CR48" s="2114"/>
      <c r="CS48" s="2115"/>
      <c r="CT48" s="2116"/>
      <c r="CU48" s="291"/>
      <c r="CV48" s="1182" t="s">
        <v>515</v>
      </c>
      <c r="CX48" s="424"/>
      <c r="CY48" s="424" t="str">
        <f t="shared" si="1"/>
        <v>Добавить значение признака дифференциации</v>
      </c>
      <c r="CZ48" s="424"/>
      <c r="DA48" s="424"/>
    </row>
    <row r="49" spans="1:105" s="1827" customFormat="1" ht="23.25" customHeight="1">
      <c r="A49" s="1284"/>
      <c r="B49" s="1284"/>
      <c r="C49" s="1284"/>
      <c r="D49" s="1284"/>
      <c r="E49" s="3909"/>
      <c r="F49" s="3909"/>
      <c r="G49" s="3909"/>
      <c r="H49" s="3909"/>
      <c r="I49" s="3929"/>
      <c r="J49" s="3906" t="str">
        <f>I44&amp;".2"</f>
        <v>1.1.1.1.2</v>
      </c>
      <c r="K49" s="1284"/>
      <c r="L49" s="1290" t="s">
        <v>437</v>
      </c>
      <c r="M49" s="1696"/>
      <c r="N49" s="1696"/>
      <c r="O49" s="1696"/>
      <c r="P49" s="3907"/>
      <c r="Q49" s="3973" t="s">
        <v>103</v>
      </c>
      <c r="R49" s="278"/>
      <c r="S49" s="1813" t="str">
        <f>$J49</f>
        <v>1.1.1.1.2</v>
      </c>
      <c r="T49" s="201" t="s">
        <v>438</v>
      </c>
      <c r="U49" s="214"/>
      <c r="V49" s="3897"/>
      <c r="W49" s="3898"/>
      <c r="X49" s="3898"/>
      <c r="Y49" s="3898"/>
      <c r="Z49" s="3898"/>
      <c r="AA49" s="3898"/>
      <c r="AB49" s="3899"/>
      <c r="AC49" s="3897" t="s">
        <v>527</v>
      </c>
      <c r="AD49" s="3898"/>
      <c r="AE49" s="3898"/>
      <c r="AF49" s="3898"/>
      <c r="AG49" s="3898"/>
      <c r="AH49" s="3898"/>
      <c r="AI49" s="3898"/>
      <c r="AJ49" s="3897"/>
      <c r="AK49" s="3898"/>
      <c r="AL49" s="3898"/>
      <c r="AM49" s="3898"/>
      <c r="AN49" s="3898"/>
      <c r="AO49" s="3898"/>
      <c r="AP49" s="3899"/>
      <c r="AQ49" s="3897"/>
      <c r="AR49" s="3898"/>
      <c r="AS49" s="3898"/>
      <c r="AT49" s="3898"/>
      <c r="AU49" s="3898"/>
      <c r="AV49" s="3898"/>
      <c r="AW49" s="3899"/>
      <c r="AX49" s="3897"/>
      <c r="AY49" s="3898"/>
      <c r="AZ49" s="3898"/>
      <c r="BA49" s="3898"/>
      <c r="BB49" s="3898"/>
      <c r="BC49" s="3898"/>
      <c r="BD49" s="3899"/>
      <c r="BE49" s="3897"/>
      <c r="BF49" s="3898"/>
      <c r="BG49" s="3898"/>
      <c r="BH49" s="3898"/>
      <c r="BI49" s="3898"/>
      <c r="BJ49" s="3898"/>
      <c r="BK49" s="3899"/>
      <c r="BL49" s="3897"/>
      <c r="BM49" s="3898"/>
      <c r="BN49" s="3898"/>
      <c r="BO49" s="3898"/>
      <c r="BP49" s="3898"/>
      <c r="BQ49" s="3898"/>
      <c r="BR49" s="3899"/>
      <c r="BS49" s="3897"/>
      <c r="BT49" s="3898"/>
      <c r="BU49" s="3898"/>
      <c r="BV49" s="3898"/>
      <c r="BW49" s="3898"/>
      <c r="BX49" s="3898"/>
      <c r="BY49" s="3899"/>
      <c r="BZ49" s="3897"/>
      <c r="CA49" s="3898"/>
      <c r="CB49" s="3898"/>
      <c r="CC49" s="3898"/>
      <c r="CD49" s="3898"/>
      <c r="CE49" s="3898"/>
      <c r="CF49" s="3899"/>
      <c r="CG49" s="3897"/>
      <c r="CH49" s="3898"/>
      <c r="CI49" s="3898"/>
      <c r="CJ49" s="3898"/>
      <c r="CK49" s="3898"/>
      <c r="CL49" s="3898"/>
      <c r="CM49" s="3899"/>
      <c r="CN49" s="3897"/>
      <c r="CO49" s="3898"/>
      <c r="CP49" s="3898"/>
      <c r="CQ49" s="3898"/>
      <c r="CR49" s="3898"/>
      <c r="CS49" s="3898"/>
      <c r="CT49" s="3899"/>
      <c r="CU49" s="3899"/>
      <c r="CV49" s="1231" t="s">
        <v>513</v>
      </c>
      <c r="CW49" s="1562"/>
      <c r="CX49" s="1544"/>
      <c r="CY49" s="1544" t="str">
        <f t="shared" si="1"/>
        <v>Группа потребителей</v>
      </c>
      <c r="CZ49" s="1544"/>
      <c r="DA49" s="1544"/>
    </row>
    <row r="50" spans="1:105" s="1827" customFormat="1" ht="23.25" customHeight="1">
      <c r="A50" s="1284"/>
      <c r="B50" s="1284"/>
      <c r="C50" s="1284"/>
      <c r="D50" s="1284"/>
      <c r="E50" s="3909"/>
      <c r="F50" s="3909"/>
      <c r="G50" s="3909"/>
      <c r="H50" s="3909"/>
      <c r="I50" s="3929"/>
      <c r="J50" s="3929" t="str">
        <f>I44&amp;".1"</f>
        <v>1.1.1.1.1</v>
      </c>
      <c r="K50" s="3906" t="str">
        <f>J49&amp;".1"</f>
        <v>1.1.1.1.2.1</v>
      </c>
      <c r="L50" s="1290"/>
      <c r="M50" s="1696"/>
      <c r="N50" s="1696"/>
      <c r="O50" s="1696"/>
      <c r="P50" s="3907"/>
      <c r="Q50" s="3907"/>
      <c r="R50" s="278">
        <v>1</v>
      </c>
      <c r="S50" s="1813" t="str">
        <f>$K50</f>
        <v>1.1.1.1.2.1</v>
      </c>
      <c r="T50" s="1357" t="s">
        <v>528</v>
      </c>
      <c r="U50" s="214"/>
      <c r="V50" s="666"/>
      <c r="W50" s="666"/>
      <c r="X50" s="1181"/>
      <c r="Y50" s="3911"/>
      <c r="Z50" s="3759" t="s">
        <v>60</v>
      </c>
      <c r="AA50" s="3911"/>
      <c r="AB50" s="3759" t="s">
        <v>60</v>
      </c>
      <c r="AC50" s="666">
        <v>43.55</v>
      </c>
      <c r="AD50" s="666"/>
      <c r="AE50" s="1181"/>
      <c r="AF50" s="3911">
        <v>45292</v>
      </c>
      <c r="AG50" s="3759" t="s">
        <v>60</v>
      </c>
      <c r="AH50" s="3930">
        <v>45473</v>
      </c>
      <c r="AI50" s="3759" t="s">
        <v>60</v>
      </c>
      <c r="AJ50" s="666">
        <v>50.97</v>
      </c>
      <c r="AK50" s="666"/>
      <c r="AL50" s="1181"/>
      <c r="AM50" s="3911">
        <v>45474</v>
      </c>
      <c r="AN50" s="3759" t="s">
        <v>60</v>
      </c>
      <c r="AO50" s="3911">
        <v>45657</v>
      </c>
      <c r="AP50" s="3759" t="s">
        <v>60</v>
      </c>
      <c r="AQ50" s="666">
        <v>50.97</v>
      </c>
      <c r="AR50" s="666"/>
      <c r="AS50" s="1181"/>
      <c r="AT50" s="3911">
        <v>45658</v>
      </c>
      <c r="AU50" s="3759" t="s">
        <v>60</v>
      </c>
      <c r="AV50" s="3911">
        <v>45838</v>
      </c>
      <c r="AW50" s="3759" t="s">
        <v>60</v>
      </c>
      <c r="AX50" s="666">
        <v>62.45</v>
      </c>
      <c r="AY50" s="666"/>
      <c r="AZ50" s="1181"/>
      <c r="BA50" s="3911">
        <v>45839</v>
      </c>
      <c r="BB50" s="3759" t="s">
        <v>60</v>
      </c>
      <c r="BC50" s="3911">
        <v>46022</v>
      </c>
      <c r="BD50" s="3759" t="s">
        <v>60</v>
      </c>
      <c r="BE50" s="666">
        <v>62.45</v>
      </c>
      <c r="BF50" s="666"/>
      <c r="BG50" s="1181"/>
      <c r="BH50" s="3911">
        <v>46023</v>
      </c>
      <c r="BI50" s="3759" t="s">
        <v>60</v>
      </c>
      <c r="BJ50" s="3911">
        <v>46203</v>
      </c>
      <c r="BK50" s="3759" t="s">
        <v>60</v>
      </c>
      <c r="BL50" s="666">
        <v>64.760000000000005</v>
      </c>
      <c r="BM50" s="666"/>
      <c r="BN50" s="1181"/>
      <c r="BO50" s="3911">
        <v>46204</v>
      </c>
      <c r="BP50" s="3759" t="s">
        <v>60</v>
      </c>
      <c r="BQ50" s="3911">
        <v>46387</v>
      </c>
      <c r="BR50" s="3759" t="s">
        <v>60</v>
      </c>
      <c r="BS50" s="666">
        <v>64.760000000000005</v>
      </c>
      <c r="BT50" s="666"/>
      <c r="BU50" s="1181"/>
      <c r="BV50" s="3911">
        <v>46388</v>
      </c>
      <c r="BW50" s="3759" t="s">
        <v>60</v>
      </c>
      <c r="BX50" s="3911">
        <v>46568</v>
      </c>
      <c r="BY50" s="3759" t="s">
        <v>60</v>
      </c>
      <c r="BZ50" s="666">
        <v>67.27</v>
      </c>
      <c r="CA50" s="666"/>
      <c r="CB50" s="1181"/>
      <c r="CC50" s="3911">
        <v>46569</v>
      </c>
      <c r="CD50" s="3759" t="s">
        <v>60</v>
      </c>
      <c r="CE50" s="3911">
        <v>46752</v>
      </c>
      <c r="CF50" s="3759" t="s">
        <v>60</v>
      </c>
      <c r="CG50" s="666">
        <v>61.06</v>
      </c>
      <c r="CH50" s="666"/>
      <c r="CI50" s="1181"/>
      <c r="CJ50" s="3911">
        <v>46753</v>
      </c>
      <c r="CK50" s="3759" t="s">
        <v>60</v>
      </c>
      <c r="CL50" s="3911">
        <v>46934</v>
      </c>
      <c r="CM50" s="3759" t="s">
        <v>60</v>
      </c>
      <c r="CN50" s="666">
        <v>61.06</v>
      </c>
      <c r="CO50" s="666"/>
      <c r="CP50" s="1181"/>
      <c r="CQ50" s="3911">
        <v>46935</v>
      </c>
      <c r="CR50" s="3759" t="s">
        <v>60</v>
      </c>
      <c r="CS50" s="3911">
        <v>47118</v>
      </c>
      <c r="CT50" s="3759" t="s">
        <v>60</v>
      </c>
      <c r="CU50" s="1358"/>
      <c r="CV50"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562" t="e">
        <f ca="1">STRCHECKDATE(V51:CU51)</f>
        <v>#NAME?</v>
      </c>
      <c r="CX50" s="1544"/>
      <c r="CY50" s="1544" t="str">
        <f t="shared" si="1"/>
        <v>Тариф, руб. за 1 куб. метр без НДС</v>
      </c>
      <c r="CZ50" s="1544"/>
      <c r="DA50" s="1544"/>
    </row>
    <row r="51" spans="1:105" s="1827" customFormat="1" ht="14.25" customHeight="1">
      <c r="A51" s="1284"/>
      <c r="B51" s="1284"/>
      <c r="C51" s="1284"/>
      <c r="D51" s="1284"/>
      <c r="E51" s="3909"/>
      <c r="F51" s="3909"/>
      <c r="G51" s="3909"/>
      <c r="H51" s="3909"/>
      <c r="I51" s="3929"/>
      <c r="J51" s="3929" t="str">
        <f>I44&amp;".1"</f>
        <v>1.1.1.1.1</v>
      </c>
      <c r="K51" s="3906"/>
      <c r="L51" s="1290"/>
      <c r="M51" s="1696"/>
      <c r="N51" s="1696"/>
      <c r="O51" s="1696"/>
      <c r="P51" s="3907"/>
      <c r="Q51" s="3907"/>
      <c r="R51" s="278"/>
      <c r="S51" s="1822"/>
      <c r="T51" s="214"/>
      <c r="U51" s="214"/>
      <c r="V51" s="246"/>
      <c r="W51" s="246"/>
      <c r="X51" s="250" t="str">
        <f>Y50&amp;"-"&amp;AA50</f>
        <v>-</v>
      </c>
      <c r="Y51" s="3912"/>
      <c r="Z51" s="3759"/>
      <c r="AA51" s="3912"/>
      <c r="AB51" s="3759"/>
      <c r="AC51" s="246"/>
      <c r="AD51" s="246"/>
      <c r="AE51" s="250" t="str">
        <f>AF50&amp;"-"&amp;AH50</f>
        <v>45292-45473</v>
      </c>
      <c r="AF51" s="3912"/>
      <c r="AG51" s="3759"/>
      <c r="AH51" s="3931"/>
      <c r="AI51" s="3759"/>
      <c r="AJ51" s="246"/>
      <c r="AK51" s="246"/>
      <c r="AL51" s="250" t="str">
        <f>AM50&amp;"-"&amp;AO50</f>
        <v>45474-45657</v>
      </c>
      <c r="AM51" s="3912"/>
      <c r="AN51" s="3759"/>
      <c r="AO51" s="3912"/>
      <c r="AP51" s="3759"/>
      <c r="AQ51" s="246"/>
      <c r="AR51" s="246"/>
      <c r="AS51" s="250" t="str">
        <f>AT50&amp;"-"&amp;AV50</f>
        <v>45658-45838</v>
      </c>
      <c r="AT51" s="3912"/>
      <c r="AU51" s="3759"/>
      <c r="AV51" s="3912"/>
      <c r="AW51" s="3759"/>
      <c r="AX51" s="246"/>
      <c r="AY51" s="246"/>
      <c r="AZ51" s="250" t="str">
        <f>BA50&amp;"-"&amp;BC50</f>
        <v>45839-46022</v>
      </c>
      <c r="BA51" s="3912"/>
      <c r="BB51" s="3759"/>
      <c r="BC51" s="3912"/>
      <c r="BD51" s="3759"/>
      <c r="BE51" s="246"/>
      <c r="BF51" s="246"/>
      <c r="BG51" s="250" t="str">
        <f>BH50&amp;"-"&amp;BJ50</f>
        <v>46023-46203</v>
      </c>
      <c r="BH51" s="3912"/>
      <c r="BI51" s="3759"/>
      <c r="BJ51" s="3912"/>
      <c r="BK51" s="3759"/>
      <c r="BL51" s="246"/>
      <c r="BM51" s="246"/>
      <c r="BN51" s="250" t="str">
        <f>BO50&amp;"-"&amp;BQ50</f>
        <v>46204-46387</v>
      </c>
      <c r="BO51" s="3912"/>
      <c r="BP51" s="3759"/>
      <c r="BQ51" s="3912"/>
      <c r="BR51" s="3759"/>
      <c r="BS51" s="246"/>
      <c r="BT51" s="246"/>
      <c r="BU51" s="250" t="str">
        <f>BV50&amp;"-"&amp;BX50</f>
        <v>46388-46568</v>
      </c>
      <c r="BV51" s="3912"/>
      <c r="BW51" s="3759"/>
      <c r="BX51" s="3912"/>
      <c r="BY51" s="3759"/>
      <c r="BZ51" s="246"/>
      <c r="CA51" s="246"/>
      <c r="CB51" s="250" t="str">
        <f>CC50&amp;"-"&amp;CE50</f>
        <v>46569-46752</v>
      </c>
      <c r="CC51" s="3912"/>
      <c r="CD51" s="3759"/>
      <c r="CE51" s="3912"/>
      <c r="CF51" s="3759"/>
      <c r="CG51" s="246"/>
      <c r="CH51" s="246"/>
      <c r="CI51" s="250" t="str">
        <f>CJ50&amp;"-"&amp;CL50</f>
        <v>46753-46934</v>
      </c>
      <c r="CJ51" s="3912"/>
      <c r="CK51" s="3759"/>
      <c r="CL51" s="3912"/>
      <c r="CM51" s="3759"/>
      <c r="CN51" s="246"/>
      <c r="CO51" s="246"/>
      <c r="CP51" s="250" t="str">
        <f>CQ50&amp;"-"&amp;CS50</f>
        <v>46935-47118</v>
      </c>
      <c r="CQ51" s="3912"/>
      <c r="CR51" s="3759"/>
      <c r="CS51" s="3912"/>
      <c r="CT51" s="3759"/>
      <c r="CU51" s="1359"/>
      <c r="CV51" s="3966"/>
      <c r="CW51" s="1562"/>
      <c r="CX51" s="1544"/>
      <c r="CY51" s="1544" t="str">
        <f t="shared" si="1"/>
        <v/>
      </c>
      <c r="CZ51" s="1544"/>
      <c r="DA51" s="1544"/>
    </row>
    <row r="52" spans="1:105" s="1827" customFormat="1" ht="21" customHeight="1">
      <c r="A52" s="1284"/>
      <c r="B52" s="1284"/>
      <c r="C52" s="1284"/>
      <c r="D52" s="1284"/>
      <c r="E52" s="3909"/>
      <c r="F52" s="3909"/>
      <c r="G52" s="3909"/>
      <c r="H52" s="3909"/>
      <c r="I52" s="3929"/>
      <c r="J52" s="3906" t="str">
        <f>I44&amp;".1"</f>
        <v>1.1.1.1.1</v>
      </c>
      <c r="K52" s="1284"/>
      <c r="L52" s="1290"/>
      <c r="M52" s="1696"/>
      <c r="N52" s="1696"/>
      <c r="O52" s="1696"/>
      <c r="P52" s="3907"/>
      <c r="Q52" s="3907"/>
      <c r="R52" s="277"/>
      <c r="S52" s="2117"/>
      <c r="T52" s="2118" t="s">
        <v>514</v>
      </c>
      <c r="U52" s="2119"/>
      <c r="V52" s="2120"/>
      <c r="W52" s="2121"/>
      <c r="X52" s="2122"/>
      <c r="Y52" s="2123"/>
      <c r="Z52" s="2124"/>
      <c r="AA52" s="2125"/>
      <c r="AB52" s="2126"/>
      <c r="AC52" s="2127"/>
      <c r="AD52" s="2128"/>
      <c r="AE52" s="2129"/>
      <c r="AF52" s="2130"/>
      <c r="AG52" s="2131"/>
      <c r="AH52" s="2132"/>
      <c r="AI52" s="2133"/>
      <c r="AJ52" s="2134"/>
      <c r="AK52" s="2135"/>
      <c r="AL52" s="2136"/>
      <c r="AM52" s="2137"/>
      <c r="AN52" s="2138"/>
      <c r="AO52" s="2139"/>
      <c r="AP52" s="2140"/>
      <c r="AQ52" s="2141"/>
      <c r="AR52" s="2142"/>
      <c r="AS52" s="2143"/>
      <c r="AT52" s="2144"/>
      <c r="AU52" s="2145"/>
      <c r="AV52" s="2146"/>
      <c r="AW52" s="2147"/>
      <c r="AX52" s="2148"/>
      <c r="AY52" s="2149"/>
      <c r="AZ52" s="2150"/>
      <c r="BA52" s="2151"/>
      <c r="BB52" s="2152"/>
      <c r="BC52" s="2153"/>
      <c r="BD52" s="2154"/>
      <c r="BE52" s="2155"/>
      <c r="BF52" s="2156"/>
      <c r="BG52" s="2157"/>
      <c r="BH52" s="2158"/>
      <c r="BI52" s="2159"/>
      <c r="BJ52" s="2160"/>
      <c r="BK52" s="2161"/>
      <c r="BL52" s="2162"/>
      <c r="BM52" s="2163"/>
      <c r="BN52" s="2164"/>
      <c r="BO52" s="2165"/>
      <c r="BP52" s="2166"/>
      <c r="BQ52" s="2167"/>
      <c r="BR52" s="2168"/>
      <c r="BS52" s="2169"/>
      <c r="BT52" s="2170"/>
      <c r="BU52" s="2171"/>
      <c r="BV52" s="2172"/>
      <c r="BW52" s="2173"/>
      <c r="BX52" s="2174"/>
      <c r="BY52" s="2175"/>
      <c r="BZ52" s="2176"/>
      <c r="CA52" s="2177"/>
      <c r="CB52" s="2178"/>
      <c r="CC52" s="2179"/>
      <c r="CD52" s="2180"/>
      <c r="CE52" s="2181"/>
      <c r="CF52" s="2182"/>
      <c r="CG52" s="2183"/>
      <c r="CH52" s="2184"/>
      <c r="CI52" s="2185"/>
      <c r="CJ52" s="2186"/>
      <c r="CK52" s="2187"/>
      <c r="CL52" s="2188"/>
      <c r="CM52" s="2189"/>
      <c r="CN52" s="2190"/>
      <c r="CO52" s="2191"/>
      <c r="CP52" s="2192"/>
      <c r="CQ52" s="2193"/>
      <c r="CR52" s="2194"/>
      <c r="CS52" s="2195"/>
      <c r="CT52" s="2196"/>
      <c r="CU52" s="2197"/>
      <c r="CV52" s="1182" t="s">
        <v>515</v>
      </c>
      <c r="CW52" s="1562"/>
      <c r="CX52" s="1544"/>
      <c r="CY52" s="1544" t="str">
        <f t="shared" si="1"/>
        <v>Добавить значение признака дифференциации</v>
      </c>
      <c r="CZ52" s="1544"/>
      <c r="DA52" s="1544"/>
    </row>
    <row r="53" spans="1:105" ht="21" customHeight="1">
      <c r="A53" s="1284" t="s">
        <v>237</v>
      </c>
      <c r="B53" s="1284" t="s">
        <v>238</v>
      </c>
      <c r="C53" s="1284" t="s">
        <v>239</v>
      </c>
      <c r="D53" s="1284" t="s">
        <v>524</v>
      </c>
      <c r="E53" s="3909"/>
      <c r="F53" s="3909"/>
      <c r="G53" s="3909"/>
      <c r="H53" s="3909"/>
      <c r="I53" s="3906"/>
      <c r="J53" s="1284"/>
      <c r="K53" s="1284"/>
      <c r="L53" s="1285"/>
      <c r="P53" s="3907"/>
      <c r="Q53" s="1368"/>
      <c r="R53" s="277"/>
      <c r="S53" s="1203"/>
      <c r="T53" s="288" t="s">
        <v>443</v>
      </c>
      <c r="U53" s="291"/>
      <c r="V53" s="291"/>
      <c r="W53" s="291"/>
      <c r="X53" s="291"/>
      <c r="Y53" s="291"/>
      <c r="Z53" s="291"/>
      <c r="AA53" s="291"/>
      <c r="AB53" s="290"/>
      <c r="AC53" s="291"/>
      <c r="AD53" s="291"/>
      <c r="AE53" s="291"/>
      <c r="AF53" s="291"/>
      <c r="AG53" s="291"/>
      <c r="AH53" s="291"/>
      <c r="AI53" s="290"/>
      <c r="AJ53" s="2198"/>
      <c r="AK53" s="2199"/>
      <c r="AL53" s="2200"/>
      <c r="AM53" s="2201"/>
      <c r="AN53" s="2202"/>
      <c r="AO53" s="2203"/>
      <c r="AP53" s="2204"/>
      <c r="AQ53" s="2205"/>
      <c r="AR53" s="2206"/>
      <c r="AS53" s="2207"/>
      <c r="AT53" s="2208"/>
      <c r="AU53" s="2209"/>
      <c r="AV53" s="2210"/>
      <c r="AW53" s="2211"/>
      <c r="AX53" s="2212"/>
      <c r="AY53" s="2213"/>
      <c r="AZ53" s="2214"/>
      <c r="BA53" s="2215"/>
      <c r="BB53" s="2216"/>
      <c r="BC53" s="2217"/>
      <c r="BD53" s="2218"/>
      <c r="BE53" s="2219"/>
      <c r="BF53" s="2220"/>
      <c r="BG53" s="2221"/>
      <c r="BH53" s="2222"/>
      <c r="BI53" s="2223"/>
      <c r="BJ53" s="2224"/>
      <c r="BK53" s="2225"/>
      <c r="BL53" s="2226"/>
      <c r="BM53" s="2227"/>
      <c r="BN53" s="2228"/>
      <c r="BO53" s="2229"/>
      <c r="BP53" s="2230"/>
      <c r="BQ53" s="2231"/>
      <c r="BR53" s="2232"/>
      <c r="BS53" s="2233"/>
      <c r="BT53" s="2234"/>
      <c r="BU53" s="2235"/>
      <c r="BV53" s="2236"/>
      <c r="BW53" s="2237"/>
      <c r="BX53" s="2238"/>
      <c r="BY53" s="2239"/>
      <c r="BZ53" s="2240"/>
      <c r="CA53" s="2241"/>
      <c r="CB53" s="2242"/>
      <c r="CC53" s="2243"/>
      <c r="CD53" s="2244"/>
      <c r="CE53" s="2245"/>
      <c r="CF53" s="2246"/>
      <c r="CG53" s="2247"/>
      <c r="CH53" s="2248"/>
      <c r="CI53" s="2249"/>
      <c r="CJ53" s="2250"/>
      <c r="CK53" s="2251"/>
      <c r="CL53" s="2252"/>
      <c r="CM53" s="2253"/>
      <c r="CN53" s="2254"/>
      <c r="CO53" s="2255"/>
      <c r="CP53" s="2256"/>
      <c r="CQ53" s="2257"/>
      <c r="CR53" s="2258"/>
      <c r="CS53" s="2259"/>
      <c r="CT53" s="2260"/>
      <c r="CU53" s="291"/>
      <c r="CV53" s="1360"/>
      <c r="CX53" s="424"/>
      <c r="CY53" s="424" t="str">
        <f t="shared" si="1"/>
        <v>Добавить группу потребителей</v>
      </c>
      <c r="CZ53" s="424"/>
      <c r="DA53" s="424"/>
    </row>
    <row r="54" spans="1:105" ht="21" customHeight="1">
      <c r="A54" s="1284" t="s">
        <v>237</v>
      </c>
      <c r="B54" s="1284" t="s">
        <v>238</v>
      </c>
      <c r="C54" s="1284" t="s">
        <v>239</v>
      </c>
      <c r="D54" s="1284" t="s">
        <v>524</v>
      </c>
      <c r="E54" s="3909"/>
      <c r="F54" s="3909"/>
      <c r="G54" s="3909"/>
      <c r="H54" s="3908"/>
      <c r="I54" s="1284"/>
      <c r="J54" s="1284"/>
      <c r="K54" s="1284"/>
      <c r="L54" s="1285"/>
      <c r="M54" s="1286"/>
      <c r="N54" s="1286"/>
      <c r="O54" s="460"/>
      <c r="P54" s="281"/>
      <c r="Q54" s="299"/>
      <c r="R54" s="276"/>
      <c r="S54" s="1203"/>
      <c r="T54" s="296" t="s">
        <v>516</v>
      </c>
      <c r="U54" s="291"/>
      <c r="V54" s="291"/>
      <c r="W54" s="291"/>
      <c r="X54" s="291"/>
      <c r="Y54" s="291"/>
      <c r="Z54" s="291"/>
      <c r="AA54" s="291"/>
      <c r="AB54" s="290"/>
      <c r="AC54" s="291"/>
      <c r="AD54" s="291"/>
      <c r="AE54" s="291"/>
      <c r="AF54" s="291"/>
      <c r="AG54" s="291"/>
      <c r="AH54" s="291"/>
      <c r="AI54" s="290"/>
      <c r="AJ54" s="2261"/>
      <c r="AK54" s="2262"/>
      <c r="AL54" s="2263"/>
      <c r="AM54" s="2264"/>
      <c r="AN54" s="2265"/>
      <c r="AO54" s="2266"/>
      <c r="AP54" s="2267"/>
      <c r="AQ54" s="2268"/>
      <c r="AR54" s="2269"/>
      <c r="AS54" s="2270"/>
      <c r="AT54" s="2271"/>
      <c r="AU54" s="2272"/>
      <c r="AV54" s="2273"/>
      <c r="AW54" s="2274"/>
      <c r="AX54" s="2275"/>
      <c r="AY54" s="2276"/>
      <c r="AZ54" s="2277"/>
      <c r="BA54" s="2278"/>
      <c r="BB54" s="2279"/>
      <c r="BC54" s="2280"/>
      <c r="BD54" s="2281"/>
      <c r="BE54" s="2282"/>
      <c r="BF54" s="2283"/>
      <c r="BG54" s="2284"/>
      <c r="BH54" s="2285"/>
      <c r="BI54" s="2286"/>
      <c r="BJ54" s="2287"/>
      <c r="BK54" s="2288"/>
      <c r="BL54" s="2289"/>
      <c r="BM54" s="2290"/>
      <c r="BN54" s="2291"/>
      <c r="BO54" s="2292"/>
      <c r="BP54" s="2293"/>
      <c r="BQ54" s="2294"/>
      <c r="BR54" s="2295"/>
      <c r="BS54" s="2296"/>
      <c r="BT54" s="2297"/>
      <c r="BU54" s="2298"/>
      <c r="BV54" s="2299"/>
      <c r="BW54" s="2300"/>
      <c r="BX54" s="2301"/>
      <c r="BY54" s="2302"/>
      <c r="BZ54" s="2303"/>
      <c r="CA54" s="2304"/>
      <c r="CB54" s="2305"/>
      <c r="CC54" s="2306"/>
      <c r="CD54" s="2307"/>
      <c r="CE54" s="2308"/>
      <c r="CF54" s="2309"/>
      <c r="CG54" s="2310"/>
      <c r="CH54" s="2311"/>
      <c r="CI54" s="2312"/>
      <c r="CJ54" s="2313"/>
      <c r="CK54" s="2314"/>
      <c r="CL54" s="2315"/>
      <c r="CM54" s="2316"/>
      <c r="CN54" s="2317"/>
      <c r="CO54" s="2318"/>
      <c r="CP54" s="2319"/>
      <c r="CQ54" s="2320"/>
      <c r="CR54" s="2321"/>
      <c r="CS54" s="2322"/>
      <c r="CT54" s="2323"/>
      <c r="CU54" s="291"/>
      <c r="CV54" s="217"/>
      <c r="CX54" s="424"/>
      <c r="CY54" s="424" t="str">
        <f t="shared" si="1"/>
        <v>Добавить наименование признака дифференциации</v>
      </c>
      <c r="CZ54" s="424"/>
      <c r="DA54" s="424"/>
    </row>
    <row r="55" spans="1:105" s="1562" customFormat="1" ht="0" hidden="1" customHeight="1">
      <c r="A55" s="1265" t="s">
        <v>237</v>
      </c>
      <c r="B55" s="1265" t="s">
        <v>238</v>
      </c>
      <c r="C55" s="1237"/>
      <c r="D55" s="1237"/>
      <c r="E55" s="3909"/>
      <c r="F55" s="3908"/>
      <c r="G55" s="1237"/>
      <c r="H55" s="1237"/>
      <c r="I55" s="1237"/>
      <c r="J55" s="1237"/>
      <c r="K55" s="1237"/>
      <c r="L55" s="1376"/>
      <c r="M55" s="1244"/>
      <c r="N55" s="1244"/>
      <c r="P55" s="1239"/>
      <c r="Q55" s="1240"/>
      <c r="R55" s="1239"/>
      <c r="S55" s="1245"/>
      <c r="T55" s="1248" t="s">
        <v>240</v>
      </c>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c r="CB55" s="1247"/>
      <c r="CC55" s="1247"/>
      <c r="CD55" s="1247"/>
      <c r="CE55" s="1247"/>
      <c r="CF55" s="1247"/>
      <c r="CG55" s="1247"/>
      <c r="CH55" s="1247"/>
      <c r="CI55" s="1247"/>
      <c r="CJ55" s="1247"/>
      <c r="CK55" s="1247"/>
      <c r="CL55" s="1247"/>
      <c r="CM55" s="1247"/>
      <c r="CN55" s="1247"/>
      <c r="CO55" s="1247"/>
      <c r="CP55" s="1247"/>
      <c r="CQ55" s="1247"/>
      <c r="CR55" s="1247"/>
      <c r="CS55" s="1247"/>
      <c r="CT55" s="1247"/>
      <c r="CU55" s="1247"/>
      <c r="CV55" s="1247"/>
      <c r="CX55" s="703"/>
      <c r="CY55" s="703" t="str">
        <f t="shared" si="1"/>
        <v>Добавить централизованную систему для дифференциации</v>
      </c>
      <c r="CZ55" s="703"/>
      <c r="DA55" s="703"/>
    </row>
    <row r="56" spans="1:105" s="1562" customFormat="1" ht="0" hidden="1" customHeight="1">
      <c r="A56" s="1265" t="s">
        <v>237</v>
      </c>
      <c r="B56" s="1265"/>
      <c r="C56" s="1265"/>
      <c r="D56" s="1265"/>
      <c r="E56" s="3908"/>
      <c r="F56" s="1265"/>
      <c r="G56" s="1265"/>
      <c r="H56" s="1265"/>
      <c r="I56" s="1265"/>
      <c r="J56" s="1265"/>
      <c r="K56" s="1265"/>
      <c r="L56" s="1268"/>
      <c r="M56" s="1244"/>
      <c r="N56" s="1244"/>
      <c r="O56" s="442"/>
      <c r="P56" s="308"/>
      <c r="Q56" s="1266"/>
      <c r="R56" s="308"/>
      <c r="S56" s="1245"/>
      <c r="T56" s="1248" t="s">
        <v>241</v>
      </c>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X56" s="424"/>
      <c r="CY56" s="424" t="str">
        <f t="shared" si="1"/>
        <v>Добавить территорию для дифференциации</v>
      </c>
      <c r="CZ56" s="424"/>
      <c r="DA56" s="424"/>
    </row>
    <row r="57" spans="1:105" s="1827" customFormat="1" ht="23.25" customHeight="1">
      <c r="A57" s="1284" t="s">
        <v>243</v>
      </c>
      <c r="B57" s="1284"/>
      <c r="C57" s="1284"/>
      <c r="D57" s="1284"/>
      <c r="E57" s="3908" t="s">
        <v>102</v>
      </c>
      <c r="F57" s="1284"/>
      <c r="G57" s="1284"/>
      <c r="H57" s="1284"/>
      <c r="I57" s="1284"/>
      <c r="J57" s="1284"/>
      <c r="K57" s="1284"/>
      <c r="L57" s="1290"/>
      <c r="M57" s="1286"/>
      <c r="N57" s="1286"/>
      <c r="O57" s="1286"/>
      <c r="P57" s="1817"/>
      <c r="Q57" s="1742"/>
      <c r="R57" s="276"/>
      <c r="S57" s="1813" t="str">
        <f>INDEX(PT_DIFFERENTIATION_NUM_NTAR,MATCH(A57,PT_DIFFERENTIATION_NTAR_ID,0))</f>
        <v>2</v>
      </c>
      <c r="T57" s="1440" t="s">
        <v>141</v>
      </c>
      <c r="U57" s="214"/>
      <c r="V57" s="3894"/>
      <c r="W57" s="3895"/>
      <c r="X57" s="3895"/>
      <c r="Y57" s="3895"/>
      <c r="Z57" s="3895"/>
      <c r="AA57" s="3895"/>
      <c r="AB57" s="3896"/>
      <c r="AC57" s="3894" t="str">
        <f>INDEX(PT_DIFFERENTIATION_NTAR,MATCH(A57,PT_DIFFERENTIATION_NTAR_ID,0))</f>
        <v>Тариф на техническую воду для потребителей, присоединенных к централизованной системе технического водоснабжения Изобильненского муниципального округа</v>
      </c>
      <c r="AD57" s="3895"/>
      <c r="AE57" s="3895"/>
      <c r="AF57" s="3895"/>
      <c r="AG57" s="3895"/>
      <c r="AH57" s="3895"/>
      <c r="AI57" s="3895"/>
      <c r="AJ57" s="3894"/>
      <c r="AK57" s="3895"/>
      <c r="AL57" s="3895"/>
      <c r="AM57" s="3895"/>
      <c r="AN57" s="3895"/>
      <c r="AO57" s="3895"/>
      <c r="AP57" s="3896"/>
      <c r="AQ57" s="3894"/>
      <c r="AR57" s="3895"/>
      <c r="AS57" s="3895"/>
      <c r="AT57" s="3895"/>
      <c r="AU57" s="3895"/>
      <c r="AV57" s="3895"/>
      <c r="AW57" s="3896"/>
      <c r="AX57" s="3894"/>
      <c r="AY57" s="3895"/>
      <c r="AZ57" s="3895"/>
      <c r="BA57" s="3895"/>
      <c r="BB57" s="3895"/>
      <c r="BC57" s="3895"/>
      <c r="BD57" s="3896"/>
      <c r="BE57" s="3894"/>
      <c r="BF57" s="3895"/>
      <c r="BG57" s="3895"/>
      <c r="BH57" s="3895"/>
      <c r="BI57" s="3895"/>
      <c r="BJ57" s="3895"/>
      <c r="BK57" s="3896"/>
      <c r="BL57" s="3894"/>
      <c r="BM57" s="3895"/>
      <c r="BN57" s="3895"/>
      <c r="BO57" s="3895"/>
      <c r="BP57" s="3895"/>
      <c r="BQ57" s="3895"/>
      <c r="BR57" s="3896"/>
      <c r="BS57" s="3894"/>
      <c r="BT57" s="3895"/>
      <c r="BU57" s="3895"/>
      <c r="BV57" s="3895"/>
      <c r="BW57" s="3895"/>
      <c r="BX57" s="3895"/>
      <c r="BY57" s="3896"/>
      <c r="BZ57" s="3894"/>
      <c r="CA57" s="3895"/>
      <c r="CB57" s="3895"/>
      <c r="CC57" s="3895"/>
      <c r="CD57" s="3895"/>
      <c r="CE57" s="3895"/>
      <c r="CF57" s="3896"/>
      <c r="CG57" s="3894"/>
      <c r="CH57" s="3895"/>
      <c r="CI57" s="3895"/>
      <c r="CJ57" s="3895"/>
      <c r="CK57" s="3895"/>
      <c r="CL57" s="3895"/>
      <c r="CM57" s="3896"/>
      <c r="CN57" s="3894"/>
      <c r="CO57" s="3895"/>
      <c r="CP57" s="3895"/>
      <c r="CQ57" s="3895"/>
      <c r="CR57" s="3895"/>
      <c r="CS57" s="3895"/>
      <c r="CT57" s="3896"/>
      <c r="CU57" s="3896"/>
      <c r="CV57"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57" s="1562"/>
      <c r="CX57" s="1544"/>
      <c r="CY57" s="1544" t="str">
        <f t="shared" si="1"/>
        <v>Наименование тарифа</v>
      </c>
      <c r="CZ57" s="1544"/>
      <c r="DA57" s="1544"/>
    </row>
    <row r="58" spans="1:105" s="1827" customFormat="1" ht="23.25" customHeight="1">
      <c r="A58" s="1284"/>
      <c r="B58" s="1284" t="s">
        <v>244</v>
      </c>
      <c r="C58" s="1284"/>
      <c r="D58" s="1284"/>
      <c r="E58" s="3909">
        <v>1</v>
      </c>
      <c r="F58" s="3908">
        <v>1</v>
      </c>
      <c r="G58" s="1284"/>
      <c r="H58" s="1284"/>
      <c r="I58" s="1284"/>
      <c r="J58" s="1284"/>
      <c r="K58" s="1284"/>
      <c r="L58" s="1290"/>
      <c r="M58" s="1286"/>
      <c r="N58" s="1286"/>
      <c r="O58" s="1286"/>
      <c r="P58" s="1807"/>
      <c r="Q58" s="273"/>
      <c r="R58" s="274"/>
      <c r="S58" s="1813" t="str">
        <f>INDEX(PT_DIFFERENTIATION_NUM_TER,MATCH(B58,PT_DIFFERENTIATION_TER_ID,0))</f>
        <v>2.1</v>
      </c>
      <c r="T58" s="1437" t="s">
        <v>428</v>
      </c>
      <c r="U58" s="214"/>
      <c r="V58" s="3894"/>
      <c r="W58" s="3895"/>
      <c r="X58" s="3895"/>
      <c r="Y58" s="3895"/>
      <c r="Z58" s="3895"/>
      <c r="AA58" s="3895"/>
      <c r="AB58" s="3896"/>
      <c r="AC58" s="3894" t="str">
        <f>INDEX(PT_DIFFERENTIATION_TER,MATCH(B58,PT_DIFFERENTIATION_TER_ID,0))</f>
        <v>Территория 2</v>
      </c>
      <c r="AD58" s="3895"/>
      <c r="AE58" s="3895"/>
      <c r="AF58" s="3895"/>
      <c r="AG58" s="3895"/>
      <c r="AH58" s="3895"/>
      <c r="AI58" s="3895"/>
      <c r="AJ58" s="3894"/>
      <c r="AK58" s="3895"/>
      <c r="AL58" s="3895"/>
      <c r="AM58" s="3895"/>
      <c r="AN58" s="3895"/>
      <c r="AO58" s="3895"/>
      <c r="AP58" s="3896"/>
      <c r="AQ58" s="3894"/>
      <c r="AR58" s="3895"/>
      <c r="AS58" s="3895"/>
      <c r="AT58" s="3895"/>
      <c r="AU58" s="3895"/>
      <c r="AV58" s="3895"/>
      <c r="AW58" s="3896"/>
      <c r="AX58" s="3894"/>
      <c r="AY58" s="3895"/>
      <c r="AZ58" s="3895"/>
      <c r="BA58" s="3895"/>
      <c r="BB58" s="3895"/>
      <c r="BC58" s="3895"/>
      <c r="BD58" s="3896"/>
      <c r="BE58" s="3894"/>
      <c r="BF58" s="3895"/>
      <c r="BG58" s="3895"/>
      <c r="BH58" s="3895"/>
      <c r="BI58" s="3895"/>
      <c r="BJ58" s="3895"/>
      <c r="BK58" s="3896"/>
      <c r="BL58" s="3894"/>
      <c r="BM58" s="3895"/>
      <c r="BN58" s="3895"/>
      <c r="BO58" s="3895"/>
      <c r="BP58" s="3895"/>
      <c r="BQ58" s="3895"/>
      <c r="BR58" s="3896"/>
      <c r="BS58" s="3894"/>
      <c r="BT58" s="3895"/>
      <c r="BU58" s="3895"/>
      <c r="BV58" s="3895"/>
      <c r="BW58" s="3895"/>
      <c r="BX58" s="3895"/>
      <c r="BY58" s="3896"/>
      <c r="BZ58" s="3894"/>
      <c r="CA58" s="3895"/>
      <c r="CB58" s="3895"/>
      <c r="CC58" s="3895"/>
      <c r="CD58" s="3895"/>
      <c r="CE58" s="3895"/>
      <c r="CF58" s="3896"/>
      <c r="CG58" s="3894"/>
      <c r="CH58" s="3895"/>
      <c r="CI58" s="3895"/>
      <c r="CJ58" s="3895"/>
      <c r="CK58" s="3895"/>
      <c r="CL58" s="3895"/>
      <c r="CM58" s="3896"/>
      <c r="CN58" s="3894"/>
      <c r="CO58" s="3895"/>
      <c r="CP58" s="3895"/>
      <c r="CQ58" s="3895"/>
      <c r="CR58" s="3895"/>
      <c r="CS58" s="3895"/>
      <c r="CT58" s="3896"/>
      <c r="CU58" s="3896"/>
      <c r="CV58" s="1182" t="s">
        <v>429</v>
      </c>
      <c r="CW58" s="1562"/>
      <c r="CX58" s="1544"/>
      <c r="CY58" s="1544" t="str">
        <f t="shared" si="1"/>
        <v>Территория действия тарифа</v>
      </c>
      <c r="CZ58" s="1544"/>
      <c r="DA58" s="1544"/>
    </row>
    <row r="59" spans="1:105" s="1827" customFormat="1" ht="23.25" customHeight="1">
      <c r="A59" s="1284"/>
      <c r="B59" s="1284"/>
      <c r="C59" s="1284" t="s">
        <v>245</v>
      </c>
      <c r="D59" s="1284"/>
      <c r="E59" s="3909">
        <v>1</v>
      </c>
      <c r="F59" s="3909"/>
      <c r="G59" s="3908">
        <v>1</v>
      </c>
      <c r="H59" s="1284"/>
      <c r="I59" s="1284"/>
      <c r="J59" s="1284"/>
      <c r="K59" s="1284"/>
      <c r="L59" s="1290"/>
      <c r="M59" s="1286"/>
      <c r="N59" s="1286"/>
      <c r="O59" s="1286"/>
      <c r="P59" s="275"/>
      <c r="Q59" s="273"/>
      <c r="R59" s="274"/>
      <c r="S59" s="1813" t="str">
        <f>INDEX(PT_DIFFERENTIATION_NUM_CS,MATCH(C59,PT_DIFFERENTIATION_CS_ID,0))</f>
        <v>2.1.1</v>
      </c>
      <c r="T59" s="225" t="s">
        <v>509</v>
      </c>
      <c r="U59" s="214"/>
      <c r="V59" s="3894"/>
      <c r="W59" s="3895"/>
      <c r="X59" s="3895"/>
      <c r="Y59" s="3895"/>
      <c r="Z59" s="3895"/>
      <c r="AA59" s="3895"/>
      <c r="AB59" s="3896"/>
      <c r="AC59" s="3894" t="str">
        <f>INDEX(PT_DIFFERENTIATION_CS,MATCH(C59,PT_DIFFERENTIATION_CS_ID,0))</f>
        <v>без дифференциации</v>
      </c>
      <c r="AD59" s="3895"/>
      <c r="AE59" s="3895"/>
      <c r="AF59" s="3895"/>
      <c r="AG59" s="3895"/>
      <c r="AH59" s="3895"/>
      <c r="AI59" s="3895"/>
      <c r="AJ59" s="3894"/>
      <c r="AK59" s="3895"/>
      <c r="AL59" s="3895"/>
      <c r="AM59" s="3895"/>
      <c r="AN59" s="3895"/>
      <c r="AO59" s="3895"/>
      <c r="AP59" s="3896"/>
      <c r="AQ59" s="3894"/>
      <c r="AR59" s="3895"/>
      <c r="AS59" s="3895"/>
      <c r="AT59" s="3895"/>
      <c r="AU59" s="3895"/>
      <c r="AV59" s="3895"/>
      <c r="AW59" s="3896"/>
      <c r="AX59" s="3894"/>
      <c r="AY59" s="3895"/>
      <c r="AZ59" s="3895"/>
      <c r="BA59" s="3895"/>
      <c r="BB59" s="3895"/>
      <c r="BC59" s="3895"/>
      <c r="BD59" s="3896"/>
      <c r="BE59" s="3894"/>
      <c r="BF59" s="3895"/>
      <c r="BG59" s="3895"/>
      <c r="BH59" s="3895"/>
      <c r="BI59" s="3895"/>
      <c r="BJ59" s="3895"/>
      <c r="BK59" s="3896"/>
      <c r="BL59" s="3894"/>
      <c r="BM59" s="3895"/>
      <c r="BN59" s="3895"/>
      <c r="BO59" s="3895"/>
      <c r="BP59" s="3895"/>
      <c r="BQ59" s="3895"/>
      <c r="BR59" s="3896"/>
      <c r="BS59" s="3894"/>
      <c r="BT59" s="3895"/>
      <c r="BU59" s="3895"/>
      <c r="BV59" s="3895"/>
      <c r="BW59" s="3895"/>
      <c r="BX59" s="3895"/>
      <c r="BY59" s="3896"/>
      <c r="BZ59" s="3894"/>
      <c r="CA59" s="3895"/>
      <c r="CB59" s="3895"/>
      <c r="CC59" s="3895"/>
      <c r="CD59" s="3895"/>
      <c r="CE59" s="3895"/>
      <c r="CF59" s="3896"/>
      <c r="CG59" s="3894"/>
      <c r="CH59" s="3895"/>
      <c r="CI59" s="3895"/>
      <c r="CJ59" s="3895"/>
      <c r="CK59" s="3895"/>
      <c r="CL59" s="3895"/>
      <c r="CM59" s="3896"/>
      <c r="CN59" s="3894"/>
      <c r="CO59" s="3895"/>
      <c r="CP59" s="3895"/>
      <c r="CQ59" s="3895"/>
      <c r="CR59" s="3895"/>
      <c r="CS59" s="3895"/>
      <c r="CT59" s="3896"/>
      <c r="CU59" s="3896"/>
      <c r="CV59" s="1182" t="s">
        <v>510</v>
      </c>
      <c r="CW59" s="1562"/>
      <c r="CX59" s="1544"/>
      <c r="CY59" s="1544" t="str">
        <f t="shared" si="1"/>
        <v>Наименование централизованной системы холодного водоснабжения</v>
      </c>
      <c r="CZ59" s="1544"/>
      <c r="DA59" s="1544"/>
    </row>
    <row r="60" spans="1:105" s="1827" customFormat="1" ht="23.25" customHeight="1">
      <c r="A60" s="1284"/>
      <c r="B60" s="1284"/>
      <c r="C60" s="1284"/>
      <c r="D60" s="1284"/>
      <c r="E60" s="3909">
        <v>1</v>
      </c>
      <c r="F60" s="3909"/>
      <c r="G60" s="3909"/>
      <c r="H60" s="3909"/>
      <c r="I60" s="3906" t="str">
        <f>S59&amp;".1"</f>
        <v>2.1.1.1</v>
      </c>
      <c r="J60" s="1284"/>
      <c r="K60" s="1284"/>
      <c r="L60" s="1290"/>
      <c r="M60" s="1696"/>
      <c r="N60" s="1696"/>
      <c r="O60" s="1696"/>
      <c r="P60" s="3907">
        <v>1</v>
      </c>
      <c r="Q60" s="1816"/>
      <c r="R60" s="277"/>
      <c r="S60" s="1813" t="str">
        <f>$I60</f>
        <v>2.1.1.1</v>
      </c>
      <c r="T60" s="200" t="s">
        <v>511</v>
      </c>
      <c r="U60" s="214"/>
      <c r="V60" s="3967"/>
      <c r="W60" s="3968"/>
      <c r="X60" s="3968"/>
      <c r="Y60" s="3968"/>
      <c r="Z60" s="3968"/>
      <c r="AA60" s="3968"/>
      <c r="AB60" s="3969"/>
      <c r="AC60" s="3970"/>
      <c r="AD60" s="3971"/>
      <c r="AE60" s="3971"/>
      <c r="AF60" s="3971"/>
      <c r="AG60" s="3971"/>
      <c r="AH60" s="3971"/>
      <c r="AI60" s="3971"/>
      <c r="AJ60" s="3967"/>
      <c r="AK60" s="3968"/>
      <c r="AL60" s="3968"/>
      <c r="AM60" s="3968"/>
      <c r="AN60" s="3968"/>
      <c r="AO60" s="3968"/>
      <c r="AP60" s="3969"/>
      <c r="AQ60" s="3967"/>
      <c r="AR60" s="3968"/>
      <c r="AS60" s="3968"/>
      <c r="AT60" s="3968"/>
      <c r="AU60" s="3968"/>
      <c r="AV60" s="3968"/>
      <c r="AW60" s="3969"/>
      <c r="AX60" s="3967"/>
      <c r="AY60" s="3968"/>
      <c r="AZ60" s="3968"/>
      <c r="BA60" s="3968"/>
      <c r="BB60" s="3968"/>
      <c r="BC60" s="3968"/>
      <c r="BD60" s="3969"/>
      <c r="BE60" s="3967"/>
      <c r="BF60" s="3968"/>
      <c r="BG60" s="3968"/>
      <c r="BH60" s="3968"/>
      <c r="BI60" s="3968"/>
      <c r="BJ60" s="3968"/>
      <c r="BK60" s="3969"/>
      <c r="BL60" s="3967"/>
      <c r="BM60" s="3968"/>
      <c r="BN60" s="3968"/>
      <c r="BO60" s="3968"/>
      <c r="BP60" s="3968"/>
      <c r="BQ60" s="3968"/>
      <c r="BR60" s="3969"/>
      <c r="BS60" s="3967"/>
      <c r="BT60" s="3968"/>
      <c r="BU60" s="3968"/>
      <c r="BV60" s="3968"/>
      <c r="BW60" s="3968"/>
      <c r="BX60" s="3968"/>
      <c r="BY60" s="3969"/>
      <c r="BZ60" s="3967"/>
      <c r="CA60" s="3968"/>
      <c r="CB60" s="3968"/>
      <c r="CC60" s="3968"/>
      <c r="CD60" s="3968"/>
      <c r="CE60" s="3968"/>
      <c r="CF60" s="3969"/>
      <c r="CG60" s="3967"/>
      <c r="CH60" s="3968"/>
      <c r="CI60" s="3968"/>
      <c r="CJ60" s="3968"/>
      <c r="CK60" s="3968"/>
      <c r="CL60" s="3968"/>
      <c r="CM60" s="3969"/>
      <c r="CN60" s="3967"/>
      <c r="CO60" s="3968"/>
      <c r="CP60" s="3968"/>
      <c r="CQ60" s="3968"/>
      <c r="CR60" s="3968"/>
      <c r="CS60" s="3968"/>
      <c r="CT60" s="3969"/>
      <c r="CU60" s="3972"/>
      <c r="CV60" s="1182" t="s">
        <v>512</v>
      </c>
      <c r="CW60" s="1562"/>
      <c r="CX60" s="1544"/>
      <c r="CY60" s="1544" t="str">
        <f t="shared" si="1"/>
        <v>Наименование признака дифференциации</v>
      </c>
      <c r="CZ60" s="1544"/>
      <c r="DA60" s="1544"/>
    </row>
    <row r="61" spans="1:105" s="1827" customFormat="1" ht="23.25" customHeight="1">
      <c r="A61" s="1284"/>
      <c r="B61" s="1284"/>
      <c r="C61" s="1284"/>
      <c r="D61" s="1284"/>
      <c r="E61" s="3909">
        <v>1</v>
      </c>
      <c r="F61" s="3909"/>
      <c r="G61" s="3909"/>
      <c r="H61" s="3909"/>
      <c r="I61" s="3929"/>
      <c r="J61" s="3906" t="str">
        <f>I60&amp;".1"</f>
        <v>2.1.1.1.1</v>
      </c>
      <c r="K61" s="1284"/>
      <c r="L61" s="1290" t="s">
        <v>437</v>
      </c>
      <c r="M61" s="1696"/>
      <c r="N61" s="1696"/>
      <c r="O61" s="1696"/>
      <c r="P61" s="3907"/>
      <c r="Q61" s="3907">
        <v>1</v>
      </c>
      <c r="R61" s="278"/>
      <c r="S61" s="1813" t="str">
        <f>$J61</f>
        <v>2.1.1.1.1</v>
      </c>
      <c r="T61" s="201" t="s">
        <v>438</v>
      </c>
      <c r="U61" s="214"/>
      <c r="V61" s="3897"/>
      <c r="W61" s="3898"/>
      <c r="X61" s="3898"/>
      <c r="Y61" s="3898"/>
      <c r="Z61" s="3898"/>
      <c r="AA61" s="3898"/>
      <c r="AB61" s="3899"/>
      <c r="AC61" s="3897" t="s">
        <v>525</v>
      </c>
      <c r="AD61" s="3898"/>
      <c r="AE61" s="3898"/>
      <c r="AF61" s="3898"/>
      <c r="AG61" s="3898"/>
      <c r="AH61" s="3898"/>
      <c r="AI61" s="3898"/>
      <c r="AJ61" s="3897"/>
      <c r="AK61" s="3898"/>
      <c r="AL61" s="3898"/>
      <c r="AM61" s="3898"/>
      <c r="AN61" s="3898"/>
      <c r="AO61" s="3898"/>
      <c r="AP61" s="3899"/>
      <c r="AQ61" s="3897"/>
      <c r="AR61" s="3898"/>
      <c r="AS61" s="3898"/>
      <c r="AT61" s="3898"/>
      <c r="AU61" s="3898"/>
      <c r="AV61" s="3898"/>
      <c r="AW61" s="3899"/>
      <c r="AX61" s="3897"/>
      <c r="AY61" s="3898"/>
      <c r="AZ61" s="3898"/>
      <c r="BA61" s="3898"/>
      <c r="BB61" s="3898"/>
      <c r="BC61" s="3898"/>
      <c r="BD61" s="3899"/>
      <c r="BE61" s="3897"/>
      <c r="BF61" s="3898"/>
      <c r="BG61" s="3898"/>
      <c r="BH61" s="3898"/>
      <c r="BI61" s="3898"/>
      <c r="BJ61" s="3898"/>
      <c r="BK61" s="3899"/>
      <c r="BL61" s="3897"/>
      <c r="BM61" s="3898"/>
      <c r="BN61" s="3898"/>
      <c r="BO61" s="3898"/>
      <c r="BP61" s="3898"/>
      <c r="BQ61" s="3898"/>
      <c r="BR61" s="3899"/>
      <c r="BS61" s="3897"/>
      <c r="BT61" s="3898"/>
      <c r="BU61" s="3898"/>
      <c r="BV61" s="3898"/>
      <c r="BW61" s="3898"/>
      <c r="BX61" s="3898"/>
      <c r="BY61" s="3899"/>
      <c r="BZ61" s="3897"/>
      <c r="CA61" s="3898"/>
      <c r="CB61" s="3898"/>
      <c r="CC61" s="3898"/>
      <c r="CD61" s="3898"/>
      <c r="CE61" s="3898"/>
      <c r="CF61" s="3899"/>
      <c r="CG61" s="3897"/>
      <c r="CH61" s="3898"/>
      <c r="CI61" s="3898"/>
      <c r="CJ61" s="3898"/>
      <c r="CK61" s="3898"/>
      <c r="CL61" s="3898"/>
      <c r="CM61" s="3899"/>
      <c r="CN61" s="3897"/>
      <c r="CO61" s="3898"/>
      <c r="CP61" s="3898"/>
      <c r="CQ61" s="3898"/>
      <c r="CR61" s="3898"/>
      <c r="CS61" s="3898"/>
      <c r="CT61" s="3899"/>
      <c r="CU61" s="3899"/>
      <c r="CV61" s="1231" t="s">
        <v>513</v>
      </c>
      <c r="CW61" s="1562"/>
      <c r="CX61" s="1544"/>
      <c r="CY61" s="1544" t="str">
        <f t="shared" si="1"/>
        <v>Группа потребителей</v>
      </c>
      <c r="CZ61" s="1544"/>
      <c r="DA61" s="1544"/>
    </row>
    <row r="62" spans="1:105" s="1827" customFormat="1" ht="23.25" customHeight="1">
      <c r="A62" s="1284"/>
      <c r="B62" s="1284"/>
      <c r="C62" s="1284"/>
      <c r="D62" s="1284"/>
      <c r="E62" s="3909">
        <v>1</v>
      </c>
      <c r="F62" s="3909"/>
      <c r="G62" s="3909"/>
      <c r="H62" s="3909"/>
      <c r="I62" s="3929"/>
      <c r="J62" s="3929"/>
      <c r="K62" s="3906" t="str">
        <f>J61&amp;".1"</f>
        <v>2.1.1.1.1.1</v>
      </c>
      <c r="L62" s="1290"/>
      <c r="M62" s="1696"/>
      <c r="N62" s="1696"/>
      <c r="O62" s="1696"/>
      <c r="P62" s="3907"/>
      <c r="Q62" s="3907"/>
      <c r="R62" s="278">
        <v>1</v>
      </c>
      <c r="S62" s="1813" t="str">
        <f>$K62</f>
        <v>2.1.1.1.1.1</v>
      </c>
      <c r="T62" s="1357" t="s">
        <v>526</v>
      </c>
      <c r="U62" s="214"/>
      <c r="V62" s="666"/>
      <c r="W62" s="666"/>
      <c r="X62" s="1181"/>
      <c r="Y62" s="3911"/>
      <c r="Z62" s="3759" t="s">
        <v>60</v>
      </c>
      <c r="AA62" s="3911"/>
      <c r="AB62" s="3759" t="s">
        <v>60</v>
      </c>
      <c r="AC62" s="666">
        <v>60.64</v>
      </c>
      <c r="AD62" s="666"/>
      <c r="AE62" s="1181"/>
      <c r="AF62" s="3911">
        <v>45292</v>
      </c>
      <c r="AG62" s="3759" t="s">
        <v>60</v>
      </c>
      <c r="AH62" s="3930">
        <v>45473</v>
      </c>
      <c r="AI62" s="3759" t="s">
        <v>60</v>
      </c>
      <c r="AJ62" s="666">
        <v>66.099999999999994</v>
      </c>
      <c r="AK62" s="666"/>
      <c r="AL62" s="1181"/>
      <c r="AM62" s="3911">
        <v>45474</v>
      </c>
      <c r="AN62" s="3759" t="s">
        <v>60</v>
      </c>
      <c r="AO62" s="3911">
        <v>45657</v>
      </c>
      <c r="AP62" s="3759" t="s">
        <v>60</v>
      </c>
      <c r="AQ62" s="666">
        <v>66.099999999999994</v>
      </c>
      <c r="AR62" s="666"/>
      <c r="AS62" s="1181"/>
      <c r="AT62" s="3911">
        <v>45658</v>
      </c>
      <c r="AU62" s="3759" t="s">
        <v>60</v>
      </c>
      <c r="AV62" s="3911">
        <v>45838</v>
      </c>
      <c r="AW62" s="3759" t="s">
        <v>60</v>
      </c>
      <c r="AX62" s="666">
        <v>69.87</v>
      </c>
      <c r="AY62" s="666"/>
      <c r="AZ62" s="1181"/>
      <c r="BA62" s="3911">
        <v>45839</v>
      </c>
      <c r="BB62" s="3759" t="s">
        <v>60</v>
      </c>
      <c r="BC62" s="3911">
        <v>46022</v>
      </c>
      <c r="BD62" s="3759" t="s">
        <v>60</v>
      </c>
      <c r="BE62" s="666">
        <v>69.87</v>
      </c>
      <c r="BF62" s="666"/>
      <c r="BG62" s="1181"/>
      <c r="BH62" s="3911">
        <v>46023</v>
      </c>
      <c r="BI62" s="3759" t="s">
        <v>60</v>
      </c>
      <c r="BJ62" s="3911">
        <v>46203</v>
      </c>
      <c r="BK62" s="3759" t="s">
        <v>60</v>
      </c>
      <c r="BL62" s="666">
        <v>72.66</v>
      </c>
      <c r="BM62" s="666"/>
      <c r="BN62" s="1181"/>
      <c r="BO62" s="3911">
        <v>46204</v>
      </c>
      <c r="BP62" s="3759" t="s">
        <v>60</v>
      </c>
      <c r="BQ62" s="3911">
        <v>46387</v>
      </c>
      <c r="BR62" s="3759" t="s">
        <v>60</v>
      </c>
      <c r="BS62" s="666">
        <v>72.66</v>
      </c>
      <c r="BT62" s="666"/>
      <c r="BU62" s="1181"/>
      <c r="BV62" s="3911">
        <v>46388</v>
      </c>
      <c r="BW62" s="3759" t="s">
        <v>60</v>
      </c>
      <c r="BX62" s="3911">
        <v>46568</v>
      </c>
      <c r="BY62" s="3759" t="s">
        <v>60</v>
      </c>
      <c r="BZ62" s="666">
        <v>75.569999999999993</v>
      </c>
      <c r="CA62" s="666"/>
      <c r="CB62" s="1181"/>
      <c r="CC62" s="3911">
        <v>46569</v>
      </c>
      <c r="CD62" s="3759" t="s">
        <v>60</v>
      </c>
      <c r="CE62" s="3911">
        <v>46752</v>
      </c>
      <c r="CF62" s="3759" t="s">
        <v>60</v>
      </c>
      <c r="CG62" s="666">
        <v>75.569999999999993</v>
      </c>
      <c r="CH62" s="666"/>
      <c r="CI62" s="1181"/>
      <c r="CJ62" s="3911">
        <v>46753</v>
      </c>
      <c r="CK62" s="3759" t="s">
        <v>60</v>
      </c>
      <c r="CL62" s="3911">
        <v>46934</v>
      </c>
      <c r="CM62" s="3759" t="s">
        <v>60</v>
      </c>
      <c r="CN62" s="666">
        <v>78.59</v>
      </c>
      <c r="CO62" s="666"/>
      <c r="CP62" s="1181"/>
      <c r="CQ62" s="3911">
        <v>46935</v>
      </c>
      <c r="CR62" s="3759" t="s">
        <v>60</v>
      </c>
      <c r="CS62" s="3911">
        <v>47118</v>
      </c>
      <c r="CT62" s="3759" t="s">
        <v>60</v>
      </c>
      <c r="CU62" s="1358"/>
      <c r="CV62"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2" s="1562" t="e">
        <f ca="1">STRCHECKDATE(V63:CU63)</f>
        <v>#NAME?</v>
      </c>
      <c r="CX62" s="1544"/>
      <c r="CY62" s="1544" t="str">
        <f t="shared" si="1"/>
        <v>Тариф для населения, руб. за 1 куб. метр с НДС</v>
      </c>
      <c r="CZ62" s="1544"/>
      <c r="DA62" s="1544"/>
    </row>
    <row r="63" spans="1:105" s="1827" customFormat="1" ht="14.25" customHeight="1">
      <c r="A63" s="1284"/>
      <c r="B63" s="1284"/>
      <c r="C63" s="1284"/>
      <c r="D63" s="1284"/>
      <c r="E63" s="3909">
        <v>1</v>
      </c>
      <c r="F63" s="3909"/>
      <c r="G63" s="3909"/>
      <c r="H63" s="3909"/>
      <c r="I63" s="3929"/>
      <c r="J63" s="3929"/>
      <c r="K63" s="3906"/>
      <c r="L63" s="1290"/>
      <c r="M63" s="1696"/>
      <c r="N63" s="1696"/>
      <c r="O63" s="1696"/>
      <c r="P63" s="3907"/>
      <c r="Q63" s="3907"/>
      <c r="R63" s="278"/>
      <c r="S63" s="1822"/>
      <c r="T63" s="214"/>
      <c r="U63" s="214"/>
      <c r="V63" s="246"/>
      <c r="W63" s="246"/>
      <c r="X63" s="250" t="str">
        <f>Y62&amp;"-"&amp;AA62</f>
        <v>-</v>
      </c>
      <c r="Y63" s="3912"/>
      <c r="Z63" s="3759"/>
      <c r="AA63" s="3912"/>
      <c r="AB63" s="3759"/>
      <c r="AC63" s="246"/>
      <c r="AD63" s="246"/>
      <c r="AE63" s="250" t="str">
        <f>AF62&amp;"-"&amp;AH62</f>
        <v>45292-45473</v>
      </c>
      <c r="AF63" s="3912"/>
      <c r="AG63" s="3759"/>
      <c r="AH63" s="3931"/>
      <c r="AI63" s="3759"/>
      <c r="AJ63" s="246"/>
      <c r="AK63" s="246"/>
      <c r="AL63" s="250" t="str">
        <f>AM62&amp;"-"&amp;AO62</f>
        <v>45474-45657</v>
      </c>
      <c r="AM63" s="3912"/>
      <c r="AN63" s="3759"/>
      <c r="AO63" s="3912"/>
      <c r="AP63" s="3759"/>
      <c r="AQ63" s="246"/>
      <c r="AR63" s="246"/>
      <c r="AS63" s="250" t="str">
        <f>AT62&amp;"-"&amp;AV62</f>
        <v>45658-45838</v>
      </c>
      <c r="AT63" s="3912"/>
      <c r="AU63" s="3759"/>
      <c r="AV63" s="3912"/>
      <c r="AW63" s="3759"/>
      <c r="AX63" s="246"/>
      <c r="AY63" s="246"/>
      <c r="AZ63" s="250" t="str">
        <f>BA62&amp;"-"&amp;BC62</f>
        <v>45839-46022</v>
      </c>
      <c r="BA63" s="3912"/>
      <c r="BB63" s="3759"/>
      <c r="BC63" s="3912"/>
      <c r="BD63" s="3759"/>
      <c r="BE63" s="246"/>
      <c r="BF63" s="246"/>
      <c r="BG63" s="250" t="str">
        <f>BH62&amp;"-"&amp;BJ62</f>
        <v>46023-46203</v>
      </c>
      <c r="BH63" s="3912"/>
      <c r="BI63" s="3759"/>
      <c r="BJ63" s="3912"/>
      <c r="BK63" s="3759"/>
      <c r="BL63" s="246"/>
      <c r="BM63" s="246"/>
      <c r="BN63" s="250" t="str">
        <f>BO62&amp;"-"&amp;BQ62</f>
        <v>46204-46387</v>
      </c>
      <c r="BO63" s="3912"/>
      <c r="BP63" s="3759"/>
      <c r="BQ63" s="3912"/>
      <c r="BR63" s="3759"/>
      <c r="BS63" s="246"/>
      <c r="BT63" s="246"/>
      <c r="BU63" s="250" t="str">
        <f>BV62&amp;"-"&amp;BX62</f>
        <v>46388-46568</v>
      </c>
      <c r="BV63" s="3912"/>
      <c r="BW63" s="3759"/>
      <c r="BX63" s="3912"/>
      <c r="BY63" s="3759"/>
      <c r="BZ63" s="246"/>
      <c r="CA63" s="246"/>
      <c r="CB63" s="250" t="str">
        <f>CC62&amp;"-"&amp;CE62</f>
        <v>46569-46752</v>
      </c>
      <c r="CC63" s="3912"/>
      <c r="CD63" s="3759"/>
      <c r="CE63" s="3912"/>
      <c r="CF63" s="3759"/>
      <c r="CG63" s="246"/>
      <c r="CH63" s="246"/>
      <c r="CI63" s="250" t="str">
        <f>CJ62&amp;"-"&amp;CL62</f>
        <v>46753-46934</v>
      </c>
      <c r="CJ63" s="3912"/>
      <c r="CK63" s="3759"/>
      <c r="CL63" s="3912"/>
      <c r="CM63" s="3759"/>
      <c r="CN63" s="246"/>
      <c r="CO63" s="246"/>
      <c r="CP63" s="250" t="str">
        <f>CQ62&amp;"-"&amp;CS62</f>
        <v>46935-47118</v>
      </c>
      <c r="CQ63" s="3912"/>
      <c r="CR63" s="3759"/>
      <c r="CS63" s="3912"/>
      <c r="CT63" s="3759"/>
      <c r="CU63" s="1359"/>
      <c r="CV63" s="3966"/>
      <c r="CW63" s="1562"/>
      <c r="CX63" s="1544"/>
      <c r="CY63" s="1544" t="str">
        <f t="shared" si="1"/>
        <v/>
      </c>
      <c r="CZ63" s="1544"/>
      <c r="DA63" s="1544"/>
    </row>
    <row r="64" spans="1:105" s="1827" customFormat="1" ht="21" customHeight="1">
      <c r="A64" s="1284"/>
      <c r="B64" s="1284"/>
      <c r="C64" s="1284"/>
      <c r="D64" s="1284"/>
      <c r="E64" s="3909">
        <v>1</v>
      </c>
      <c r="F64" s="3909"/>
      <c r="G64" s="3909"/>
      <c r="H64" s="3909"/>
      <c r="I64" s="3929"/>
      <c r="J64" s="3906"/>
      <c r="K64" s="1284"/>
      <c r="L64" s="1290"/>
      <c r="M64" s="1696"/>
      <c r="N64" s="1696"/>
      <c r="O64" s="1696"/>
      <c r="P64" s="3907"/>
      <c r="Q64" s="3907"/>
      <c r="R64" s="277"/>
      <c r="S64" s="2324"/>
      <c r="T64" s="2325" t="s">
        <v>514</v>
      </c>
      <c r="U64" s="2326"/>
      <c r="V64" s="2327"/>
      <c r="W64" s="2328"/>
      <c r="X64" s="2329"/>
      <c r="Y64" s="2330"/>
      <c r="Z64" s="2331"/>
      <c r="AA64" s="2332"/>
      <c r="AB64" s="2333"/>
      <c r="AC64" s="2334"/>
      <c r="AD64" s="2335"/>
      <c r="AE64" s="2336"/>
      <c r="AF64" s="2337"/>
      <c r="AG64" s="2338"/>
      <c r="AH64" s="2339"/>
      <c r="AI64" s="2340"/>
      <c r="AJ64" s="2341"/>
      <c r="AK64" s="2342"/>
      <c r="AL64" s="2343"/>
      <c r="AM64" s="2344"/>
      <c r="AN64" s="2345"/>
      <c r="AO64" s="2346"/>
      <c r="AP64" s="2347"/>
      <c r="AQ64" s="2348"/>
      <c r="AR64" s="2349"/>
      <c r="AS64" s="2350"/>
      <c r="AT64" s="2351"/>
      <c r="AU64" s="2352"/>
      <c r="AV64" s="2353"/>
      <c r="AW64" s="2354"/>
      <c r="AX64" s="2355"/>
      <c r="AY64" s="2356"/>
      <c r="AZ64" s="2357"/>
      <c r="BA64" s="2358"/>
      <c r="BB64" s="2359"/>
      <c r="BC64" s="2360"/>
      <c r="BD64" s="2361"/>
      <c r="BE64" s="2362"/>
      <c r="BF64" s="2363"/>
      <c r="BG64" s="2364"/>
      <c r="BH64" s="2365"/>
      <c r="BI64" s="2366"/>
      <c r="BJ64" s="2367"/>
      <c r="BK64" s="2368"/>
      <c r="BL64" s="2369"/>
      <c r="BM64" s="2370"/>
      <c r="BN64" s="2371"/>
      <c r="BO64" s="2372"/>
      <c r="BP64" s="2373"/>
      <c r="BQ64" s="2374"/>
      <c r="BR64" s="2375"/>
      <c r="BS64" s="2376"/>
      <c r="BT64" s="2377"/>
      <c r="BU64" s="2378"/>
      <c r="BV64" s="2379"/>
      <c r="BW64" s="2380"/>
      <c r="BX64" s="2381"/>
      <c r="BY64" s="2382"/>
      <c r="BZ64" s="2383"/>
      <c r="CA64" s="2384"/>
      <c r="CB64" s="2385"/>
      <c r="CC64" s="2386"/>
      <c r="CD64" s="2387"/>
      <c r="CE64" s="2388"/>
      <c r="CF64" s="2389"/>
      <c r="CG64" s="2390"/>
      <c r="CH64" s="2391"/>
      <c r="CI64" s="2392"/>
      <c r="CJ64" s="2393"/>
      <c r="CK64" s="2394"/>
      <c r="CL64" s="2395"/>
      <c r="CM64" s="2396"/>
      <c r="CN64" s="2397"/>
      <c r="CO64" s="2398"/>
      <c r="CP64" s="2399"/>
      <c r="CQ64" s="2400"/>
      <c r="CR64" s="2401"/>
      <c r="CS64" s="2402"/>
      <c r="CT64" s="2403"/>
      <c r="CU64" s="2404"/>
      <c r="CV64" s="1182" t="s">
        <v>515</v>
      </c>
      <c r="CW64" s="1562"/>
      <c r="CX64" s="1544"/>
      <c r="CY64" s="1544" t="str">
        <f t="shared" si="1"/>
        <v>Добавить значение признака дифференциации</v>
      </c>
      <c r="CZ64" s="1544"/>
      <c r="DA64" s="1544"/>
    </row>
    <row r="65" spans="1:105" s="1827" customFormat="1" ht="23.25" customHeight="1">
      <c r="A65" s="1284"/>
      <c r="B65" s="1284"/>
      <c r="C65" s="1284"/>
      <c r="D65" s="1284"/>
      <c r="E65" s="3909"/>
      <c r="F65" s="3909"/>
      <c r="G65" s="3909"/>
      <c r="H65" s="3909"/>
      <c r="I65" s="3929"/>
      <c r="J65" s="3906" t="str">
        <f>I60&amp;".2"</f>
        <v>2.1.1.1.2</v>
      </c>
      <c r="K65" s="1284"/>
      <c r="L65" s="1290" t="s">
        <v>437</v>
      </c>
      <c r="M65" s="1696"/>
      <c r="N65" s="1696"/>
      <c r="O65" s="1696"/>
      <c r="P65" s="3907"/>
      <c r="Q65" s="3973" t="s">
        <v>103</v>
      </c>
      <c r="R65" s="278"/>
      <c r="S65" s="1813" t="str">
        <f>$J65</f>
        <v>2.1.1.1.2</v>
      </c>
      <c r="T65" s="201" t="s">
        <v>438</v>
      </c>
      <c r="U65" s="214"/>
      <c r="V65" s="3897"/>
      <c r="W65" s="3898"/>
      <c r="X65" s="3898"/>
      <c r="Y65" s="3898"/>
      <c r="Z65" s="3898"/>
      <c r="AA65" s="3898"/>
      <c r="AB65" s="3899"/>
      <c r="AC65" s="3897" t="s">
        <v>527</v>
      </c>
      <c r="AD65" s="3898"/>
      <c r="AE65" s="3898"/>
      <c r="AF65" s="3898"/>
      <c r="AG65" s="3898"/>
      <c r="AH65" s="3898"/>
      <c r="AI65" s="3898"/>
      <c r="AJ65" s="3897"/>
      <c r="AK65" s="3898"/>
      <c r="AL65" s="3898"/>
      <c r="AM65" s="3898"/>
      <c r="AN65" s="3898"/>
      <c r="AO65" s="3898"/>
      <c r="AP65" s="3899"/>
      <c r="AQ65" s="3897"/>
      <c r="AR65" s="3898"/>
      <c r="AS65" s="3898"/>
      <c r="AT65" s="3898"/>
      <c r="AU65" s="3898"/>
      <c r="AV65" s="3898"/>
      <c r="AW65" s="3899"/>
      <c r="AX65" s="3897"/>
      <c r="AY65" s="3898"/>
      <c r="AZ65" s="3898"/>
      <c r="BA65" s="3898"/>
      <c r="BB65" s="3898"/>
      <c r="BC65" s="3898"/>
      <c r="BD65" s="3899"/>
      <c r="BE65" s="3897"/>
      <c r="BF65" s="3898"/>
      <c r="BG65" s="3898"/>
      <c r="BH65" s="3898"/>
      <c r="BI65" s="3898"/>
      <c r="BJ65" s="3898"/>
      <c r="BK65" s="3899"/>
      <c r="BL65" s="3897"/>
      <c r="BM65" s="3898"/>
      <c r="BN65" s="3898"/>
      <c r="BO65" s="3898"/>
      <c r="BP65" s="3898"/>
      <c r="BQ65" s="3898"/>
      <c r="BR65" s="3899"/>
      <c r="BS65" s="3897"/>
      <c r="BT65" s="3898"/>
      <c r="BU65" s="3898"/>
      <c r="BV65" s="3898"/>
      <c r="BW65" s="3898"/>
      <c r="BX65" s="3898"/>
      <c r="BY65" s="3899"/>
      <c r="BZ65" s="3897"/>
      <c r="CA65" s="3898"/>
      <c r="CB65" s="3898"/>
      <c r="CC65" s="3898"/>
      <c r="CD65" s="3898"/>
      <c r="CE65" s="3898"/>
      <c r="CF65" s="3899"/>
      <c r="CG65" s="3897"/>
      <c r="CH65" s="3898"/>
      <c r="CI65" s="3898"/>
      <c r="CJ65" s="3898"/>
      <c r="CK65" s="3898"/>
      <c r="CL65" s="3898"/>
      <c r="CM65" s="3899"/>
      <c r="CN65" s="3897"/>
      <c r="CO65" s="3898"/>
      <c r="CP65" s="3898"/>
      <c r="CQ65" s="3898"/>
      <c r="CR65" s="3898"/>
      <c r="CS65" s="3898"/>
      <c r="CT65" s="3899"/>
      <c r="CU65" s="3899"/>
      <c r="CV65" s="1231" t="s">
        <v>513</v>
      </c>
      <c r="CW65" s="1562"/>
      <c r="CX65" s="1544"/>
      <c r="CY65" s="1544" t="str">
        <f t="shared" si="1"/>
        <v>Группа потребителей</v>
      </c>
      <c r="CZ65" s="1544"/>
      <c r="DA65" s="1544"/>
    </row>
    <row r="66" spans="1:105" s="1827" customFormat="1" ht="23.25" customHeight="1">
      <c r="A66" s="1284"/>
      <c r="B66" s="1284"/>
      <c r="C66" s="1284"/>
      <c r="D66" s="1284"/>
      <c r="E66" s="3909"/>
      <c r="F66" s="3909"/>
      <c r="G66" s="3909"/>
      <c r="H66" s="3909"/>
      <c r="I66" s="3929"/>
      <c r="J66" s="3929" t="str">
        <f>I60&amp;".1"</f>
        <v>2.1.1.1.1</v>
      </c>
      <c r="K66" s="3906" t="str">
        <f>J65&amp;".1"</f>
        <v>2.1.1.1.2.1</v>
      </c>
      <c r="L66" s="1290"/>
      <c r="M66" s="1696"/>
      <c r="N66" s="1696"/>
      <c r="O66" s="1696"/>
      <c r="P66" s="3907"/>
      <c r="Q66" s="3907"/>
      <c r="R66" s="278">
        <v>1</v>
      </c>
      <c r="S66" s="1813" t="str">
        <f>$K66</f>
        <v>2.1.1.1.2.1</v>
      </c>
      <c r="T66" s="1357" t="s">
        <v>528</v>
      </c>
      <c r="U66" s="214"/>
      <c r="V66" s="666"/>
      <c r="W66" s="666"/>
      <c r="X66" s="1181"/>
      <c r="Y66" s="3911"/>
      <c r="Z66" s="3759" t="s">
        <v>60</v>
      </c>
      <c r="AA66" s="3911"/>
      <c r="AB66" s="3759" t="s">
        <v>60</v>
      </c>
      <c r="AC66" s="666">
        <v>50.53</v>
      </c>
      <c r="AD66" s="666"/>
      <c r="AE66" s="1181"/>
      <c r="AF66" s="3911">
        <v>45292</v>
      </c>
      <c r="AG66" s="3759" t="s">
        <v>60</v>
      </c>
      <c r="AH66" s="3930">
        <v>45473</v>
      </c>
      <c r="AI66" s="3759" t="s">
        <v>60</v>
      </c>
      <c r="AJ66" s="666">
        <v>69.37</v>
      </c>
      <c r="AK66" s="666"/>
      <c r="AL66" s="1181"/>
      <c r="AM66" s="3911">
        <v>45474</v>
      </c>
      <c r="AN66" s="3759" t="s">
        <v>60</v>
      </c>
      <c r="AO66" s="3911">
        <v>45657</v>
      </c>
      <c r="AP66" s="3759" t="s">
        <v>60</v>
      </c>
      <c r="AQ66" s="666">
        <v>69.37</v>
      </c>
      <c r="AR66" s="666"/>
      <c r="AS66" s="1181"/>
      <c r="AT66" s="3911">
        <v>45658</v>
      </c>
      <c r="AU66" s="3759" t="s">
        <v>60</v>
      </c>
      <c r="AV66" s="3911">
        <v>45838</v>
      </c>
      <c r="AW66" s="3759" t="s">
        <v>60</v>
      </c>
      <c r="AX66" s="666">
        <v>69.739999999999995</v>
      </c>
      <c r="AY66" s="666"/>
      <c r="AZ66" s="1181"/>
      <c r="BA66" s="3911">
        <v>45839</v>
      </c>
      <c r="BB66" s="3759" t="s">
        <v>60</v>
      </c>
      <c r="BC66" s="3911">
        <v>46022</v>
      </c>
      <c r="BD66" s="3759" t="s">
        <v>60</v>
      </c>
      <c r="BE66" s="666">
        <v>67.63</v>
      </c>
      <c r="BF66" s="666"/>
      <c r="BG66" s="1181"/>
      <c r="BH66" s="3911">
        <v>46023</v>
      </c>
      <c r="BI66" s="3759" t="s">
        <v>60</v>
      </c>
      <c r="BJ66" s="3911">
        <v>46203</v>
      </c>
      <c r="BK66" s="3759" t="s">
        <v>60</v>
      </c>
      <c r="BL66" s="666">
        <v>67.63</v>
      </c>
      <c r="BM66" s="666"/>
      <c r="BN66" s="1181"/>
      <c r="BO66" s="3911">
        <v>46204</v>
      </c>
      <c r="BP66" s="3759" t="s">
        <v>60</v>
      </c>
      <c r="BQ66" s="3911">
        <v>46387</v>
      </c>
      <c r="BR66" s="3759" t="s">
        <v>60</v>
      </c>
      <c r="BS66" s="666">
        <v>67.63</v>
      </c>
      <c r="BT66" s="666"/>
      <c r="BU66" s="1181"/>
      <c r="BV66" s="3911">
        <v>46388</v>
      </c>
      <c r="BW66" s="3759" t="s">
        <v>60</v>
      </c>
      <c r="BX66" s="3911">
        <v>46568</v>
      </c>
      <c r="BY66" s="3759" t="s">
        <v>60</v>
      </c>
      <c r="BZ66" s="666">
        <v>67.709999999999994</v>
      </c>
      <c r="CA66" s="666"/>
      <c r="CB66" s="1181"/>
      <c r="CC66" s="3911">
        <v>46569</v>
      </c>
      <c r="CD66" s="3759" t="s">
        <v>60</v>
      </c>
      <c r="CE66" s="3911">
        <v>46752</v>
      </c>
      <c r="CF66" s="3759" t="s">
        <v>60</v>
      </c>
      <c r="CG66" s="666">
        <v>67.25</v>
      </c>
      <c r="CH66" s="666"/>
      <c r="CI66" s="1181"/>
      <c r="CJ66" s="3911">
        <v>46753</v>
      </c>
      <c r="CK66" s="3759" t="s">
        <v>60</v>
      </c>
      <c r="CL66" s="3911">
        <v>46934</v>
      </c>
      <c r="CM66" s="3759" t="s">
        <v>60</v>
      </c>
      <c r="CN66" s="666">
        <v>67.25</v>
      </c>
      <c r="CO66" s="666"/>
      <c r="CP66" s="1181"/>
      <c r="CQ66" s="3911">
        <v>46935</v>
      </c>
      <c r="CR66" s="3759" t="s">
        <v>60</v>
      </c>
      <c r="CS66" s="3911">
        <v>47118</v>
      </c>
      <c r="CT66" s="3759" t="s">
        <v>60</v>
      </c>
      <c r="CU66" s="1358"/>
      <c r="CV6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6" s="1562" t="e">
        <f ca="1">STRCHECKDATE(V67:CU67)</f>
        <v>#NAME?</v>
      </c>
      <c r="CX66" s="1544"/>
      <c r="CY66" s="1544" t="str">
        <f t="shared" si="1"/>
        <v>Тариф, руб. за 1 куб. метр без НДС</v>
      </c>
      <c r="CZ66" s="1544"/>
      <c r="DA66" s="1544"/>
    </row>
    <row r="67" spans="1:105" s="1827" customFormat="1" ht="14.25" customHeight="1">
      <c r="A67" s="1284"/>
      <c r="B67" s="1284"/>
      <c r="C67" s="1284"/>
      <c r="D67" s="1284"/>
      <c r="E67" s="3909"/>
      <c r="F67" s="3909"/>
      <c r="G67" s="3909"/>
      <c r="H67" s="3909"/>
      <c r="I67" s="3929"/>
      <c r="J67" s="3929" t="str">
        <f>I60&amp;".1"</f>
        <v>2.1.1.1.1</v>
      </c>
      <c r="K67" s="3906"/>
      <c r="L67" s="1290"/>
      <c r="M67" s="1696"/>
      <c r="N67" s="1696"/>
      <c r="O67" s="1696"/>
      <c r="P67" s="3907"/>
      <c r="Q67" s="3907"/>
      <c r="R67" s="278"/>
      <c r="S67" s="1822"/>
      <c r="T67" s="214"/>
      <c r="U67" s="214"/>
      <c r="V67" s="246"/>
      <c r="W67" s="246"/>
      <c r="X67" s="250" t="str">
        <f>Y66&amp;"-"&amp;AA66</f>
        <v>-</v>
      </c>
      <c r="Y67" s="3912"/>
      <c r="Z67" s="3759"/>
      <c r="AA67" s="3912"/>
      <c r="AB67" s="3759"/>
      <c r="AC67" s="246"/>
      <c r="AD67" s="246"/>
      <c r="AE67" s="250" t="str">
        <f>AF66&amp;"-"&amp;AH66</f>
        <v>45292-45473</v>
      </c>
      <c r="AF67" s="3912"/>
      <c r="AG67" s="3759"/>
      <c r="AH67" s="3931"/>
      <c r="AI67" s="3759"/>
      <c r="AJ67" s="246"/>
      <c r="AK67" s="246"/>
      <c r="AL67" s="250" t="str">
        <f>AM66&amp;"-"&amp;AO66</f>
        <v>45474-45657</v>
      </c>
      <c r="AM67" s="3912"/>
      <c r="AN67" s="3759"/>
      <c r="AO67" s="3912"/>
      <c r="AP67" s="3759"/>
      <c r="AQ67" s="246"/>
      <c r="AR67" s="246"/>
      <c r="AS67" s="250" t="str">
        <f>AT66&amp;"-"&amp;AV66</f>
        <v>45658-45838</v>
      </c>
      <c r="AT67" s="3912"/>
      <c r="AU67" s="3759"/>
      <c r="AV67" s="3912"/>
      <c r="AW67" s="3759"/>
      <c r="AX67" s="246"/>
      <c r="AY67" s="246"/>
      <c r="AZ67" s="250" t="str">
        <f>BA66&amp;"-"&amp;BC66</f>
        <v>45839-46022</v>
      </c>
      <c r="BA67" s="3912"/>
      <c r="BB67" s="3759"/>
      <c r="BC67" s="3912"/>
      <c r="BD67" s="3759"/>
      <c r="BE67" s="246"/>
      <c r="BF67" s="246"/>
      <c r="BG67" s="250" t="str">
        <f>BH66&amp;"-"&amp;BJ66</f>
        <v>46023-46203</v>
      </c>
      <c r="BH67" s="3912"/>
      <c r="BI67" s="3759"/>
      <c r="BJ67" s="3912"/>
      <c r="BK67" s="3759"/>
      <c r="BL67" s="246"/>
      <c r="BM67" s="246"/>
      <c r="BN67" s="250" t="str">
        <f>BO66&amp;"-"&amp;BQ66</f>
        <v>46204-46387</v>
      </c>
      <c r="BO67" s="3912"/>
      <c r="BP67" s="3759"/>
      <c r="BQ67" s="3912"/>
      <c r="BR67" s="3759"/>
      <c r="BS67" s="246"/>
      <c r="BT67" s="246"/>
      <c r="BU67" s="250" t="str">
        <f>BV66&amp;"-"&amp;BX66</f>
        <v>46388-46568</v>
      </c>
      <c r="BV67" s="3912"/>
      <c r="BW67" s="3759"/>
      <c r="BX67" s="3912"/>
      <c r="BY67" s="3759"/>
      <c r="BZ67" s="246"/>
      <c r="CA67" s="246"/>
      <c r="CB67" s="250" t="str">
        <f>CC66&amp;"-"&amp;CE66</f>
        <v>46569-46752</v>
      </c>
      <c r="CC67" s="3912"/>
      <c r="CD67" s="3759"/>
      <c r="CE67" s="3912"/>
      <c r="CF67" s="3759"/>
      <c r="CG67" s="246"/>
      <c r="CH67" s="246"/>
      <c r="CI67" s="250" t="str">
        <f>CJ66&amp;"-"&amp;CL66</f>
        <v>46753-46934</v>
      </c>
      <c r="CJ67" s="3912"/>
      <c r="CK67" s="3759"/>
      <c r="CL67" s="3912"/>
      <c r="CM67" s="3759"/>
      <c r="CN67" s="246"/>
      <c r="CO67" s="246"/>
      <c r="CP67" s="250" t="str">
        <f>CQ66&amp;"-"&amp;CS66</f>
        <v>46935-47118</v>
      </c>
      <c r="CQ67" s="3912"/>
      <c r="CR67" s="3759"/>
      <c r="CS67" s="3912"/>
      <c r="CT67" s="3759"/>
      <c r="CU67" s="1359"/>
      <c r="CV67" s="3966"/>
      <c r="CW67" s="1562"/>
      <c r="CX67" s="1544"/>
      <c r="CY67" s="1544" t="str">
        <f t="shared" si="1"/>
        <v/>
      </c>
      <c r="CZ67" s="1544"/>
      <c r="DA67" s="1544"/>
    </row>
    <row r="68" spans="1:105" s="1827" customFormat="1" ht="21" customHeight="1">
      <c r="A68" s="1284"/>
      <c r="B68" s="1284"/>
      <c r="C68" s="1284"/>
      <c r="D68" s="1284"/>
      <c r="E68" s="3909"/>
      <c r="F68" s="3909"/>
      <c r="G68" s="3909"/>
      <c r="H68" s="3909"/>
      <c r="I68" s="3929"/>
      <c r="J68" s="3906" t="str">
        <f>I60&amp;".1"</f>
        <v>2.1.1.1.1</v>
      </c>
      <c r="K68" s="1284"/>
      <c r="L68" s="1290"/>
      <c r="M68" s="1696"/>
      <c r="N68" s="1696"/>
      <c r="O68" s="1696"/>
      <c r="P68" s="3907"/>
      <c r="Q68" s="3907"/>
      <c r="R68" s="277"/>
      <c r="S68" s="2405"/>
      <c r="T68" s="2406" t="s">
        <v>514</v>
      </c>
      <c r="U68" s="2407"/>
      <c r="V68" s="2408"/>
      <c r="W68" s="2409"/>
      <c r="X68" s="2410"/>
      <c r="Y68" s="2411"/>
      <c r="Z68" s="2412"/>
      <c r="AA68" s="2413"/>
      <c r="AB68" s="2414"/>
      <c r="AC68" s="2415"/>
      <c r="AD68" s="2416"/>
      <c r="AE68" s="2417"/>
      <c r="AF68" s="2418"/>
      <c r="AG68" s="2419"/>
      <c r="AH68" s="2420"/>
      <c r="AI68" s="2421"/>
      <c r="AJ68" s="2422"/>
      <c r="AK68" s="2423"/>
      <c r="AL68" s="2424"/>
      <c r="AM68" s="2425"/>
      <c r="AN68" s="2426"/>
      <c r="AO68" s="2427"/>
      <c r="AP68" s="2428"/>
      <c r="AQ68" s="2429"/>
      <c r="AR68" s="2430"/>
      <c r="AS68" s="2431"/>
      <c r="AT68" s="2432"/>
      <c r="AU68" s="2433"/>
      <c r="AV68" s="2434"/>
      <c r="AW68" s="2435"/>
      <c r="AX68" s="2436"/>
      <c r="AY68" s="2437"/>
      <c r="AZ68" s="2438"/>
      <c r="BA68" s="2439"/>
      <c r="BB68" s="2440"/>
      <c r="BC68" s="2441"/>
      <c r="BD68" s="2442"/>
      <c r="BE68" s="2443"/>
      <c r="BF68" s="2444"/>
      <c r="BG68" s="2445"/>
      <c r="BH68" s="2446"/>
      <c r="BI68" s="2447"/>
      <c r="BJ68" s="2448"/>
      <c r="BK68" s="2449"/>
      <c r="BL68" s="2450"/>
      <c r="BM68" s="2451"/>
      <c r="BN68" s="2452"/>
      <c r="BO68" s="2453"/>
      <c r="BP68" s="2454"/>
      <c r="BQ68" s="2455"/>
      <c r="BR68" s="2456"/>
      <c r="BS68" s="2457"/>
      <c r="BT68" s="2458"/>
      <c r="BU68" s="2459"/>
      <c r="BV68" s="2460"/>
      <c r="BW68" s="2461"/>
      <c r="BX68" s="2462"/>
      <c r="BY68" s="2463"/>
      <c r="BZ68" s="2464"/>
      <c r="CA68" s="2465"/>
      <c r="CB68" s="2466"/>
      <c r="CC68" s="2467"/>
      <c r="CD68" s="2468"/>
      <c r="CE68" s="2469"/>
      <c r="CF68" s="2470"/>
      <c r="CG68" s="2471"/>
      <c r="CH68" s="2472"/>
      <c r="CI68" s="2473"/>
      <c r="CJ68" s="2474"/>
      <c r="CK68" s="2475"/>
      <c r="CL68" s="2476"/>
      <c r="CM68" s="2477"/>
      <c r="CN68" s="2478"/>
      <c r="CO68" s="2479"/>
      <c r="CP68" s="2480"/>
      <c r="CQ68" s="2481"/>
      <c r="CR68" s="2482"/>
      <c r="CS68" s="2483"/>
      <c r="CT68" s="2484"/>
      <c r="CU68" s="2485"/>
      <c r="CV68" s="1182" t="s">
        <v>515</v>
      </c>
      <c r="CW68" s="1562"/>
      <c r="CX68" s="1544"/>
      <c r="CY68" s="1544" t="str">
        <f t="shared" si="1"/>
        <v>Добавить значение признака дифференциации</v>
      </c>
      <c r="CZ68" s="1544"/>
      <c r="DA68" s="1544"/>
    </row>
    <row r="69" spans="1:105" s="1827" customFormat="1" ht="21" customHeight="1">
      <c r="A69" s="1284"/>
      <c r="B69" s="1284"/>
      <c r="C69" s="1284"/>
      <c r="D69" s="1284"/>
      <c r="E69" s="3909">
        <v>1</v>
      </c>
      <c r="F69" s="3909"/>
      <c r="G69" s="3909"/>
      <c r="H69" s="3909"/>
      <c r="I69" s="3906"/>
      <c r="J69" s="1284"/>
      <c r="K69" s="1284"/>
      <c r="L69" s="1290"/>
      <c r="M69" s="1696"/>
      <c r="N69" s="1696"/>
      <c r="O69" s="1696"/>
      <c r="P69" s="3907"/>
      <c r="Q69" s="1816"/>
      <c r="R69" s="277"/>
      <c r="S69" s="2486"/>
      <c r="T69" s="2487" t="s">
        <v>443</v>
      </c>
      <c r="U69" s="2488"/>
      <c r="V69" s="2489"/>
      <c r="W69" s="2490"/>
      <c r="X69" s="2491"/>
      <c r="Y69" s="2492"/>
      <c r="Z69" s="2493"/>
      <c r="AA69" s="2494"/>
      <c r="AB69" s="2495"/>
      <c r="AC69" s="2496"/>
      <c r="AD69" s="2497"/>
      <c r="AE69" s="2498"/>
      <c r="AF69" s="2499"/>
      <c r="AG69" s="2500"/>
      <c r="AH69" s="2501"/>
      <c r="AI69" s="2502"/>
      <c r="AJ69" s="2503"/>
      <c r="AK69" s="2504"/>
      <c r="AL69" s="2505"/>
      <c r="AM69" s="2506"/>
      <c r="AN69" s="2507"/>
      <c r="AO69" s="2508"/>
      <c r="AP69" s="2509"/>
      <c r="AQ69" s="2510"/>
      <c r="AR69" s="2511"/>
      <c r="AS69" s="2512"/>
      <c r="AT69" s="2513"/>
      <c r="AU69" s="2514"/>
      <c r="AV69" s="2515"/>
      <c r="AW69" s="2516"/>
      <c r="AX69" s="2517"/>
      <c r="AY69" s="2518"/>
      <c r="AZ69" s="2519"/>
      <c r="BA69" s="2520"/>
      <c r="BB69" s="2521"/>
      <c r="BC69" s="2522"/>
      <c r="BD69" s="2523"/>
      <c r="BE69" s="2524"/>
      <c r="BF69" s="2525"/>
      <c r="BG69" s="2526"/>
      <c r="BH69" s="2527"/>
      <c r="BI69" s="2528"/>
      <c r="BJ69" s="2529"/>
      <c r="BK69" s="2530"/>
      <c r="BL69" s="2531"/>
      <c r="BM69" s="2532"/>
      <c r="BN69" s="2533"/>
      <c r="BO69" s="2534"/>
      <c r="BP69" s="2535"/>
      <c r="BQ69" s="2536"/>
      <c r="BR69" s="2537"/>
      <c r="BS69" s="2538"/>
      <c r="BT69" s="2539"/>
      <c r="BU69" s="2540"/>
      <c r="BV69" s="2541"/>
      <c r="BW69" s="2542"/>
      <c r="BX69" s="2543"/>
      <c r="BY69" s="2544"/>
      <c r="BZ69" s="2545"/>
      <c r="CA69" s="2546"/>
      <c r="CB69" s="2547"/>
      <c r="CC69" s="2548"/>
      <c r="CD69" s="2549"/>
      <c r="CE69" s="2550"/>
      <c r="CF69" s="2551"/>
      <c r="CG69" s="2552"/>
      <c r="CH69" s="2553"/>
      <c r="CI69" s="2554"/>
      <c r="CJ69" s="2555"/>
      <c r="CK69" s="2556"/>
      <c r="CL69" s="2557"/>
      <c r="CM69" s="2558"/>
      <c r="CN69" s="2559"/>
      <c r="CO69" s="2560"/>
      <c r="CP69" s="2561"/>
      <c r="CQ69" s="2562"/>
      <c r="CR69" s="2563"/>
      <c r="CS69" s="2564"/>
      <c r="CT69" s="2565"/>
      <c r="CU69" s="2566"/>
      <c r="CV69" s="2567"/>
      <c r="CW69" s="1562"/>
      <c r="CX69" s="1544"/>
      <c r="CY69" s="1544" t="str">
        <f t="shared" si="1"/>
        <v>Добавить группу потребителей</v>
      </c>
      <c r="CZ69" s="1544"/>
      <c r="DA69" s="1544"/>
    </row>
    <row r="70" spans="1:105" s="1827" customFormat="1" ht="21" customHeight="1">
      <c r="A70" s="1284"/>
      <c r="B70" s="1284"/>
      <c r="C70" s="1284"/>
      <c r="D70" s="1284"/>
      <c r="E70" s="3909">
        <v>1</v>
      </c>
      <c r="F70" s="3909"/>
      <c r="G70" s="3909"/>
      <c r="H70" s="3908"/>
      <c r="I70" s="1284"/>
      <c r="J70" s="1284"/>
      <c r="K70" s="1284"/>
      <c r="L70" s="1290"/>
      <c r="M70" s="1286"/>
      <c r="N70" s="1286"/>
      <c r="O70" s="1287"/>
      <c r="P70" s="1742"/>
      <c r="Q70" s="299"/>
      <c r="R70" s="276"/>
      <c r="S70" s="2568"/>
      <c r="T70" s="2569" t="s">
        <v>516</v>
      </c>
      <c r="U70" s="2570"/>
      <c r="V70" s="2571"/>
      <c r="W70" s="2572"/>
      <c r="X70" s="2573"/>
      <c r="Y70" s="2574"/>
      <c r="Z70" s="2575"/>
      <c r="AA70" s="2576"/>
      <c r="AB70" s="2577"/>
      <c r="AC70" s="2578"/>
      <c r="AD70" s="2579"/>
      <c r="AE70" s="2580"/>
      <c r="AF70" s="2581"/>
      <c r="AG70" s="2582"/>
      <c r="AH70" s="2583"/>
      <c r="AI70" s="2584"/>
      <c r="AJ70" s="2585"/>
      <c r="AK70" s="2586"/>
      <c r="AL70" s="2587"/>
      <c r="AM70" s="2588"/>
      <c r="AN70" s="2589"/>
      <c r="AO70" s="2590"/>
      <c r="AP70" s="2591"/>
      <c r="AQ70" s="2592"/>
      <c r="AR70" s="2593"/>
      <c r="AS70" s="2594"/>
      <c r="AT70" s="2595"/>
      <c r="AU70" s="2596"/>
      <c r="AV70" s="2597"/>
      <c r="AW70" s="2598"/>
      <c r="AX70" s="2599"/>
      <c r="AY70" s="2600"/>
      <c r="AZ70" s="2601"/>
      <c r="BA70" s="2602"/>
      <c r="BB70" s="2603"/>
      <c r="BC70" s="2604"/>
      <c r="BD70" s="2605"/>
      <c r="BE70" s="2606"/>
      <c r="BF70" s="2607"/>
      <c r="BG70" s="2608"/>
      <c r="BH70" s="2609"/>
      <c r="BI70" s="2610"/>
      <c r="BJ70" s="2611"/>
      <c r="BK70" s="2612"/>
      <c r="BL70" s="2613"/>
      <c r="BM70" s="2614"/>
      <c r="BN70" s="2615"/>
      <c r="BO70" s="2616"/>
      <c r="BP70" s="2617"/>
      <c r="BQ70" s="2618"/>
      <c r="BR70" s="2619"/>
      <c r="BS70" s="2620"/>
      <c r="BT70" s="2621"/>
      <c r="BU70" s="2622"/>
      <c r="BV70" s="2623"/>
      <c r="BW70" s="2624"/>
      <c r="BX70" s="2625"/>
      <c r="BY70" s="2626"/>
      <c r="BZ70" s="2627"/>
      <c r="CA70" s="2628"/>
      <c r="CB70" s="2629"/>
      <c r="CC70" s="2630"/>
      <c r="CD70" s="2631"/>
      <c r="CE70" s="2632"/>
      <c r="CF70" s="2633"/>
      <c r="CG70" s="2634"/>
      <c r="CH70" s="2635"/>
      <c r="CI70" s="2636"/>
      <c r="CJ70" s="2637"/>
      <c r="CK70" s="2638"/>
      <c r="CL70" s="2639"/>
      <c r="CM70" s="2640"/>
      <c r="CN70" s="2641"/>
      <c r="CO70" s="2642"/>
      <c r="CP70" s="2643"/>
      <c r="CQ70" s="2644"/>
      <c r="CR70" s="2645"/>
      <c r="CS70" s="2646"/>
      <c r="CT70" s="2647"/>
      <c r="CU70" s="2648"/>
      <c r="CV70" s="2649"/>
      <c r="CW70" s="1562"/>
      <c r="CX70" s="1544"/>
      <c r="CY70" s="1544" t="str">
        <f t="shared" si="1"/>
        <v>Добавить наименование признака дифференциации</v>
      </c>
      <c r="CZ70" s="1544"/>
      <c r="DA70" s="1544"/>
    </row>
    <row r="71" spans="1:105" s="541" customFormat="1" ht="14.25" customHeight="1">
      <c r="A71" s="1265"/>
      <c r="B71" s="1265"/>
      <c r="C71" s="1265"/>
      <c r="D71" s="1265"/>
      <c r="E71" s="3909">
        <v>1</v>
      </c>
      <c r="F71" s="3908"/>
      <c r="G71" s="1265"/>
      <c r="H71" s="1265"/>
      <c r="I71" s="1265"/>
      <c r="J71" s="1265"/>
      <c r="K71" s="1265"/>
      <c r="L71" s="1466"/>
      <c r="M71" s="1244"/>
      <c r="N71" s="1244"/>
      <c r="O71" s="1562"/>
      <c r="P71" s="1239"/>
      <c r="Q71" s="1266"/>
      <c r="R71" s="1239"/>
      <c r="S71" s="1245"/>
      <c r="T71" s="1248" t="s">
        <v>240</v>
      </c>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c r="CB71" s="1247"/>
      <c r="CC71" s="1247"/>
      <c r="CD71" s="1247"/>
      <c r="CE71" s="1247"/>
      <c r="CF71" s="1247"/>
      <c r="CG71" s="1247"/>
      <c r="CH71" s="1247"/>
      <c r="CI71" s="1247"/>
      <c r="CJ71" s="1247"/>
      <c r="CK71" s="1247"/>
      <c r="CL71" s="1247"/>
      <c r="CM71" s="1247"/>
      <c r="CN71" s="1247"/>
      <c r="CO71" s="1247"/>
      <c r="CP71" s="1247"/>
      <c r="CQ71" s="1247"/>
      <c r="CR71" s="1247"/>
      <c r="CS71" s="1247"/>
      <c r="CT71" s="1247"/>
      <c r="CU71" s="1247"/>
      <c r="CV71" s="1247"/>
      <c r="CW71" s="1562"/>
      <c r="CX71" s="1544"/>
      <c r="CY71" s="1544" t="str">
        <f t="shared" si="1"/>
        <v>Добавить централизованную систему для дифференциации</v>
      </c>
      <c r="CZ71" s="1544"/>
      <c r="DA71" s="1544"/>
    </row>
    <row r="72" spans="1:105" s="541" customFormat="1" ht="14.25" customHeight="1">
      <c r="A72" s="1265"/>
      <c r="B72" s="1265"/>
      <c r="C72" s="1265"/>
      <c r="D72" s="1265"/>
      <c r="E72" s="3908">
        <v>1</v>
      </c>
      <c r="F72" s="1265"/>
      <c r="G72" s="1265"/>
      <c r="H72" s="1265"/>
      <c r="I72" s="1265"/>
      <c r="J72" s="1265"/>
      <c r="K72" s="1265"/>
      <c r="L72" s="1466"/>
      <c r="M72" s="1244"/>
      <c r="N72" s="1244"/>
      <c r="O72" s="1562"/>
      <c r="P72" s="1239"/>
      <c r="Q72" s="1266"/>
      <c r="R72" s="1239"/>
      <c r="S72" s="1245"/>
      <c r="T72" s="1248" t="s">
        <v>241</v>
      </c>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c r="CB72" s="1247"/>
      <c r="CC72" s="1247"/>
      <c r="CD72" s="1247"/>
      <c r="CE72" s="1247"/>
      <c r="CF72" s="1247"/>
      <c r="CG72" s="1247"/>
      <c r="CH72" s="1247"/>
      <c r="CI72" s="1247"/>
      <c r="CJ72" s="1247"/>
      <c r="CK72" s="1247"/>
      <c r="CL72" s="1247"/>
      <c r="CM72" s="1247"/>
      <c r="CN72" s="1247"/>
      <c r="CO72" s="1247"/>
      <c r="CP72" s="1247"/>
      <c r="CQ72" s="1247"/>
      <c r="CR72" s="1247"/>
      <c r="CS72" s="1247"/>
      <c r="CT72" s="1247"/>
      <c r="CU72" s="1247"/>
      <c r="CV72" s="1247"/>
      <c r="CW72" s="1562"/>
      <c r="CX72" s="1544"/>
      <c r="CY72" s="1544" t="str">
        <f t="shared" si="1"/>
        <v>Добавить территорию для дифференциации</v>
      </c>
      <c r="CZ72" s="1544"/>
      <c r="DA72" s="1544"/>
    </row>
    <row r="73" spans="1:105" s="1827" customFormat="1" ht="23.25" customHeight="1">
      <c r="A73" s="1284" t="s">
        <v>248</v>
      </c>
      <c r="B73" s="1284"/>
      <c r="C73" s="1284"/>
      <c r="D73" s="1284"/>
      <c r="E73" s="3908" t="s">
        <v>88</v>
      </c>
      <c r="F73" s="1284"/>
      <c r="G73" s="1284"/>
      <c r="H73" s="1284"/>
      <c r="I73" s="1284"/>
      <c r="J73" s="1284"/>
      <c r="K73" s="1284"/>
      <c r="L73" s="1290"/>
      <c r="M73" s="1286"/>
      <c r="N73" s="1286"/>
      <c r="O73" s="1286"/>
      <c r="P73" s="1817"/>
      <c r="Q73" s="1742"/>
      <c r="R73" s="276"/>
      <c r="S73" s="1813" t="str">
        <f>INDEX(PT_DIFFERENTIATION_NUM_NTAR,MATCH(A73,PT_DIFFERENTIATION_NTAR_ID,0))</f>
        <v>3</v>
      </c>
      <c r="T73" s="1440" t="s">
        <v>141</v>
      </c>
      <c r="U73" s="214"/>
      <c r="V73" s="3894"/>
      <c r="W73" s="3895"/>
      <c r="X73" s="3895"/>
      <c r="Y73" s="3895"/>
      <c r="Z73" s="3895"/>
      <c r="AA73" s="3895"/>
      <c r="AB73" s="3896"/>
      <c r="AC73" s="3894" t="str">
        <f>INDEX(PT_DIFFERENTIATION_NTAR,MATCH(A73,PT_DIFFERENTIATION_NTAR_ID,0))</f>
        <v>Тариф на техническую воду для потребителей, присоединенных к централизованной системе технического водоснабжения хутора Привольного Курского муниципального округа</v>
      </c>
      <c r="AD73" s="3895"/>
      <c r="AE73" s="3895"/>
      <c r="AF73" s="3895"/>
      <c r="AG73" s="3895"/>
      <c r="AH73" s="3895"/>
      <c r="AI73" s="3895"/>
      <c r="AJ73" s="3894"/>
      <c r="AK73" s="3895"/>
      <c r="AL73" s="3895"/>
      <c r="AM73" s="3895"/>
      <c r="AN73" s="3895"/>
      <c r="AO73" s="3895"/>
      <c r="AP73" s="3896"/>
      <c r="AQ73" s="3894"/>
      <c r="AR73" s="3895"/>
      <c r="AS73" s="3895"/>
      <c r="AT73" s="3895"/>
      <c r="AU73" s="3895"/>
      <c r="AV73" s="3895"/>
      <c r="AW73" s="3896"/>
      <c r="AX73" s="3894"/>
      <c r="AY73" s="3895"/>
      <c r="AZ73" s="3895"/>
      <c r="BA73" s="3895"/>
      <c r="BB73" s="3895"/>
      <c r="BC73" s="3895"/>
      <c r="BD73" s="3896"/>
      <c r="BE73" s="3894"/>
      <c r="BF73" s="3895"/>
      <c r="BG73" s="3895"/>
      <c r="BH73" s="3895"/>
      <c r="BI73" s="3895"/>
      <c r="BJ73" s="3895"/>
      <c r="BK73" s="3896"/>
      <c r="BL73" s="3894"/>
      <c r="BM73" s="3895"/>
      <c r="BN73" s="3895"/>
      <c r="BO73" s="3895"/>
      <c r="BP73" s="3895"/>
      <c r="BQ73" s="3895"/>
      <c r="BR73" s="3896"/>
      <c r="BS73" s="3894"/>
      <c r="BT73" s="3895"/>
      <c r="BU73" s="3895"/>
      <c r="BV73" s="3895"/>
      <c r="BW73" s="3895"/>
      <c r="BX73" s="3895"/>
      <c r="BY73" s="3896"/>
      <c r="BZ73" s="3894"/>
      <c r="CA73" s="3895"/>
      <c r="CB73" s="3895"/>
      <c r="CC73" s="3895"/>
      <c r="CD73" s="3895"/>
      <c r="CE73" s="3895"/>
      <c r="CF73" s="3896"/>
      <c r="CG73" s="3894"/>
      <c r="CH73" s="3895"/>
      <c r="CI73" s="3895"/>
      <c r="CJ73" s="3895"/>
      <c r="CK73" s="3895"/>
      <c r="CL73" s="3895"/>
      <c r="CM73" s="3896"/>
      <c r="CN73" s="3894"/>
      <c r="CO73" s="3895"/>
      <c r="CP73" s="3895"/>
      <c r="CQ73" s="3895"/>
      <c r="CR73" s="3895"/>
      <c r="CS73" s="3895"/>
      <c r="CT73" s="3896"/>
      <c r="CU73" s="3896"/>
      <c r="CV73"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73" s="1562"/>
      <c r="CX73" s="1544"/>
      <c r="CY73" s="1544" t="str">
        <f t="shared" ref="CY73:CY104" si="2">IF(T73="","",T73)</f>
        <v>Наименование тарифа</v>
      </c>
      <c r="CZ73" s="1544"/>
      <c r="DA73" s="1544"/>
    </row>
    <row r="74" spans="1:105" s="1827" customFormat="1" ht="23.25" customHeight="1">
      <c r="A74" s="1284"/>
      <c r="B74" s="1284" t="s">
        <v>249</v>
      </c>
      <c r="C74" s="1284"/>
      <c r="D74" s="1284"/>
      <c r="E74" s="3909" t="s">
        <v>102</v>
      </c>
      <c r="F74" s="3908">
        <v>1</v>
      </c>
      <c r="G74" s="1284"/>
      <c r="H74" s="1284"/>
      <c r="I74" s="1284"/>
      <c r="J74" s="1284"/>
      <c r="K74" s="1284"/>
      <c r="L74" s="1290"/>
      <c r="M74" s="1286"/>
      <c r="N74" s="1286"/>
      <c r="O74" s="1286"/>
      <c r="P74" s="1807"/>
      <c r="Q74" s="273"/>
      <c r="R74" s="274"/>
      <c r="S74" s="1813" t="str">
        <f>INDEX(PT_DIFFERENTIATION_NUM_TER,MATCH(B74,PT_DIFFERENTIATION_TER_ID,0))</f>
        <v>3.1</v>
      </c>
      <c r="T74" s="1437" t="s">
        <v>428</v>
      </c>
      <c r="U74" s="214"/>
      <c r="V74" s="3894"/>
      <c r="W74" s="3895"/>
      <c r="X74" s="3895"/>
      <c r="Y74" s="3895"/>
      <c r="Z74" s="3895"/>
      <c r="AA74" s="3895"/>
      <c r="AB74" s="3896"/>
      <c r="AC74" s="3894" t="str">
        <f>INDEX(PT_DIFFERENTIATION_TER,MATCH(B74,PT_DIFFERENTIATION_TER_ID,0))</f>
        <v>Территория 3</v>
      </c>
      <c r="AD74" s="3895"/>
      <c r="AE74" s="3895"/>
      <c r="AF74" s="3895"/>
      <c r="AG74" s="3895"/>
      <c r="AH74" s="3895"/>
      <c r="AI74" s="3895"/>
      <c r="AJ74" s="3894"/>
      <c r="AK74" s="3895"/>
      <c r="AL74" s="3895"/>
      <c r="AM74" s="3895"/>
      <c r="AN74" s="3895"/>
      <c r="AO74" s="3895"/>
      <c r="AP74" s="3896"/>
      <c r="AQ74" s="3894"/>
      <c r="AR74" s="3895"/>
      <c r="AS74" s="3895"/>
      <c r="AT74" s="3895"/>
      <c r="AU74" s="3895"/>
      <c r="AV74" s="3895"/>
      <c r="AW74" s="3896"/>
      <c r="AX74" s="3894"/>
      <c r="AY74" s="3895"/>
      <c r="AZ74" s="3895"/>
      <c r="BA74" s="3895"/>
      <c r="BB74" s="3895"/>
      <c r="BC74" s="3895"/>
      <c r="BD74" s="3896"/>
      <c r="BE74" s="3894"/>
      <c r="BF74" s="3895"/>
      <c r="BG74" s="3895"/>
      <c r="BH74" s="3895"/>
      <c r="BI74" s="3895"/>
      <c r="BJ74" s="3895"/>
      <c r="BK74" s="3896"/>
      <c r="BL74" s="3894"/>
      <c r="BM74" s="3895"/>
      <c r="BN74" s="3895"/>
      <c r="BO74" s="3895"/>
      <c r="BP74" s="3895"/>
      <c r="BQ74" s="3895"/>
      <c r="BR74" s="3896"/>
      <c r="BS74" s="3894"/>
      <c r="BT74" s="3895"/>
      <c r="BU74" s="3895"/>
      <c r="BV74" s="3895"/>
      <c r="BW74" s="3895"/>
      <c r="BX74" s="3895"/>
      <c r="BY74" s="3896"/>
      <c r="BZ74" s="3894"/>
      <c r="CA74" s="3895"/>
      <c r="CB74" s="3895"/>
      <c r="CC74" s="3895"/>
      <c r="CD74" s="3895"/>
      <c r="CE74" s="3895"/>
      <c r="CF74" s="3896"/>
      <c r="CG74" s="3894"/>
      <c r="CH74" s="3895"/>
      <c r="CI74" s="3895"/>
      <c r="CJ74" s="3895"/>
      <c r="CK74" s="3895"/>
      <c r="CL74" s="3895"/>
      <c r="CM74" s="3896"/>
      <c r="CN74" s="3894"/>
      <c r="CO74" s="3895"/>
      <c r="CP74" s="3895"/>
      <c r="CQ74" s="3895"/>
      <c r="CR74" s="3895"/>
      <c r="CS74" s="3895"/>
      <c r="CT74" s="3896"/>
      <c r="CU74" s="3896"/>
      <c r="CV74" s="1182" t="s">
        <v>429</v>
      </c>
      <c r="CW74" s="1562"/>
      <c r="CX74" s="1544"/>
      <c r="CY74" s="1544" t="str">
        <f t="shared" si="2"/>
        <v>Территория действия тарифа</v>
      </c>
      <c r="CZ74" s="1544"/>
      <c r="DA74" s="1544"/>
    </row>
    <row r="75" spans="1:105" s="1827" customFormat="1" ht="23.25" customHeight="1">
      <c r="A75" s="1284"/>
      <c r="B75" s="1284"/>
      <c r="C75" s="1284" t="s">
        <v>250</v>
      </c>
      <c r="D75" s="1284"/>
      <c r="E75" s="3909" t="s">
        <v>102</v>
      </c>
      <c r="F75" s="3909"/>
      <c r="G75" s="3908">
        <v>1</v>
      </c>
      <c r="H75" s="1284"/>
      <c r="I75" s="1284"/>
      <c r="J75" s="1284"/>
      <c r="K75" s="1284"/>
      <c r="L75" s="1290"/>
      <c r="M75" s="1286"/>
      <c r="N75" s="1286"/>
      <c r="O75" s="1286"/>
      <c r="P75" s="275"/>
      <c r="Q75" s="273"/>
      <c r="R75" s="274"/>
      <c r="S75" s="1813" t="str">
        <f>INDEX(PT_DIFFERENTIATION_NUM_CS,MATCH(C75,PT_DIFFERENTIATION_CS_ID,0))</f>
        <v>3.1.1</v>
      </c>
      <c r="T75" s="225" t="s">
        <v>509</v>
      </c>
      <c r="U75" s="214"/>
      <c r="V75" s="3894"/>
      <c r="W75" s="3895"/>
      <c r="X75" s="3895"/>
      <c r="Y75" s="3895"/>
      <c r="Z75" s="3895"/>
      <c r="AA75" s="3895"/>
      <c r="AB75" s="3896"/>
      <c r="AC75" s="3894" t="str">
        <f>INDEX(PT_DIFFERENTIATION_CS,MATCH(C75,PT_DIFFERENTIATION_CS_ID,0))</f>
        <v>без дифференциации</v>
      </c>
      <c r="AD75" s="3895"/>
      <c r="AE75" s="3895"/>
      <c r="AF75" s="3895"/>
      <c r="AG75" s="3895"/>
      <c r="AH75" s="3895"/>
      <c r="AI75" s="3895"/>
      <c r="AJ75" s="3894"/>
      <c r="AK75" s="3895"/>
      <c r="AL75" s="3895"/>
      <c r="AM75" s="3895"/>
      <c r="AN75" s="3895"/>
      <c r="AO75" s="3895"/>
      <c r="AP75" s="3896"/>
      <c r="AQ75" s="3894"/>
      <c r="AR75" s="3895"/>
      <c r="AS75" s="3895"/>
      <c r="AT75" s="3895"/>
      <c r="AU75" s="3895"/>
      <c r="AV75" s="3895"/>
      <c r="AW75" s="3896"/>
      <c r="AX75" s="3894"/>
      <c r="AY75" s="3895"/>
      <c r="AZ75" s="3895"/>
      <c r="BA75" s="3895"/>
      <c r="BB75" s="3895"/>
      <c r="BC75" s="3895"/>
      <c r="BD75" s="3896"/>
      <c r="BE75" s="3894"/>
      <c r="BF75" s="3895"/>
      <c r="BG75" s="3895"/>
      <c r="BH75" s="3895"/>
      <c r="BI75" s="3895"/>
      <c r="BJ75" s="3895"/>
      <c r="BK75" s="3896"/>
      <c r="BL75" s="3894"/>
      <c r="BM75" s="3895"/>
      <c r="BN75" s="3895"/>
      <c r="BO75" s="3895"/>
      <c r="BP75" s="3895"/>
      <c r="BQ75" s="3895"/>
      <c r="BR75" s="3896"/>
      <c r="BS75" s="3894"/>
      <c r="BT75" s="3895"/>
      <c r="BU75" s="3895"/>
      <c r="BV75" s="3895"/>
      <c r="BW75" s="3895"/>
      <c r="BX75" s="3895"/>
      <c r="BY75" s="3896"/>
      <c r="BZ75" s="3894"/>
      <c r="CA75" s="3895"/>
      <c r="CB75" s="3895"/>
      <c r="CC75" s="3895"/>
      <c r="CD75" s="3895"/>
      <c r="CE75" s="3895"/>
      <c r="CF75" s="3896"/>
      <c r="CG75" s="3894"/>
      <c r="CH75" s="3895"/>
      <c r="CI75" s="3895"/>
      <c r="CJ75" s="3895"/>
      <c r="CK75" s="3895"/>
      <c r="CL75" s="3895"/>
      <c r="CM75" s="3896"/>
      <c r="CN75" s="3894"/>
      <c r="CO75" s="3895"/>
      <c r="CP75" s="3895"/>
      <c r="CQ75" s="3895"/>
      <c r="CR75" s="3895"/>
      <c r="CS75" s="3895"/>
      <c r="CT75" s="3896"/>
      <c r="CU75" s="3896"/>
      <c r="CV75" s="1182" t="s">
        <v>510</v>
      </c>
      <c r="CW75" s="1562"/>
      <c r="CX75" s="1544"/>
      <c r="CY75" s="1544" t="str">
        <f t="shared" si="2"/>
        <v>Наименование централизованной системы холодного водоснабжения</v>
      </c>
      <c r="CZ75" s="1544"/>
      <c r="DA75" s="1544"/>
    </row>
    <row r="76" spans="1:105" s="1827" customFormat="1" ht="23.25" customHeight="1">
      <c r="A76" s="1284"/>
      <c r="B76" s="1284"/>
      <c r="C76" s="1284"/>
      <c r="D76" s="1284"/>
      <c r="E76" s="3909" t="s">
        <v>102</v>
      </c>
      <c r="F76" s="3909"/>
      <c r="G76" s="3909"/>
      <c r="H76" s="3909"/>
      <c r="I76" s="3906" t="str">
        <f>S75&amp;".1"</f>
        <v>3.1.1.1</v>
      </c>
      <c r="J76" s="1284"/>
      <c r="K76" s="1284"/>
      <c r="L76" s="1290"/>
      <c r="M76" s="1696"/>
      <c r="N76" s="1696"/>
      <c r="O76" s="1696"/>
      <c r="P76" s="3907">
        <v>1</v>
      </c>
      <c r="Q76" s="1816"/>
      <c r="R76" s="277"/>
      <c r="S76" s="1813" t="str">
        <f>$I76</f>
        <v>3.1.1.1</v>
      </c>
      <c r="T76" s="200" t="s">
        <v>511</v>
      </c>
      <c r="U76" s="214"/>
      <c r="V76" s="3967"/>
      <c r="W76" s="3968"/>
      <c r="X76" s="3968"/>
      <c r="Y76" s="3968"/>
      <c r="Z76" s="3968"/>
      <c r="AA76" s="3968"/>
      <c r="AB76" s="3969"/>
      <c r="AC76" s="3970"/>
      <c r="AD76" s="3971"/>
      <c r="AE76" s="3971"/>
      <c r="AF76" s="3971"/>
      <c r="AG76" s="3971"/>
      <c r="AH76" s="3971"/>
      <c r="AI76" s="3971"/>
      <c r="AJ76" s="3967"/>
      <c r="AK76" s="3968"/>
      <c r="AL76" s="3968"/>
      <c r="AM76" s="3968"/>
      <c r="AN76" s="3968"/>
      <c r="AO76" s="3968"/>
      <c r="AP76" s="3969"/>
      <c r="AQ76" s="3967"/>
      <c r="AR76" s="3968"/>
      <c r="AS76" s="3968"/>
      <c r="AT76" s="3968"/>
      <c r="AU76" s="3968"/>
      <c r="AV76" s="3968"/>
      <c r="AW76" s="3969"/>
      <c r="AX76" s="3967"/>
      <c r="AY76" s="3968"/>
      <c r="AZ76" s="3968"/>
      <c r="BA76" s="3968"/>
      <c r="BB76" s="3968"/>
      <c r="BC76" s="3968"/>
      <c r="BD76" s="3969"/>
      <c r="BE76" s="3967"/>
      <c r="BF76" s="3968"/>
      <c r="BG76" s="3968"/>
      <c r="BH76" s="3968"/>
      <c r="BI76" s="3968"/>
      <c r="BJ76" s="3968"/>
      <c r="BK76" s="3969"/>
      <c r="BL76" s="3967"/>
      <c r="BM76" s="3968"/>
      <c r="BN76" s="3968"/>
      <c r="BO76" s="3968"/>
      <c r="BP76" s="3968"/>
      <c r="BQ76" s="3968"/>
      <c r="BR76" s="3969"/>
      <c r="BS76" s="3967"/>
      <c r="BT76" s="3968"/>
      <c r="BU76" s="3968"/>
      <c r="BV76" s="3968"/>
      <c r="BW76" s="3968"/>
      <c r="BX76" s="3968"/>
      <c r="BY76" s="3969"/>
      <c r="BZ76" s="3967"/>
      <c r="CA76" s="3968"/>
      <c r="CB76" s="3968"/>
      <c r="CC76" s="3968"/>
      <c r="CD76" s="3968"/>
      <c r="CE76" s="3968"/>
      <c r="CF76" s="3969"/>
      <c r="CG76" s="3967"/>
      <c r="CH76" s="3968"/>
      <c r="CI76" s="3968"/>
      <c r="CJ76" s="3968"/>
      <c r="CK76" s="3968"/>
      <c r="CL76" s="3968"/>
      <c r="CM76" s="3969"/>
      <c r="CN76" s="3967"/>
      <c r="CO76" s="3968"/>
      <c r="CP76" s="3968"/>
      <c r="CQ76" s="3968"/>
      <c r="CR76" s="3968"/>
      <c r="CS76" s="3968"/>
      <c r="CT76" s="3969"/>
      <c r="CU76" s="3972"/>
      <c r="CV76" s="1182" t="s">
        <v>512</v>
      </c>
      <c r="CW76" s="1562"/>
      <c r="CX76" s="1544"/>
      <c r="CY76" s="1544" t="str">
        <f t="shared" si="2"/>
        <v>Наименование признака дифференциации</v>
      </c>
      <c r="CZ76" s="1544"/>
      <c r="DA76" s="1544"/>
    </row>
    <row r="77" spans="1:105" s="1827" customFormat="1" ht="23.25" customHeight="1">
      <c r="A77" s="1284"/>
      <c r="B77" s="1284"/>
      <c r="C77" s="1284"/>
      <c r="D77" s="1284"/>
      <c r="E77" s="3909" t="s">
        <v>102</v>
      </c>
      <c r="F77" s="3909"/>
      <c r="G77" s="3909"/>
      <c r="H77" s="3909"/>
      <c r="I77" s="3929"/>
      <c r="J77" s="3906" t="str">
        <f>I76&amp;".1"</f>
        <v>3.1.1.1.1</v>
      </c>
      <c r="K77" s="1284"/>
      <c r="L77" s="1290" t="s">
        <v>437</v>
      </c>
      <c r="M77" s="1696"/>
      <c r="N77" s="1696"/>
      <c r="O77" s="1696"/>
      <c r="P77" s="3907"/>
      <c r="Q77" s="3907">
        <v>1</v>
      </c>
      <c r="R77" s="278"/>
      <c r="S77" s="1813" t="str">
        <f>$J77</f>
        <v>3.1.1.1.1</v>
      </c>
      <c r="T77" s="201" t="s">
        <v>438</v>
      </c>
      <c r="U77" s="214"/>
      <c r="V77" s="3897"/>
      <c r="W77" s="3898"/>
      <c r="X77" s="3898"/>
      <c r="Y77" s="3898"/>
      <c r="Z77" s="3898"/>
      <c r="AA77" s="3898"/>
      <c r="AB77" s="3899"/>
      <c r="AC77" s="3897" t="s">
        <v>525</v>
      </c>
      <c r="AD77" s="3898"/>
      <c r="AE77" s="3898"/>
      <c r="AF77" s="3898"/>
      <c r="AG77" s="3898"/>
      <c r="AH77" s="3898"/>
      <c r="AI77" s="3898"/>
      <c r="AJ77" s="3897"/>
      <c r="AK77" s="3898"/>
      <c r="AL77" s="3898"/>
      <c r="AM77" s="3898"/>
      <c r="AN77" s="3898"/>
      <c r="AO77" s="3898"/>
      <c r="AP77" s="3899"/>
      <c r="AQ77" s="3897"/>
      <c r="AR77" s="3898"/>
      <c r="AS77" s="3898"/>
      <c r="AT77" s="3898"/>
      <c r="AU77" s="3898"/>
      <c r="AV77" s="3898"/>
      <c r="AW77" s="3899"/>
      <c r="AX77" s="3897"/>
      <c r="AY77" s="3898"/>
      <c r="AZ77" s="3898"/>
      <c r="BA77" s="3898"/>
      <c r="BB77" s="3898"/>
      <c r="BC77" s="3898"/>
      <c r="BD77" s="3899"/>
      <c r="BE77" s="3897"/>
      <c r="BF77" s="3898"/>
      <c r="BG77" s="3898"/>
      <c r="BH77" s="3898"/>
      <c r="BI77" s="3898"/>
      <c r="BJ77" s="3898"/>
      <c r="BK77" s="3899"/>
      <c r="BL77" s="3897"/>
      <c r="BM77" s="3898"/>
      <c r="BN77" s="3898"/>
      <c r="BO77" s="3898"/>
      <c r="BP77" s="3898"/>
      <c r="BQ77" s="3898"/>
      <c r="BR77" s="3899"/>
      <c r="BS77" s="3897"/>
      <c r="BT77" s="3898"/>
      <c r="BU77" s="3898"/>
      <c r="BV77" s="3898"/>
      <c r="BW77" s="3898"/>
      <c r="BX77" s="3898"/>
      <c r="BY77" s="3899"/>
      <c r="BZ77" s="3897"/>
      <c r="CA77" s="3898"/>
      <c r="CB77" s="3898"/>
      <c r="CC77" s="3898"/>
      <c r="CD77" s="3898"/>
      <c r="CE77" s="3898"/>
      <c r="CF77" s="3899"/>
      <c r="CG77" s="3897"/>
      <c r="CH77" s="3898"/>
      <c r="CI77" s="3898"/>
      <c r="CJ77" s="3898"/>
      <c r="CK77" s="3898"/>
      <c r="CL77" s="3898"/>
      <c r="CM77" s="3899"/>
      <c r="CN77" s="3897"/>
      <c r="CO77" s="3898"/>
      <c r="CP77" s="3898"/>
      <c r="CQ77" s="3898"/>
      <c r="CR77" s="3898"/>
      <c r="CS77" s="3898"/>
      <c r="CT77" s="3899"/>
      <c r="CU77" s="3899"/>
      <c r="CV77" s="1231" t="s">
        <v>513</v>
      </c>
      <c r="CW77" s="1562"/>
      <c r="CX77" s="1544"/>
      <c r="CY77" s="1544" t="str">
        <f t="shared" si="2"/>
        <v>Группа потребителей</v>
      </c>
      <c r="CZ77" s="1544"/>
      <c r="DA77" s="1544"/>
    </row>
    <row r="78" spans="1:105" s="1827" customFormat="1" ht="23.25" customHeight="1">
      <c r="A78" s="1284"/>
      <c r="B78" s="1284"/>
      <c r="C78" s="1284"/>
      <c r="D78" s="1284"/>
      <c r="E78" s="3909" t="s">
        <v>102</v>
      </c>
      <c r="F78" s="3909"/>
      <c r="G78" s="3909"/>
      <c r="H78" s="3909"/>
      <c r="I78" s="3929"/>
      <c r="J78" s="3929"/>
      <c r="K78" s="3906" t="str">
        <f>J77&amp;".1"</f>
        <v>3.1.1.1.1.1</v>
      </c>
      <c r="L78" s="1290"/>
      <c r="M78" s="1696"/>
      <c r="N78" s="1696"/>
      <c r="O78" s="1696"/>
      <c r="P78" s="3907"/>
      <c r="Q78" s="3907"/>
      <c r="R78" s="278">
        <v>1</v>
      </c>
      <c r="S78" s="1813" t="str">
        <f>$K78</f>
        <v>3.1.1.1.1.1</v>
      </c>
      <c r="T78" s="1357" t="s">
        <v>526</v>
      </c>
      <c r="U78" s="214"/>
      <c r="V78" s="666"/>
      <c r="W78" s="666"/>
      <c r="X78" s="1181"/>
      <c r="Y78" s="3911"/>
      <c r="Z78" s="3759" t="s">
        <v>60</v>
      </c>
      <c r="AA78" s="3911"/>
      <c r="AB78" s="3759" t="s">
        <v>60</v>
      </c>
      <c r="AC78" s="666">
        <v>63.98</v>
      </c>
      <c r="AD78" s="666"/>
      <c r="AE78" s="1181"/>
      <c r="AF78" s="3911">
        <v>45292</v>
      </c>
      <c r="AG78" s="3759" t="s">
        <v>60</v>
      </c>
      <c r="AH78" s="3930">
        <v>45473</v>
      </c>
      <c r="AI78" s="3759" t="s">
        <v>60</v>
      </c>
      <c r="AJ78" s="666">
        <v>71.510000000000005</v>
      </c>
      <c r="AK78" s="666"/>
      <c r="AL78" s="1181"/>
      <c r="AM78" s="3911">
        <v>45474</v>
      </c>
      <c r="AN78" s="3759" t="s">
        <v>60</v>
      </c>
      <c r="AO78" s="3911">
        <v>45657</v>
      </c>
      <c r="AP78" s="3759" t="s">
        <v>60</v>
      </c>
      <c r="AQ78" s="666">
        <v>71.510000000000005</v>
      </c>
      <c r="AR78" s="666"/>
      <c r="AS78" s="1181"/>
      <c r="AT78" s="3911">
        <v>45658</v>
      </c>
      <c r="AU78" s="3759" t="s">
        <v>60</v>
      </c>
      <c r="AV78" s="3911">
        <v>45838</v>
      </c>
      <c r="AW78" s="3759" t="s">
        <v>60</v>
      </c>
      <c r="AX78" s="666">
        <v>74.89</v>
      </c>
      <c r="AY78" s="666"/>
      <c r="AZ78" s="1181"/>
      <c r="BA78" s="3911">
        <v>45839</v>
      </c>
      <c r="BB78" s="3759" t="s">
        <v>60</v>
      </c>
      <c r="BC78" s="3911">
        <v>46022</v>
      </c>
      <c r="BD78" s="3759" t="s">
        <v>60</v>
      </c>
      <c r="BE78" s="666">
        <v>74.89</v>
      </c>
      <c r="BF78" s="666"/>
      <c r="BG78" s="1181"/>
      <c r="BH78" s="3911">
        <v>46023</v>
      </c>
      <c r="BI78" s="3759" t="s">
        <v>60</v>
      </c>
      <c r="BJ78" s="3911">
        <v>46203</v>
      </c>
      <c r="BK78" s="3759" t="s">
        <v>60</v>
      </c>
      <c r="BL78" s="666">
        <v>74.989999999999995</v>
      </c>
      <c r="BM78" s="666"/>
      <c r="BN78" s="1181"/>
      <c r="BO78" s="3911">
        <v>46204</v>
      </c>
      <c r="BP78" s="3759" t="s">
        <v>60</v>
      </c>
      <c r="BQ78" s="3911">
        <v>46387</v>
      </c>
      <c r="BR78" s="3759" t="s">
        <v>60</v>
      </c>
      <c r="BS78" s="666">
        <v>74.989999999999995</v>
      </c>
      <c r="BT78" s="666"/>
      <c r="BU78" s="1181"/>
      <c r="BV78" s="3911">
        <v>46388</v>
      </c>
      <c r="BW78" s="3759" t="s">
        <v>60</v>
      </c>
      <c r="BX78" s="3911">
        <v>46568</v>
      </c>
      <c r="BY78" s="3759" t="s">
        <v>60</v>
      </c>
      <c r="BZ78" s="666">
        <v>75.16</v>
      </c>
      <c r="CA78" s="666"/>
      <c r="CB78" s="1181"/>
      <c r="CC78" s="3911">
        <v>46569</v>
      </c>
      <c r="CD78" s="3759" t="s">
        <v>60</v>
      </c>
      <c r="CE78" s="3911">
        <v>46752</v>
      </c>
      <c r="CF78" s="3759" t="s">
        <v>60</v>
      </c>
      <c r="CG78" s="666">
        <v>75.16</v>
      </c>
      <c r="CH78" s="666"/>
      <c r="CI78" s="1181"/>
      <c r="CJ78" s="3911">
        <v>46753</v>
      </c>
      <c r="CK78" s="3759" t="s">
        <v>60</v>
      </c>
      <c r="CL78" s="3911">
        <v>46934</v>
      </c>
      <c r="CM78" s="3759" t="s">
        <v>60</v>
      </c>
      <c r="CN78" s="666">
        <v>76.5</v>
      </c>
      <c r="CO78" s="666"/>
      <c r="CP78" s="1181"/>
      <c r="CQ78" s="3911">
        <v>46935</v>
      </c>
      <c r="CR78" s="3759" t="s">
        <v>60</v>
      </c>
      <c r="CS78" s="3911">
        <v>47118</v>
      </c>
      <c r="CT78" s="3759" t="s">
        <v>60</v>
      </c>
      <c r="CU78" s="1358"/>
      <c r="CV78"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8" s="1562" t="e">
        <f ca="1">STRCHECKDATE(V79:CU79)</f>
        <v>#NAME?</v>
      </c>
      <c r="CX78" s="1544"/>
      <c r="CY78" s="1544" t="str">
        <f t="shared" si="2"/>
        <v>Тариф для населения, руб. за 1 куб. метр с НДС</v>
      </c>
      <c r="CZ78" s="1544"/>
      <c r="DA78" s="1544"/>
    </row>
    <row r="79" spans="1:105" s="1827" customFormat="1" ht="14.25" customHeight="1">
      <c r="A79" s="1284"/>
      <c r="B79" s="1284"/>
      <c r="C79" s="1284"/>
      <c r="D79" s="1284"/>
      <c r="E79" s="3909" t="s">
        <v>102</v>
      </c>
      <c r="F79" s="3909"/>
      <c r="G79" s="3909"/>
      <c r="H79" s="3909"/>
      <c r="I79" s="3929"/>
      <c r="J79" s="3929"/>
      <c r="K79" s="3906"/>
      <c r="L79" s="1290"/>
      <c r="M79" s="1696"/>
      <c r="N79" s="1696"/>
      <c r="O79" s="1696"/>
      <c r="P79" s="3907"/>
      <c r="Q79" s="3907"/>
      <c r="R79" s="278"/>
      <c r="S79" s="1822"/>
      <c r="T79" s="214"/>
      <c r="U79" s="214"/>
      <c r="V79" s="246"/>
      <c r="W79" s="246"/>
      <c r="X79" s="250" t="str">
        <f>Y78&amp;"-"&amp;AA78</f>
        <v>-</v>
      </c>
      <c r="Y79" s="3912"/>
      <c r="Z79" s="3759"/>
      <c r="AA79" s="3912"/>
      <c r="AB79" s="3759"/>
      <c r="AC79" s="246"/>
      <c r="AD79" s="246"/>
      <c r="AE79" s="250" t="str">
        <f>AF78&amp;"-"&amp;AH78</f>
        <v>45292-45473</v>
      </c>
      <c r="AF79" s="3912"/>
      <c r="AG79" s="3759"/>
      <c r="AH79" s="3931"/>
      <c r="AI79" s="3759"/>
      <c r="AJ79" s="246"/>
      <c r="AK79" s="246"/>
      <c r="AL79" s="250" t="str">
        <f>AM78&amp;"-"&amp;AO78</f>
        <v>45474-45657</v>
      </c>
      <c r="AM79" s="3912"/>
      <c r="AN79" s="3759"/>
      <c r="AO79" s="3912"/>
      <c r="AP79" s="3759"/>
      <c r="AQ79" s="246"/>
      <c r="AR79" s="246"/>
      <c r="AS79" s="250" t="str">
        <f>AT78&amp;"-"&amp;AV78</f>
        <v>45658-45838</v>
      </c>
      <c r="AT79" s="3912"/>
      <c r="AU79" s="3759"/>
      <c r="AV79" s="3912"/>
      <c r="AW79" s="3759"/>
      <c r="AX79" s="246"/>
      <c r="AY79" s="246"/>
      <c r="AZ79" s="250" t="str">
        <f>BA78&amp;"-"&amp;BC78</f>
        <v>45839-46022</v>
      </c>
      <c r="BA79" s="3912"/>
      <c r="BB79" s="3759"/>
      <c r="BC79" s="3912"/>
      <c r="BD79" s="3759"/>
      <c r="BE79" s="246"/>
      <c r="BF79" s="246"/>
      <c r="BG79" s="250" t="str">
        <f>BH78&amp;"-"&amp;BJ78</f>
        <v>46023-46203</v>
      </c>
      <c r="BH79" s="3912"/>
      <c r="BI79" s="3759"/>
      <c r="BJ79" s="3912"/>
      <c r="BK79" s="3759"/>
      <c r="BL79" s="246"/>
      <c r="BM79" s="246"/>
      <c r="BN79" s="250" t="str">
        <f>BO78&amp;"-"&amp;BQ78</f>
        <v>46204-46387</v>
      </c>
      <c r="BO79" s="3912"/>
      <c r="BP79" s="3759"/>
      <c r="BQ79" s="3912"/>
      <c r="BR79" s="3759"/>
      <c r="BS79" s="246"/>
      <c r="BT79" s="246"/>
      <c r="BU79" s="250" t="str">
        <f>BV78&amp;"-"&amp;BX78</f>
        <v>46388-46568</v>
      </c>
      <c r="BV79" s="3912"/>
      <c r="BW79" s="3759"/>
      <c r="BX79" s="3912"/>
      <c r="BY79" s="3759"/>
      <c r="BZ79" s="246"/>
      <c r="CA79" s="246"/>
      <c r="CB79" s="250" t="str">
        <f>CC78&amp;"-"&amp;CE78</f>
        <v>46569-46752</v>
      </c>
      <c r="CC79" s="3912"/>
      <c r="CD79" s="3759"/>
      <c r="CE79" s="3912"/>
      <c r="CF79" s="3759"/>
      <c r="CG79" s="246"/>
      <c r="CH79" s="246"/>
      <c r="CI79" s="250" t="str">
        <f>CJ78&amp;"-"&amp;CL78</f>
        <v>46753-46934</v>
      </c>
      <c r="CJ79" s="3912"/>
      <c r="CK79" s="3759"/>
      <c r="CL79" s="3912"/>
      <c r="CM79" s="3759"/>
      <c r="CN79" s="246"/>
      <c r="CO79" s="246"/>
      <c r="CP79" s="250" t="str">
        <f>CQ78&amp;"-"&amp;CS78</f>
        <v>46935-47118</v>
      </c>
      <c r="CQ79" s="3912"/>
      <c r="CR79" s="3759"/>
      <c r="CS79" s="3912"/>
      <c r="CT79" s="3759"/>
      <c r="CU79" s="1359"/>
      <c r="CV79" s="3966"/>
      <c r="CW79" s="1562"/>
      <c r="CX79" s="1544"/>
      <c r="CY79" s="1544" t="str">
        <f t="shared" si="2"/>
        <v/>
      </c>
      <c r="CZ79" s="1544"/>
      <c r="DA79" s="1544"/>
    </row>
    <row r="80" spans="1:105" s="1827" customFormat="1" ht="21" customHeight="1">
      <c r="A80" s="1284"/>
      <c r="B80" s="1284"/>
      <c r="C80" s="1284"/>
      <c r="D80" s="1284"/>
      <c r="E80" s="3909" t="s">
        <v>102</v>
      </c>
      <c r="F80" s="3909"/>
      <c r="G80" s="3909"/>
      <c r="H80" s="3909"/>
      <c r="I80" s="3929"/>
      <c r="J80" s="3906"/>
      <c r="K80" s="1284"/>
      <c r="L80" s="1290"/>
      <c r="M80" s="1696"/>
      <c r="N80" s="1696"/>
      <c r="O80" s="1696"/>
      <c r="P80" s="3907"/>
      <c r="Q80" s="3907"/>
      <c r="R80" s="277"/>
      <c r="S80" s="2650"/>
      <c r="T80" s="2651" t="s">
        <v>514</v>
      </c>
      <c r="U80" s="2652"/>
      <c r="V80" s="2653"/>
      <c r="W80" s="2654"/>
      <c r="X80" s="2655"/>
      <c r="Y80" s="2656"/>
      <c r="Z80" s="2657"/>
      <c r="AA80" s="2658"/>
      <c r="AB80" s="2659"/>
      <c r="AC80" s="2660"/>
      <c r="AD80" s="2661"/>
      <c r="AE80" s="2662"/>
      <c r="AF80" s="2663"/>
      <c r="AG80" s="2664"/>
      <c r="AH80" s="2665"/>
      <c r="AI80" s="2666"/>
      <c r="AJ80" s="2667"/>
      <c r="AK80" s="2668"/>
      <c r="AL80" s="2669"/>
      <c r="AM80" s="2670"/>
      <c r="AN80" s="2671"/>
      <c r="AO80" s="2672"/>
      <c r="AP80" s="2673"/>
      <c r="AQ80" s="2674"/>
      <c r="AR80" s="2675"/>
      <c r="AS80" s="2676"/>
      <c r="AT80" s="2677"/>
      <c r="AU80" s="2678"/>
      <c r="AV80" s="2679"/>
      <c r="AW80" s="2680"/>
      <c r="AX80" s="2681"/>
      <c r="AY80" s="2682"/>
      <c r="AZ80" s="2683"/>
      <c r="BA80" s="2684"/>
      <c r="BB80" s="2685"/>
      <c r="BC80" s="2686"/>
      <c r="BD80" s="2687"/>
      <c r="BE80" s="2688"/>
      <c r="BF80" s="2689"/>
      <c r="BG80" s="2690"/>
      <c r="BH80" s="2691"/>
      <c r="BI80" s="2692"/>
      <c r="BJ80" s="2693"/>
      <c r="BK80" s="2694"/>
      <c r="BL80" s="2695"/>
      <c r="BM80" s="2696"/>
      <c r="BN80" s="2697"/>
      <c r="BO80" s="2698"/>
      <c r="BP80" s="2699"/>
      <c r="BQ80" s="2700"/>
      <c r="BR80" s="2701"/>
      <c r="BS80" s="2702"/>
      <c r="BT80" s="2703"/>
      <c r="BU80" s="2704"/>
      <c r="BV80" s="2705"/>
      <c r="BW80" s="2706"/>
      <c r="BX80" s="2707"/>
      <c r="BY80" s="2708"/>
      <c r="BZ80" s="2709"/>
      <c r="CA80" s="2710"/>
      <c r="CB80" s="2711"/>
      <c r="CC80" s="2712"/>
      <c r="CD80" s="2713"/>
      <c r="CE80" s="2714"/>
      <c r="CF80" s="2715"/>
      <c r="CG80" s="2716"/>
      <c r="CH80" s="2717"/>
      <c r="CI80" s="2718"/>
      <c r="CJ80" s="2719"/>
      <c r="CK80" s="2720"/>
      <c r="CL80" s="2721"/>
      <c r="CM80" s="2722"/>
      <c r="CN80" s="2723"/>
      <c r="CO80" s="2724"/>
      <c r="CP80" s="2725"/>
      <c r="CQ80" s="2726"/>
      <c r="CR80" s="2727"/>
      <c r="CS80" s="2728"/>
      <c r="CT80" s="2729"/>
      <c r="CU80" s="2730"/>
      <c r="CV80" s="1182" t="s">
        <v>515</v>
      </c>
      <c r="CW80" s="1562"/>
      <c r="CX80" s="1544"/>
      <c r="CY80" s="1544" t="str">
        <f t="shared" si="2"/>
        <v>Добавить значение признака дифференциации</v>
      </c>
      <c r="CZ80" s="1544"/>
      <c r="DA80" s="1544"/>
    </row>
    <row r="81" spans="1:105" s="1827" customFormat="1" ht="23.25" customHeight="1">
      <c r="A81" s="1284"/>
      <c r="B81" s="1284"/>
      <c r="C81" s="1284"/>
      <c r="D81" s="1284"/>
      <c r="E81" s="3909"/>
      <c r="F81" s="3909"/>
      <c r="G81" s="3909"/>
      <c r="H81" s="3909"/>
      <c r="I81" s="3929"/>
      <c r="J81" s="3906" t="str">
        <f>I76&amp;".2"</f>
        <v>3.1.1.1.2</v>
      </c>
      <c r="K81" s="1284"/>
      <c r="L81" s="1290" t="s">
        <v>437</v>
      </c>
      <c r="M81" s="1696"/>
      <c r="N81" s="1696"/>
      <c r="O81" s="1696"/>
      <c r="P81" s="3907"/>
      <c r="Q81" s="3973" t="s">
        <v>103</v>
      </c>
      <c r="R81" s="278"/>
      <c r="S81" s="1813" t="str">
        <f>$J81</f>
        <v>3.1.1.1.2</v>
      </c>
      <c r="T81" s="201" t="s">
        <v>438</v>
      </c>
      <c r="U81" s="214"/>
      <c r="V81" s="3897"/>
      <c r="W81" s="3898"/>
      <c r="X81" s="3898"/>
      <c r="Y81" s="3898"/>
      <c r="Z81" s="3898"/>
      <c r="AA81" s="3898"/>
      <c r="AB81" s="3899"/>
      <c r="AC81" s="3897" t="s">
        <v>527</v>
      </c>
      <c r="AD81" s="3898"/>
      <c r="AE81" s="3898"/>
      <c r="AF81" s="3898"/>
      <c r="AG81" s="3898"/>
      <c r="AH81" s="3898"/>
      <c r="AI81" s="3898"/>
      <c r="AJ81" s="3897"/>
      <c r="AK81" s="3898"/>
      <c r="AL81" s="3898"/>
      <c r="AM81" s="3898"/>
      <c r="AN81" s="3898"/>
      <c r="AO81" s="3898"/>
      <c r="AP81" s="3899"/>
      <c r="AQ81" s="3897"/>
      <c r="AR81" s="3898"/>
      <c r="AS81" s="3898"/>
      <c r="AT81" s="3898"/>
      <c r="AU81" s="3898"/>
      <c r="AV81" s="3898"/>
      <c r="AW81" s="3899"/>
      <c r="AX81" s="3897"/>
      <c r="AY81" s="3898"/>
      <c r="AZ81" s="3898"/>
      <c r="BA81" s="3898"/>
      <c r="BB81" s="3898"/>
      <c r="BC81" s="3898"/>
      <c r="BD81" s="3899"/>
      <c r="BE81" s="3897"/>
      <c r="BF81" s="3898"/>
      <c r="BG81" s="3898"/>
      <c r="BH81" s="3898"/>
      <c r="BI81" s="3898"/>
      <c r="BJ81" s="3898"/>
      <c r="BK81" s="3899"/>
      <c r="BL81" s="3897"/>
      <c r="BM81" s="3898"/>
      <c r="BN81" s="3898"/>
      <c r="BO81" s="3898"/>
      <c r="BP81" s="3898"/>
      <c r="BQ81" s="3898"/>
      <c r="BR81" s="3899"/>
      <c r="BS81" s="3897"/>
      <c r="BT81" s="3898"/>
      <c r="BU81" s="3898"/>
      <c r="BV81" s="3898"/>
      <c r="BW81" s="3898"/>
      <c r="BX81" s="3898"/>
      <c r="BY81" s="3899"/>
      <c r="BZ81" s="3897"/>
      <c r="CA81" s="3898"/>
      <c r="CB81" s="3898"/>
      <c r="CC81" s="3898"/>
      <c r="CD81" s="3898"/>
      <c r="CE81" s="3898"/>
      <c r="CF81" s="3899"/>
      <c r="CG81" s="3897"/>
      <c r="CH81" s="3898"/>
      <c r="CI81" s="3898"/>
      <c r="CJ81" s="3898"/>
      <c r="CK81" s="3898"/>
      <c r="CL81" s="3898"/>
      <c r="CM81" s="3899"/>
      <c r="CN81" s="3897"/>
      <c r="CO81" s="3898"/>
      <c r="CP81" s="3898"/>
      <c r="CQ81" s="3898"/>
      <c r="CR81" s="3898"/>
      <c r="CS81" s="3898"/>
      <c r="CT81" s="3899"/>
      <c r="CU81" s="3899"/>
      <c r="CV81" s="1231" t="s">
        <v>513</v>
      </c>
      <c r="CW81" s="1562"/>
      <c r="CX81" s="1544"/>
      <c r="CY81" s="1544" t="str">
        <f t="shared" si="2"/>
        <v>Группа потребителей</v>
      </c>
      <c r="CZ81" s="1544"/>
      <c r="DA81" s="1544"/>
    </row>
    <row r="82" spans="1:105" s="1827" customFormat="1" ht="23.25" customHeight="1">
      <c r="A82" s="1284"/>
      <c r="B82" s="1284"/>
      <c r="C82" s="1284"/>
      <c r="D82" s="1284"/>
      <c r="E82" s="3909"/>
      <c r="F82" s="3909"/>
      <c r="G82" s="3909"/>
      <c r="H82" s="3909"/>
      <c r="I82" s="3929"/>
      <c r="J82" s="3929" t="str">
        <f>I76&amp;".1"</f>
        <v>3.1.1.1.1</v>
      </c>
      <c r="K82" s="3906" t="str">
        <f>J81&amp;".1"</f>
        <v>3.1.1.1.2.1</v>
      </c>
      <c r="L82" s="1290"/>
      <c r="M82" s="1696"/>
      <c r="N82" s="1696"/>
      <c r="O82" s="1696"/>
      <c r="P82" s="3907"/>
      <c r="Q82" s="3907"/>
      <c r="R82" s="278">
        <v>1</v>
      </c>
      <c r="S82" s="1813" t="str">
        <f>$K82</f>
        <v>3.1.1.1.2.1</v>
      </c>
      <c r="T82" s="1357" t="s">
        <v>528</v>
      </c>
      <c r="U82" s="214"/>
      <c r="V82" s="666"/>
      <c r="W82" s="666"/>
      <c r="X82" s="1181"/>
      <c r="Y82" s="3911"/>
      <c r="Z82" s="3759" t="s">
        <v>60</v>
      </c>
      <c r="AA82" s="3911"/>
      <c r="AB82" s="3759" t="s">
        <v>60</v>
      </c>
      <c r="AC82" s="666">
        <v>53.32</v>
      </c>
      <c r="AD82" s="666"/>
      <c r="AE82" s="1181"/>
      <c r="AF82" s="3911">
        <v>45292</v>
      </c>
      <c r="AG82" s="3759" t="s">
        <v>60</v>
      </c>
      <c r="AH82" s="3930">
        <v>45473</v>
      </c>
      <c r="AI82" s="3759" t="s">
        <v>60</v>
      </c>
      <c r="AJ82" s="666">
        <v>59.59</v>
      </c>
      <c r="AK82" s="666"/>
      <c r="AL82" s="1181"/>
      <c r="AM82" s="3911">
        <v>45474</v>
      </c>
      <c r="AN82" s="3759" t="s">
        <v>60</v>
      </c>
      <c r="AO82" s="3911">
        <v>45657</v>
      </c>
      <c r="AP82" s="3759" t="s">
        <v>60</v>
      </c>
      <c r="AQ82" s="666">
        <v>59.59</v>
      </c>
      <c r="AR82" s="666"/>
      <c r="AS82" s="1181"/>
      <c r="AT82" s="3911">
        <v>45658</v>
      </c>
      <c r="AU82" s="3759" t="s">
        <v>60</v>
      </c>
      <c r="AV82" s="3911">
        <v>45838</v>
      </c>
      <c r="AW82" s="3759" t="s">
        <v>60</v>
      </c>
      <c r="AX82" s="666">
        <v>62.41</v>
      </c>
      <c r="AY82" s="666"/>
      <c r="AZ82" s="1181"/>
      <c r="BA82" s="3911">
        <v>45839</v>
      </c>
      <c r="BB82" s="3759" t="s">
        <v>60</v>
      </c>
      <c r="BC82" s="3911">
        <v>46022</v>
      </c>
      <c r="BD82" s="3759" t="s">
        <v>60</v>
      </c>
      <c r="BE82" s="666">
        <v>62.41</v>
      </c>
      <c r="BF82" s="666"/>
      <c r="BG82" s="1181"/>
      <c r="BH82" s="3911">
        <v>46023</v>
      </c>
      <c r="BI82" s="3759" t="s">
        <v>60</v>
      </c>
      <c r="BJ82" s="3911">
        <v>46203</v>
      </c>
      <c r="BK82" s="3759" t="s">
        <v>60</v>
      </c>
      <c r="BL82" s="666">
        <v>62.49</v>
      </c>
      <c r="BM82" s="666"/>
      <c r="BN82" s="1181"/>
      <c r="BO82" s="3911">
        <v>46204</v>
      </c>
      <c r="BP82" s="3759" t="s">
        <v>60</v>
      </c>
      <c r="BQ82" s="3911">
        <v>46387</v>
      </c>
      <c r="BR82" s="3759" t="s">
        <v>60</v>
      </c>
      <c r="BS82" s="666">
        <v>62.49</v>
      </c>
      <c r="BT82" s="666"/>
      <c r="BU82" s="1181"/>
      <c r="BV82" s="3911">
        <v>46388</v>
      </c>
      <c r="BW82" s="3759" t="s">
        <v>60</v>
      </c>
      <c r="BX82" s="3911">
        <v>46568</v>
      </c>
      <c r="BY82" s="3759" t="s">
        <v>60</v>
      </c>
      <c r="BZ82" s="666">
        <v>62.63</v>
      </c>
      <c r="CA82" s="666"/>
      <c r="CB82" s="1181"/>
      <c r="CC82" s="3911">
        <v>46569</v>
      </c>
      <c r="CD82" s="3759" t="s">
        <v>60</v>
      </c>
      <c r="CE82" s="3911">
        <v>46752</v>
      </c>
      <c r="CF82" s="3759" t="s">
        <v>60</v>
      </c>
      <c r="CG82" s="666">
        <v>62.63</v>
      </c>
      <c r="CH82" s="666"/>
      <c r="CI82" s="1181"/>
      <c r="CJ82" s="3911">
        <v>46753</v>
      </c>
      <c r="CK82" s="3759" t="s">
        <v>60</v>
      </c>
      <c r="CL82" s="3911">
        <v>46934</v>
      </c>
      <c r="CM82" s="3759" t="s">
        <v>60</v>
      </c>
      <c r="CN82" s="666">
        <v>63.75</v>
      </c>
      <c r="CO82" s="666"/>
      <c r="CP82" s="1181"/>
      <c r="CQ82" s="3911">
        <v>46935</v>
      </c>
      <c r="CR82" s="3759" t="s">
        <v>60</v>
      </c>
      <c r="CS82" s="3911">
        <v>47118</v>
      </c>
      <c r="CT82" s="3759" t="s">
        <v>60</v>
      </c>
      <c r="CU82" s="1358"/>
      <c r="CV82"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2" s="1562" t="e">
        <f ca="1">STRCHECKDATE(V83:CU83)</f>
        <v>#NAME?</v>
      </c>
      <c r="CX82" s="1544"/>
      <c r="CY82" s="1544" t="str">
        <f t="shared" si="2"/>
        <v>Тариф, руб. за 1 куб. метр без НДС</v>
      </c>
      <c r="CZ82" s="1544"/>
      <c r="DA82" s="1544"/>
    </row>
    <row r="83" spans="1:105" s="1827" customFormat="1" ht="14.25" customHeight="1">
      <c r="A83" s="1284"/>
      <c r="B83" s="1284"/>
      <c r="C83" s="1284"/>
      <c r="D83" s="1284"/>
      <c r="E83" s="3909"/>
      <c r="F83" s="3909"/>
      <c r="G83" s="3909"/>
      <c r="H83" s="3909"/>
      <c r="I83" s="3929"/>
      <c r="J83" s="3929" t="str">
        <f>I76&amp;".1"</f>
        <v>3.1.1.1.1</v>
      </c>
      <c r="K83" s="3906"/>
      <c r="L83" s="1290"/>
      <c r="M83" s="1696"/>
      <c r="N83" s="1696"/>
      <c r="O83" s="1696"/>
      <c r="P83" s="3907"/>
      <c r="Q83" s="3907"/>
      <c r="R83" s="278"/>
      <c r="S83" s="1822"/>
      <c r="T83" s="214"/>
      <c r="U83" s="214"/>
      <c r="V83" s="246"/>
      <c r="W83" s="246"/>
      <c r="X83" s="250" t="str">
        <f>Y82&amp;"-"&amp;AA82</f>
        <v>-</v>
      </c>
      <c r="Y83" s="3912"/>
      <c r="Z83" s="3759"/>
      <c r="AA83" s="3912"/>
      <c r="AB83" s="3759"/>
      <c r="AC83" s="246"/>
      <c r="AD83" s="246"/>
      <c r="AE83" s="250" t="str">
        <f>AF82&amp;"-"&amp;AH82</f>
        <v>45292-45473</v>
      </c>
      <c r="AF83" s="3912"/>
      <c r="AG83" s="3759"/>
      <c r="AH83" s="3931"/>
      <c r="AI83" s="3759"/>
      <c r="AJ83" s="246"/>
      <c r="AK83" s="246"/>
      <c r="AL83" s="250" t="str">
        <f>AM82&amp;"-"&amp;AO82</f>
        <v>45474-45657</v>
      </c>
      <c r="AM83" s="3912"/>
      <c r="AN83" s="3759"/>
      <c r="AO83" s="3912"/>
      <c r="AP83" s="3759"/>
      <c r="AQ83" s="246"/>
      <c r="AR83" s="246"/>
      <c r="AS83" s="250" t="str">
        <f>AT82&amp;"-"&amp;AV82</f>
        <v>45658-45838</v>
      </c>
      <c r="AT83" s="3912"/>
      <c r="AU83" s="3759"/>
      <c r="AV83" s="3912"/>
      <c r="AW83" s="3759"/>
      <c r="AX83" s="246"/>
      <c r="AY83" s="246"/>
      <c r="AZ83" s="250" t="str">
        <f>BA82&amp;"-"&amp;BC82</f>
        <v>45839-46022</v>
      </c>
      <c r="BA83" s="3912"/>
      <c r="BB83" s="3759"/>
      <c r="BC83" s="3912"/>
      <c r="BD83" s="3759"/>
      <c r="BE83" s="246"/>
      <c r="BF83" s="246"/>
      <c r="BG83" s="250" t="str">
        <f>BH82&amp;"-"&amp;BJ82</f>
        <v>46023-46203</v>
      </c>
      <c r="BH83" s="3912"/>
      <c r="BI83" s="3759"/>
      <c r="BJ83" s="3912"/>
      <c r="BK83" s="3759"/>
      <c r="BL83" s="246"/>
      <c r="BM83" s="246"/>
      <c r="BN83" s="250" t="str">
        <f>BO82&amp;"-"&amp;BQ82</f>
        <v>46204-46387</v>
      </c>
      <c r="BO83" s="3912"/>
      <c r="BP83" s="3759"/>
      <c r="BQ83" s="3912"/>
      <c r="BR83" s="3759"/>
      <c r="BS83" s="246"/>
      <c r="BT83" s="246"/>
      <c r="BU83" s="250" t="str">
        <f>BV82&amp;"-"&amp;BX82</f>
        <v>46388-46568</v>
      </c>
      <c r="BV83" s="3912"/>
      <c r="BW83" s="3759"/>
      <c r="BX83" s="3912"/>
      <c r="BY83" s="3759"/>
      <c r="BZ83" s="246"/>
      <c r="CA83" s="246"/>
      <c r="CB83" s="250" t="str">
        <f>CC82&amp;"-"&amp;CE82</f>
        <v>46569-46752</v>
      </c>
      <c r="CC83" s="3912"/>
      <c r="CD83" s="3759"/>
      <c r="CE83" s="3912"/>
      <c r="CF83" s="3759"/>
      <c r="CG83" s="246"/>
      <c r="CH83" s="246"/>
      <c r="CI83" s="250" t="str">
        <f>CJ82&amp;"-"&amp;CL82</f>
        <v>46753-46934</v>
      </c>
      <c r="CJ83" s="3912"/>
      <c r="CK83" s="3759"/>
      <c r="CL83" s="3912"/>
      <c r="CM83" s="3759"/>
      <c r="CN83" s="246"/>
      <c r="CO83" s="246"/>
      <c r="CP83" s="250" t="str">
        <f>CQ82&amp;"-"&amp;CS82</f>
        <v>46935-47118</v>
      </c>
      <c r="CQ83" s="3912"/>
      <c r="CR83" s="3759"/>
      <c r="CS83" s="3912"/>
      <c r="CT83" s="3759"/>
      <c r="CU83" s="1359"/>
      <c r="CV83" s="3966"/>
      <c r="CW83" s="1562"/>
      <c r="CX83" s="1544"/>
      <c r="CY83" s="1544" t="str">
        <f t="shared" si="2"/>
        <v/>
      </c>
      <c r="CZ83" s="1544"/>
      <c r="DA83" s="1544"/>
    </row>
    <row r="84" spans="1:105" s="1827" customFormat="1" ht="21" customHeight="1">
      <c r="A84" s="1284"/>
      <c r="B84" s="1284"/>
      <c r="C84" s="1284"/>
      <c r="D84" s="1284"/>
      <c r="E84" s="3909"/>
      <c r="F84" s="3909"/>
      <c r="G84" s="3909"/>
      <c r="H84" s="3909"/>
      <c r="I84" s="3929"/>
      <c r="J84" s="3906" t="str">
        <f>I76&amp;".1"</f>
        <v>3.1.1.1.1</v>
      </c>
      <c r="K84" s="1284"/>
      <c r="L84" s="1290"/>
      <c r="M84" s="1696"/>
      <c r="N84" s="1696"/>
      <c r="O84" s="1696"/>
      <c r="P84" s="3907"/>
      <c r="Q84" s="3907"/>
      <c r="R84" s="277"/>
      <c r="S84" s="2731"/>
      <c r="T84" s="2732" t="s">
        <v>514</v>
      </c>
      <c r="U84" s="2733"/>
      <c r="V84" s="2734"/>
      <c r="W84" s="2735"/>
      <c r="X84" s="2736"/>
      <c r="Y84" s="2737"/>
      <c r="Z84" s="2738"/>
      <c r="AA84" s="2739"/>
      <c r="AB84" s="2740"/>
      <c r="AC84" s="2741"/>
      <c r="AD84" s="2742"/>
      <c r="AE84" s="2743"/>
      <c r="AF84" s="2744"/>
      <c r="AG84" s="2745"/>
      <c r="AH84" s="2746"/>
      <c r="AI84" s="2747"/>
      <c r="AJ84" s="2748"/>
      <c r="AK84" s="2749"/>
      <c r="AL84" s="2750"/>
      <c r="AM84" s="2751"/>
      <c r="AN84" s="2752"/>
      <c r="AO84" s="2753"/>
      <c r="AP84" s="2754"/>
      <c r="AQ84" s="2755"/>
      <c r="AR84" s="2756"/>
      <c r="AS84" s="2757"/>
      <c r="AT84" s="2758"/>
      <c r="AU84" s="2759"/>
      <c r="AV84" s="2760"/>
      <c r="AW84" s="2761"/>
      <c r="AX84" s="2762"/>
      <c r="AY84" s="2763"/>
      <c r="AZ84" s="2764"/>
      <c r="BA84" s="2765"/>
      <c r="BB84" s="2766"/>
      <c r="BC84" s="2767"/>
      <c r="BD84" s="2768"/>
      <c r="BE84" s="2769"/>
      <c r="BF84" s="2770"/>
      <c r="BG84" s="2771"/>
      <c r="BH84" s="2772"/>
      <c r="BI84" s="2773"/>
      <c r="BJ84" s="2774"/>
      <c r="BK84" s="2775"/>
      <c r="BL84" s="2776"/>
      <c r="BM84" s="2777"/>
      <c r="BN84" s="2778"/>
      <c r="BO84" s="2779"/>
      <c r="BP84" s="2780"/>
      <c r="BQ84" s="2781"/>
      <c r="BR84" s="2782"/>
      <c r="BS84" s="2783"/>
      <c r="BT84" s="2784"/>
      <c r="BU84" s="2785"/>
      <c r="BV84" s="2786"/>
      <c r="BW84" s="2787"/>
      <c r="BX84" s="2788"/>
      <c r="BY84" s="2789"/>
      <c r="BZ84" s="2790"/>
      <c r="CA84" s="2791"/>
      <c r="CB84" s="2792"/>
      <c r="CC84" s="2793"/>
      <c r="CD84" s="2794"/>
      <c r="CE84" s="2795"/>
      <c r="CF84" s="2796"/>
      <c r="CG84" s="2797"/>
      <c r="CH84" s="2798"/>
      <c r="CI84" s="2799"/>
      <c r="CJ84" s="2800"/>
      <c r="CK84" s="2801"/>
      <c r="CL84" s="2802"/>
      <c r="CM84" s="2803"/>
      <c r="CN84" s="2804"/>
      <c r="CO84" s="2805"/>
      <c r="CP84" s="2806"/>
      <c r="CQ84" s="2807"/>
      <c r="CR84" s="2808"/>
      <c r="CS84" s="2809"/>
      <c r="CT84" s="2810"/>
      <c r="CU84" s="2811"/>
      <c r="CV84" s="1182" t="s">
        <v>515</v>
      </c>
      <c r="CW84" s="1562"/>
      <c r="CX84" s="1544"/>
      <c r="CY84" s="1544" t="str">
        <f t="shared" si="2"/>
        <v>Добавить значение признака дифференциации</v>
      </c>
      <c r="CZ84" s="1544"/>
      <c r="DA84" s="1544"/>
    </row>
    <row r="85" spans="1:105" s="1827" customFormat="1" ht="21" customHeight="1">
      <c r="A85" s="1284"/>
      <c r="B85" s="1284"/>
      <c r="C85" s="1284"/>
      <c r="D85" s="1284"/>
      <c r="E85" s="3909" t="s">
        <v>102</v>
      </c>
      <c r="F85" s="3909"/>
      <c r="G85" s="3909"/>
      <c r="H85" s="3909"/>
      <c r="I85" s="3906"/>
      <c r="J85" s="1284"/>
      <c r="K85" s="1284"/>
      <c r="L85" s="1290"/>
      <c r="M85" s="1696"/>
      <c r="N85" s="1696"/>
      <c r="O85" s="1696"/>
      <c r="P85" s="3907"/>
      <c r="Q85" s="1816"/>
      <c r="R85" s="277"/>
      <c r="S85" s="2812"/>
      <c r="T85" s="2813" t="s">
        <v>443</v>
      </c>
      <c r="U85" s="2814"/>
      <c r="V85" s="2815"/>
      <c r="W85" s="2816"/>
      <c r="X85" s="2817"/>
      <c r="Y85" s="2818"/>
      <c r="Z85" s="2819"/>
      <c r="AA85" s="2820"/>
      <c r="AB85" s="2821"/>
      <c r="AC85" s="2822"/>
      <c r="AD85" s="2823"/>
      <c r="AE85" s="2824"/>
      <c r="AF85" s="2825"/>
      <c r="AG85" s="2826"/>
      <c r="AH85" s="2827"/>
      <c r="AI85" s="2828"/>
      <c r="AJ85" s="2829"/>
      <c r="AK85" s="2830"/>
      <c r="AL85" s="2831"/>
      <c r="AM85" s="2832"/>
      <c r="AN85" s="2833"/>
      <c r="AO85" s="2834"/>
      <c r="AP85" s="2835"/>
      <c r="AQ85" s="2836"/>
      <c r="AR85" s="2837"/>
      <c r="AS85" s="2838"/>
      <c r="AT85" s="2839"/>
      <c r="AU85" s="2840"/>
      <c r="AV85" s="2841"/>
      <c r="AW85" s="2842"/>
      <c r="AX85" s="2843"/>
      <c r="AY85" s="2844"/>
      <c r="AZ85" s="2845"/>
      <c r="BA85" s="2846"/>
      <c r="BB85" s="2847"/>
      <c r="BC85" s="2848"/>
      <c r="BD85" s="2849"/>
      <c r="BE85" s="2850"/>
      <c r="BF85" s="2851"/>
      <c r="BG85" s="2852"/>
      <c r="BH85" s="2853"/>
      <c r="BI85" s="2854"/>
      <c r="BJ85" s="2855"/>
      <c r="BK85" s="2856"/>
      <c r="BL85" s="2857"/>
      <c r="BM85" s="2858"/>
      <c r="BN85" s="2859"/>
      <c r="BO85" s="2860"/>
      <c r="BP85" s="2861"/>
      <c r="BQ85" s="2862"/>
      <c r="BR85" s="2863"/>
      <c r="BS85" s="2864"/>
      <c r="BT85" s="2865"/>
      <c r="BU85" s="2866"/>
      <c r="BV85" s="2867"/>
      <c r="BW85" s="2868"/>
      <c r="BX85" s="2869"/>
      <c r="BY85" s="2870"/>
      <c r="BZ85" s="2871"/>
      <c r="CA85" s="2872"/>
      <c r="CB85" s="2873"/>
      <c r="CC85" s="2874"/>
      <c r="CD85" s="2875"/>
      <c r="CE85" s="2876"/>
      <c r="CF85" s="2877"/>
      <c r="CG85" s="2878"/>
      <c r="CH85" s="2879"/>
      <c r="CI85" s="2880"/>
      <c r="CJ85" s="2881"/>
      <c r="CK85" s="2882"/>
      <c r="CL85" s="2883"/>
      <c r="CM85" s="2884"/>
      <c r="CN85" s="2885"/>
      <c r="CO85" s="2886"/>
      <c r="CP85" s="2887"/>
      <c r="CQ85" s="2888"/>
      <c r="CR85" s="2889"/>
      <c r="CS85" s="2890"/>
      <c r="CT85" s="2891"/>
      <c r="CU85" s="2892"/>
      <c r="CV85" s="2893"/>
      <c r="CW85" s="1562"/>
      <c r="CX85" s="1544"/>
      <c r="CY85" s="1544" t="str">
        <f t="shared" si="2"/>
        <v>Добавить группу потребителей</v>
      </c>
      <c r="CZ85" s="1544"/>
      <c r="DA85" s="1544"/>
    </row>
    <row r="86" spans="1:105" s="1827" customFormat="1" ht="21" customHeight="1">
      <c r="A86" s="1284"/>
      <c r="B86" s="1284"/>
      <c r="C86" s="1284"/>
      <c r="D86" s="1284"/>
      <c r="E86" s="3909" t="s">
        <v>102</v>
      </c>
      <c r="F86" s="3909"/>
      <c r="G86" s="3909"/>
      <c r="H86" s="3908"/>
      <c r="I86" s="1284"/>
      <c r="J86" s="1284"/>
      <c r="K86" s="1284"/>
      <c r="L86" s="1290"/>
      <c r="M86" s="1286"/>
      <c r="N86" s="1286"/>
      <c r="O86" s="1287"/>
      <c r="P86" s="1742"/>
      <c r="Q86" s="299"/>
      <c r="R86" s="276"/>
      <c r="S86" s="2894"/>
      <c r="T86" s="2895" t="s">
        <v>516</v>
      </c>
      <c r="U86" s="2896"/>
      <c r="V86" s="2897"/>
      <c r="W86" s="2898"/>
      <c r="X86" s="2899"/>
      <c r="Y86" s="2900"/>
      <c r="Z86" s="2901"/>
      <c r="AA86" s="2902"/>
      <c r="AB86" s="2903"/>
      <c r="AC86" s="2904"/>
      <c r="AD86" s="2905"/>
      <c r="AE86" s="2906"/>
      <c r="AF86" s="2907"/>
      <c r="AG86" s="2908"/>
      <c r="AH86" s="2909"/>
      <c r="AI86" s="2910"/>
      <c r="AJ86" s="2911"/>
      <c r="AK86" s="2912"/>
      <c r="AL86" s="2913"/>
      <c r="AM86" s="2914"/>
      <c r="AN86" s="2915"/>
      <c r="AO86" s="2916"/>
      <c r="AP86" s="2917"/>
      <c r="AQ86" s="2918"/>
      <c r="AR86" s="2919"/>
      <c r="AS86" s="2920"/>
      <c r="AT86" s="2921"/>
      <c r="AU86" s="2922"/>
      <c r="AV86" s="2923"/>
      <c r="AW86" s="2924"/>
      <c r="AX86" s="2925"/>
      <c r="AY86" s="2926"/>
      <c r="AZ86" s="2927"/>
      <c r="BA86" s="2928"/>
      <c r="BB86" s="2929"/>
      <c r="BC86" s="2930"/>
      <c r="BD86" s="2931"/>
      <c r="BE86" s="2932"/>
      <c r="BF86" s="2933"/>
      <c r="BG86" s="2934"/>
      <c r="BH86" s="2935"/>
      <c r="BI86" s="2936"/>
      <c r="BJ86" s="2937"/>
      <c r="BK86" s="2938"/>
      <c r="BL86" s="2939"/>
      <c r="BM86" s="2940"/>
      <c r="BN86" s="2941"/>
      <c r="BO86" s="2942"/>
      <c r="BP86" s="2943"/>
      <c r="BQ86" s="2944"/>
      <c r="BR86" s="2945"/>
      <c r="BS86" s="2946"/>
      <c r="BT86" s="2947"/>
      <c r="BU86" s="2948"/>
      <c r="BV86" s="2949"/>
      <c r="BW86" s="2950"/>
      <c r="BX86" s="2951"/>
      <c r="BY86" s="2952"/>
      <c r="BZ86" s="2953"/>
      <c r="CA86" s="2954"/>
      <c r="CB86" s="2955"/>
      <c r="CC86" s="2956"/>
      <c r="CD86" s="2957"/>
      <c r="CE86" s="2958"/>
      <c r="CF86" s="2959"/>
      <c r="CG86" s="2960"/>
      <c r="CH86" s="2961"/>
      <c r="CI86" s="2962"/>
      <c r="CJ86" s="2963"/>
      <c r="CK86" s="2964"/>
      <c r="CL86" s="2965"/>
      <c r="CM86" s="2966"/>
      <c r="CN86" s="2967"/>
      <c r="CO86" s="2968"/>
      <c r="CP86" s="2969"/>
      <c r="CQ86" s="2970"/>
      <c r="CR86" s="2971"/>
      <c r="CS86" s="2972"/>
      <c r="CT86" s="2973"/>
      <c r="CU86" s="2974"/>
      <c r="CV86" s="2975"/>
      <c r="CW86" s="1562"/>
      <c r="CX86" s="1544"/>
      <c r="CY86" s="1544" t="str">
        <f t="shared" si="2"/>
        <v>Добавить наименование признака дифференциации</v>
      </c>
      <c r="CZ86" s="1544"/>
      <c r="DA86" s="1544"/>
    </row>
    <row r="87" spans="1:105" s="541" customFormat="1" ht="14.25" customHeight="1">
      <c r="A87" s="1265"/>
      <c r="B87" s="1265"/>
      <c r="C87" s="1265"/>
      <c r="D87" s="1265"/>
      <c r="E87" s="3909" t="s">
        <v>102</v>
      </c>
      <c r="F87" s="3908"/>
      <c r="G87" s="1265"/>
      <c r="H87" s="1265"/>
      <c r="I87" s="1265"/>
      <c r="J87" s="1265"/>
      <c r="K87" s="1265"/>
      <c r="L87" s="1466"/>
      <c r="M87" s="1244"/>
      <c r="N87" s="1244"/>
      <c r="O87" s="1562"/>
      <c r="P87" s="1239"/>
      <c r="Q87" s="1266"/>
      <c r="R87" s="1239"/>
      <c r="S87" s="1245"/>
      <c r="T87" s="1248" t="s">
        <v>240</v>
      </c>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c r="CB87" s="1247"/>
      <c r="CC87" s="1247"/>
      <c r="CD87" s="1247"/>
      <c r="CE87" s="1247"/>
      <c r="CF87" s="1247"/>
      <c r="CG87" s="1247"/>
      <c r="CH87" s="1247"/>
      <c r="CI87" s="1247"/>
      <c r="CJ87" s="1247"/>
      <c r="CK87" s="1247"/>
      <c r="CL87" s="1247"/>
      <c r="CM87" s="1247"/>
      <c r="CN87" s="1247"/>
      <c r="CO87" s="1247"/>
      <c r="CP87" s="1247"/>
      <c r="CQ87" s="1247"/>
      <c r="CR87" s="1247"/>
      <c r="CS87" s="1247"/>
      <c r="CT87" s="1247"/>
      <c r="CU87" s="1247"/>
      <c r="CV87" s="1247"/>
      <c r="CW87" s="1562"/>
      <c r="CX87" s="1544"/>
      <c r="CY87" s="1544" t="str">
        <f t="shared" si="2"/>
        <v>Добавить централизованную систему для дифференциации</v>
      </c>
      <c r="CZ87" s="1544"/>
      <c r="DA87" s="1544"/>
    </row>
    <row r="88" spans="1:105" s="541" customFormat="1" ht="14.25" customHeight="1">
      <c r="A88" s="1265"/>
      <c r="B88" s="1265"/>
      <c r="C88" s="1265"/>
      <c r="D88" s="1265"/>
      <c r="E88" s="3908" t="s">
        <v>102</v>
      </c>
      <c r="F88" s="1265"/>
      <c r="G88" s="1265"/>
      <c r="H88" s="1265"/>
      <c r="I88" s="1265"/>
      <c r="J88" s="1265"/>
      <c r="K88" s="1265"/>
      <c r="L88" s="1466"/>
      <c r="M88" s="1244"/>
      <c r="N88" s="1244"/>
      <c r="O88" s="1562"/>
      <c r="P88" s="1239"/>
      <c r="Q88" s="1266"/>
      <c r="R88" s="1239"/>
      <c r="S88" s="1245"/>
      <c r="T88" s="1248" t="s">
        <v>241</v>
      </c>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c r="CB88" s="1247"/>
      <c r="CC88" s="1247"/>
      <c r="CD88" s="1247"/>
      <c r="CE88" s="1247"/>
      <c r="CF88" s="1247"/>
      <c r="CG88" s="1247"/>
      <c r="CH88" s="1247"/>
      <c r="CI88" s="1247"/>
      <c r="CJ88" s="1247"/>
      <c r="CK88" s="1247"/>
      <c r="CL88" s="1247"/>
      <c r="CM88" s="1247"/>
      <c r="CN88" s="1247"/>
      <c r="CO88" s="1247"/>
      <c r="CP88" s="1247"/>
      <c r="CQ88" s="1247"/>
      <c r="CR88" s="1247"/>
      <c r="CS88" s="1247"/>
      <c r="CT88" s="1247"/>
      <c r="CU88" s="1247"/>
      <c r="CV88" s="1247"/>
      <c r="CW88" s="1562"/>
      <c r="CX88" s="1544"/>
      <c r="CY88" s="1544" t="str">
        <f t="shared" si="2"/>
        <v>Добавить территорию для дифференциации</v>
      </c>
      <c r="CZ88" s="1544"/>
      <c r="DA88" s="1544"/>
    </row>
    <row r="89" spans="1:105" s="1827" customFormat="1" ht="23.25" customHeight="1">
      <c r="A89" s="1284" t="s">
        <v>253</v>
      </c>
      <c r="B89" s="1284"/>
      <c r="C89" s="1284"/>
      <c r="D89" s="1284"/>
      <c r="E89" s="3908" t="s">
        <v>89</v>
      </c>
      <c r="F89" s="1284"/>
      <c r="G89" s="1284"/>
      <c r="H89" s="1284"/>
      <c r="I89" s="1284"/>
      <c r="J89" s="1284"/>
      <c r="K89" s="1284"/>
      <c r="L89" s="1290"/>
      <c r="M89" s="1286"/>
      <c r="N89" s="1286"/>
      <c r="O89" s="1286"/>
      <c r="P89" s="1817"/>
      <c r="Q89" s="1742"/>
      <c r="R89" s="276"/>
      <c r="S89" s="1813" t="str">
        <f>INDEX(PT_DIFFERENTIATION_NUM_NTAR,MATCH(A89,PT_DIFFERENTIATION_NTAR_ID,0))</f>
        <v>4</v>
      </c>
      <c r="T89" s="1440" t="s">
        <v>141</v>
      </c>
      <c r="U89" s="214"/>
      <c r="V89" s="3894"/>
      <c r="W89" s="3895"/>
      <c r="X89" s="3895"/>
      <c r="Y89" s="3895"/>
      <c r="Z89" s="3895"/>
      <c r="AA89" s="3895"/>
      <c r="AB89" s="3896"/>
      <c r="AC89" s="3894" t="str">
        <f>INDEX(PT_DIFFERENTIATION_NTAR,MATCH(A89,PT_DIFFERENTIATION_NTAR_ID,0))</f>
        <v>Тариф на техническую воду для потребителей, присоединенных к централизованной системе технического водоснабжения села Левокумского Левокумского муниципального округа</v>
      </c>
      <c r="AD89" s="3895"/>
      <c r="AE89" s="3895"/>
      <c r="AF89" s="3895"/>
      <c r="AG89" s="3895"/>
      <c r="AH89" s="3895"/>
      <c r="AI89" s="3895"/>
      <c r="AJ89" s="3894"/>
      <c r="AK89" s="3895"/>
      <c r="AL89" s="3895"/>
      <c r="AM89" s="3895"/>
      <c r="AN89" s="3895"/>
      <c r="AO89" s="3895"/>
      <c r="AP89" s="3896"/>
      <c r="AQ89" s="3894"/>
      <c r="AR89" s="3895"/>
      <c r="AS89" s="3895"/>
      <c r="AT89" s="3895"/>
      <c r="AU89" s="3895"/>
      <c r="AV89" s="3895"/>
      <c r="AW89" s="3896"/>
      <c r="AX89" s="3894"/>
      <c r="AY89" s="3895"/>
      <c r="AZ89" s="3895"/>
      <c r="BA89" s="3895"/>
      <c r="BB89" s="3895"/>
      <c r="BC89" s="3895"/>
      <c r="BD89" s="3896"/>
      <c r="BE89" s="3894"/>
      <c r="BF89" s="3895"/>
      <c r="BG89" s="3895"/>
      <c r="BH89" s="3895"/>
      <c r="BI89" s="3895"/>
      <c r="BJ89" s="3895"/>
      <c r="BK89" s="3896"/>
      <c r="BL89" s="3894"/>
      <c r="BM89" s="3895"/>
      <c r="BN89" s="3895"/>
      <c r="BO89" s="3895"/>
      <c r="BP89" s="3895"/>
      <c r="BQ89" s="3895"/>
      <c r="BR89" s="3896"/>
      <c r="BS89" s="3894"/>
      <c r="BT89" s="3895"/>
      <c r="BU89" s="3895"/>
      <c r="BV89" s="3895"/>
      <c r="BW89" s="3895"/>
      <c r="BX89" s="3895"/>
      <c r="BY89" s="3896"/>
      <c r="BZ89" s="3894"/>
      <c r="CA89" s="3895"/>
      <c r="CB89" s="3895"/>
      <c r="CC89" s="3895"/>
      <c r="CD89" s="3895"/>
      <c r="CE89" s="3895"/>
      <c r="CF89" s="3896"/>
      <c r="CG89" s="3894"/>
      <c r="CH89" s="3895"/>
      <c r="CI89" s="3895"/>
      <c r="CJ89" s="3895"/>
      <c r="CK89" s="3895"/>
      <c r="CL89" s="3895"/>
      <c r="CM89" s="3896"/>
      <c r="CN89" s="3894"/>
      <c r="CO89" s="3895"/>
      <c r="CP89" s="3895"/>
      <c r="CQ89" s="3895"/>
      <c r="CR89" s="3895"/>
      <c r="CS89" s="3895"/>
      <c r="CT89" s="3896"/>
      <c r="CU89" s="3896"/>
      <c r="CV89"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89" s="1562"/>
      <c r="CX89" s="1544"/>
      <c r="CY89" s="1544" t="str">
        <f t="shared" si="2"/>
        <v>Наименование тарифа</v>
      </c>
      <c r="CZ89" s="1544"/>
      <c r="DA89" s="1544"/>
    </row>
    <row r="90" spans="1:105" s="1827" customFormat="1" ht="23.25" customHeight="1">
      <c r="A90" s="1284"/>
      <c r="B90" s="1284" t="s">
        <v>254</v>
      </c>
      <c r="C90" s="1284"/>
      <c r="D90" s="1284"/>
      <c r="E90" s="3909" t="s">
        <v>88</v>
      </c>
      <c r="F90" s="3908">
        <v>1</v>
      </c>
      <c r="G90" s="1284"/>
      <c r="H90" s="1284"/>
      <c r="I90" s="1284"/>
      <c r="J90" s="1284"/>
      <c r="K90" s="1284"/>
      <c r="L90" s="1290"/>
      <c r="M90" s="1286"/>
      <c r="N90" s="1286"/>
      <c r="O90" s="1286"/>
      <c r="P90" s="1807"/>
      <c r="Q90" s="273"/>
      <c r="R90" s="274"/>
      <c r="S90" s="1813" t="str">
        <f>INDEX(PT_DIFFERENTIATION_NUM_TER,MATCH(B90,PT_DIFFERENTIATION_TER_ID,0))</f>
        <v>4.1</v>
      </c>
      <c r="T90" s="1437" t="s">
        <v>428</v>
      </c>
      <c r="U90" s="214"/>
      <c r="V90" s="3894"/>
      <c r="W90" s="3895"/>
      <c r="X90" s="3895"/>
      <c r="Y90" s="3895"/>
      <c r="Z90" s="3895"/>
      <c r="AA90" s="3895"/>
      <c r="AB90" s="3896"/>
      <c r="AC90" s="3894" t="str">
        <f>INDEX(PT_DIFFERENTIATION_TER,MATCH(B90,PT_DIFFERENTIATION_TER_ID,0))</f>
        <v>Территория 4</v>
      </c>
      <c r="AD90" s="3895"/>
      <c r="AE90" s="3895"/>
      <c r="AF90" s="3895"/>
      <c r="AG90" s="3895"/>
      <c r="AH90" s="3895"/>
      <c r="AI90" s="3895"/>
      <c r="AJ90" s="3894"/>
      <c r="AK90" s="3895"/>
      <c r="AL90" s="3895"/>
      <c r="AM90" s="3895"/>
      <c r="AN90" s="3895"/>
      <c r="AO90" s="3895"/>
      <c r="AP90" s="3896"/>
      <c r="AQ90" s="3894"/>
      <c r="AR90" s="3895"/>
      <c r="AS90" s="3895"/>
      <c r="AT90" s="3895"/>
      <c r="AU90" s="3895"/>
      <c r="AV90" s="3895"/>
      <c r="AW90" s="3896"/>
      <c r="AX90" s="3894"/>
      <c r="AY90" s="3895"/>
      <c r="AZ90" s="3895"/>
      <c r="BA90" s="3895"/>
      <c r="BB90" s="3895"/>
      <c r="BC90" s="3895"/>
      <c r="BD90" s="3896"/>
      <c r="BE90" s="3894"/>
      <c r="BF90" s="3895"/>
      <c r="BG90" s="3895"/>
      <c r="BH90" s="3895"/>
      <c r="BI90" s="3895"/>
      <c r="BJ90" s="3895"/>
      <c r="BK90" s="3896"/>
      <c r="BL90" s="3894"/>
      <c r="BM90" s="3895"/>
      <c r="BN90" s="3895"/>
      <c r="BO90" s="3895"/>
      <c r="BP90" s="3895"/>
      <c r="BQ90" s="3895"/>
      <c r="BR90" s="3896"/>
      <c r="BS90" s="3894"/>
      <c r="BT90" s="3895"/>
      <c r="BU90" s="3895"/>
      <c r="BV90" s="3895"/>
      <c r="BW90" s="3895"/>
      <c r="BX90" s="3895"/>
      <c r="BY90" s="3896"/>
      <c r="BZ90" s="3894"/>
      <c r="CA90" s="3895"/>
      <c r="CB90" s="3895"/>
      <c r="CC90" s="3895"/>
      <c r="CD90" s="3895"/>
      <c r="CE90" s="3895"/>
      <c r="CF90" s="3896"/>
      <c r="CG90" s="3894"/>
      <c r="CH90" s="3895"/>
      <c r="CI90" s="3895"/>
      <c r="CJ90" s="3895"/>
      <c r="CK90" s="3895"/>
      <c r="CL90" s="3895"/>
      <c r="CM90" s="3896"/>
      <c r="CN90" s="3894"/>
      <c r="CO90" s="3895"/>
      <c r="CP90" s="3895"/>
      <c r="CQ90" s="3895"/>
      <c r="CR90" s="3895"/>
      <c r="CS90" s="3895"/>
      <c r="CT90" s="3896"/>
      <c r="CU90" s="3896"/>
      <c r="CV90" s="1182" t="s">
        <v>429</v>
      </c>
      <c r="CW90" s="1562"/>
      <c r="CX90" s="1544"/>
      <c r="CY90" s="1544" t="str">
        <f t="shared" si="2"/>
        <v>Территория действия тарифа</v>
      </c>
      <c r="CZ90" s="1544"/>
      <c r="DA90" s="1544"/>
    </row>
    <row r="91" spans="1:105" s="1827" customFormat="1" ht="23.25" customHeight="1">
      <c r="A91" s="1284"/>
      <c r="B91" s="1284"/>
      <c r="C91" s="1284" t="s">
        <v>255</v>
      </c>
      <c r="D91" s="1284"/>
      <c r="E91" s="3909" t="s">
        <v>88</v>
      </c>
      <c r="F91" s="3909"/>
      <c r="G91" s="3908">
        <v>1</v>
      </c>
      <c r="H91" s="1284"/>
      <c r="I91" s="1284"/>
      <c r="J91" s="1284"/>
      <c r="K91" s="1284"/>
      <c r="L91" s="1290"/>
      <c r="M91" s="1286"/>
      <c r="N91" s="1286"/>
      <c r="O91" s="1286"/>
      <c r="P91" s="275"/>
      <c r="Q91" s="273"/>
      <c r="R91" s="274"/>
      <c r="S91" s="1813" t="str">
        <f>INDEX(PT_DIFFERENTIATION_NUM_CS,MATCH(C91,PT_DIFFERENTIATION_CS_ID,0))</f>
        <v>4.1.1</v>
      </c>
      <c r="T91" s="225" t="s">
        <v>509</v>
      </c>
      <c r="U91" s="214"/>
      <c r="V91" s="3894"/>
      <c r="W91" s="3895"/>
      <c r="X91" s="3895"/>
      <c r="Y91" s="3895"/>
      <c r="Z91" s="3895"/>
      <c r="AA91" s="3895"/>
      <c r="AB91" s="3896"/>
      <c r="AC91" s="3894" t="str">
        <f>INDEX(PT_DIFFERENTIATION_CS,MATCH(C91,PT_DIFFERENTIATION_CS_ID,0))</f>
        <v>без дифференциации</v>
      </c>
      <c r="AD91" s="3895"/>
      <c r="AE91" s="3895"/>
      <c r="AF91" s="3895"/>
      <c r="AG91" s="3895"/>
      <c r="AH91" s="3895"/>
      <c r="AI91" s="3895"/>
      <c r="AJ91" s="3894"/>
      <c r="AK91" s="3895"/>
      <c r="AL91" s="3895"/>
      <c r="AM91" s="3895"/>
      <c r="AN91" s="3895"/>
      <c r="AO91" s="3895"/>
      <c r="AP91" s="3896"/>
      <c r="AQ91" s="3894"/>
      <c r="AR91" s="3895"/>
      <c r="AS91" s="3895"/>
      <c r="AT91" s="3895"/>
      <c r="AU91" s="3895"/>
      <c r="AV91" s="3895"/>
      <c r="AW91" s="3896"/>
      <c r="AX91" s="3894"/>
      <c r="AY91" s="3895"/>
      <c r="AZ91" s="3895"/>
      <c r="BA91" s="3895"/>
      <c r="BB91" s="3895"/>
      <c r="BC91" s="3895"/>
      <c r="BD91" s="3896"/>
      <c r="BE91" s="3894"/>
      <c r="BF91" s="3895"/>
      <c r="BG91" s="3895"/>
      <c r="BH91" s="3895"/>
      <c r="BI91" s="3895"/>
      <c r="BJ91" s="3895"/>
      <c r="BK91" s="3896"/>
      <c r="BL91" s="3894"/>
      <c r="BM91" s="3895"/>
      <c r="BN91" s="3895"/>
      <c r="BO91" s="3895"/>
      <c r="BP91" s="3895"/>
      <c r="BQ91" s="3895"/>
      <c r="BR91" s="3896"/>
      <c r="BS91" s="3894"/>
      <c r="BT91" s="3895"/>
      <c r="BU91" s="3895"/>
      <c r="BV91" s="3895"/>
      <c r="BW91" s="3895"/>
      <c r="BX91" s="3895"/>
      <c r="BY91" s="3896"/>
      <c r="BZ91" s="3894"/>
      <c r="CA91" s="3895"/>
      <c r="CB91" s="3895"/>
      <c r="CC91" s="3895"/>
      <c r="CD91" s="3895"/>
      <c r="CE91" s="3895"/>
      <c r="CF91" s="3896"/>
      <c r="CG91" s="3894"/>
      <c r="CH91" s="3895"/>
      <c r="CI91" s="3895"/>
      <c r="CJ91" s="3895"/>
      <c r="CK91" s="3895"/>
      <c r="CL91" s="3895"/>
      <c r="CM91" s="3896"/>
      <c r="CN91" s="3894"/>
      <c r="CO91" s="3895"/>
      <c r="CP91" s="3895"/>
      <c r="CQ91" s="3895"/>
      <c r="CR91" s="3895"/>
      <c r="CS91" s="3895"/>
      <c r="CT91" s="3896"/>
      <c r="CU91" s="3896"/>
      <c r="CV91" s="1182" t="s">
        <v>510</v>
      </c>
      <c r="CW91" s="1562"/>
      <c r="CX91" s="1544"/>
      <c r="CY91" s="1544" t="str">
        <f t="shared" si="2"/>
        <v>Наименование централизованной системы холодного водоснабжения</v>
      </c>
      <c r="CZ91" s="1544"/>
      <c r="DA91" s="1544"/>
    </row>
    <row r="92" spans="1:105" s="1827" customFormat="1" ht="23.25" customHeight="1">
      <c r="A92" s="1284"/>
      <c r="B92" s="1284"/>
      <c r="C92" s="1284"/>
      <c r="D92" s="1284"/>
      <c r="E92" s="3909" t="s">
        <v>88</v>
      </c>
      <c r="F92" s="3909"/>
      <c r="G92" s="3909"/>
      <c r="H92" s="3909"/>
      <c r="I92" s="3906" t="str">
        <f>S91&amp;".1"</f>
        <v>4.1.1.1</v>
      </c>
      <c r="J92" s="1284"/>
      <c r="K92" s="1284"/>
      <c r="L92" s="1290"/>
      <c r="M92" s="1696"/>
      <c r="N92" s="1696"/>
      <c r="O92" s="1696"/>
      <c r="P92" s="3907">
        <v>1</v>
      </c>
      <c r="Q92" s="1816"/>
      <c r="R92" s="277"/>
      <c r="S92" s="1813" t="str">
        <f>$I92</f>
        <v>4.1.1.1</v>
      </c>
      <c r="T92" s="200" t="s">
        <v>511</v>
      </c>
      <c r="U92" s="214"/>
      <c r="V92" s="3967"/>
      <c r="W92" s="3968"/>
      <c r="X92" s="3968"/>
      <c r="Y92" s="3968"/>
      <c r="Z92" s="3968"/>
      <c r="AA92" s="3968"/>
      <c r="AB92" s="3969"/>
      <c r="AC92" s="3970"/>
      <c r="AD92" s="3971"/>
      <c r="AE92" s="3971"/>
      <c r="AF92" s="3971"/>
      <c r="AG92" s="3971"/>
      <c r="AH92" s="3971"/>
      <c r="AI92" s="3971"/>
      <c r="AJ92" s="3967"/>
      <c r="AK92" s="3968"/>
      <c r="AL92" s="3968"/>
      <c r="AM92" s="3968"/>
      <c r="AN92" s="3968"/>
      <c r="AO92" s="3968"/>
      <c r="AP92" s="3969"/>
      <c r="AQ92" s="3967"/>
      <c r="AR92" s="3968"/>
      <c r="AS92" s="3968"/>
      <c r="AT92" s="3968"/>
      <c r="AU92" s="3968"/>
      <c r="AV92" s="3968"/>
      <c r="AW92" s="3969"/>
      <c r="AX92" s="3967"/>
      <c r="AY92" s="3968"/>
      <c r="AZ92" s="3968"/>
      <c r="BA92" s="3968"/>
      <c r="BB92" s="3968"/>
      <c r="BC92" s="3968"/>
      <c r="BD92" s="3969"/>
      <c r="BE92" s="3967"/>
      <c r="BF92" s="3968"/>
      <c r="BG92" s="3968"/>
      <c r="BH92" s="3968"/>
      <c r="BI92" s="3968"/>
      <c r="BJ92" s="3968"/>
      <c r="BK92" s="3969"/>
      <c r="BL92" s="3967"/>
      <c r="BM92" s="3968"/>
      <c r="BN92" s="3968"/>
      <c r="BO92" s="3968"/>
      <c r="BP92" s="3968"/>
      <c r="BQ92" s="3968"/>
      <c r="BR92" s="3969"/>
      <c r="BS92" s="3967"/>
      <c r="BT92" s="3968"/>
      <c r="BU92" s="3968"/>
      <c r="BV92" s="3968"/>
      <c r="BW92" s="3968"/>
      <c r="BX92" s="3968"/>
      <c r="BY92" s="3969"/>
      <c r="BZ92" s="3967"/>
      <c r="CA92" s="3968"/>
      <c r="CB92" s="3968"/>
      <c r="CC92" s="3968"/>
      <c r="CD92" s="3968"/>
      <c r="CE92" s="3968"/>
      <c r="CF92" s="3969"/>
      <c r="CG92" s="3967"/>
      <c r="CH92" s="3968"/>
      <c r="CI92" s="3968"/>
      <c r="CJ92" s="3968"/>
      <c r="CK92" s="3968"/>
      <c r="CL92" s="3968"/>
      <c r="CM92" s="3969"/>
      <c r="CN92" s="3967"/>
      <c r="CO92" s="3968"/>
      <c r="CP92" s="3968"/>
      <c r="CQ92" s="3968"/>
      <c r="CR92" s="3968"/>
      <c r="CS92" s="3968"/>
      <c r="CT92" s="3969"/>
      <c r="CU92" s="3972"/>
      <c r="CV92" s="1182" t="s">
        <v>512</v>
      </c>
      <c r="CW92" s="1562"/>
      <c r="CX92" s="1544"/>
      <c r="CY92" s="1544" t="str">
        <f t="shared" si="2"/>
        <v>Наименование признака дифференциации</v>
      </c>
      <c r="CZ92" s="1544"/>
      <c r="DA92" s="1544"/>
    </row>
    <row r="93" spans="1:105" s="1827" customFormat="1" ht="23.25" customHeight="1">
      <c r="A93" s="1284"/>
      <c r="B93" s="1284"/>
      <c r="C93" s="1284"/>
      <c r="D93" s="1284"/>
      <c r="E93" s="3909" t="s">
        <v>88</v>
      </c>
      <c r="F93" s="3909"/>
      <c r="G93" s="3909"/>
      <c r="H93" s="3909"/>
      <c r="I93" s="3929"/>
      <c r="J93" s="3906" t="str">
        <f>I92&amp;".1"</f>
        <v>4.1.1.1.1</v>
      </c>
      <c r="K93" s="1284"/>
      <c r="L93" s="1290" t="s">
        <v>437</v>
      </c>
      <c r="M93" s="1696"/>
      <c r="N93" s="1696"/>
      <c r="O93" s="1696"/>
      <c r="P93" s="3907"/>
      <c r="Q93" s="3907">
        <v>1</v>
      </c>
      <c r="R93" s="278"/>
      <c r="S93" s="1813" t="str">
        <f>$J93</f>
        <v>4.1.1.1.1</v>
      </c>
      <c r="T93" s="201" t="s">
        <v>438</v>
      </c>
      <c r="U93" s="214"/>
      <c r="V93" s="3897"/>
      <c r="W93" s="3898"/>
      <c r="X93" s="3898"/>
      <c r="Y93" s="3898"/>
      <c r="Z93" s="3898"/>
      <c r="AA93" s="3898"/>
      <c r="AB93" s="3899"/>
      <c r="AC93" s="3897" t="s">
        <v>525</v>
      </c>
      <c r="AD93" s="3898"/>
      <c r="AE93" s="3898"/>
      <c r="AF93" s="3898"/>
      <c r="AG93" s="3898"/>
      <c r="AH93" s="3898"/>
      <c r="AI93" s="3898"/>
      <c r="AJ93" s="3897"/>
      <c r="AK93" s="3898"/>
      <c r="AL93" s="3898"/>
      <c r="AM93" s="3898"/>
      <c r="AN93" s="3898"/>
      <c r="AO93" s="3898"/>
      <c r="AP93" s="3899"/>
      <c r="AQ93" s="3897"/>
      <c r="AR93" s="3898"/>
      <c r="AS93" s="3898"/>
      <c r="AT93" s="3898"/>
      <c r="AU93" s="3898"/>
      <c r="AV93" s="3898"/>
      <c r="AW93" s="3899"/>
      <c r="AX93" s="3897"/>
      <c r="AY93" s="3898"/>
      <c r="AZ93" s="3898"/>
      <c r="BA93" s="3898"/>
      <c r="BB93" s="3898"/>
      <c r="BC93" s="3898"/>
      <c r="BD93" s="3899"/>
      <c r="BE93" s="3897"/>
      <c r="BF93" s="3898"/>
      <c r="BG93" s="3898"/>
      <c r="BH93" s="3898"/>
      <c r="BI93" s="3898"/>
      <c r="BJ93" s="3898"/>
      <c r="BK93" s="3899"/>
      <c r="BL93" s="3897"/>
      <c r="BM93" s="3898"/>
      <c r="BN93" s="3898"/>
      <c r="BO93" s="3898"/>
      <c r="BP93" s="3898"/>
      <c r="BQ93" s="3898"/>
      <c r="BR93" s="3899"/>
      <c r="BS93" s="3897"/>
      <c r="BT93" s="3898"/>
      <c r="BU93" s="3898"/>
      <c r="BV93" s="3898"/>
      <c r="BW93" s="3898"/>
      <c r="BX93" s="3898"/>
      <c r="BY93" s="3899"/>
      <c r="BZ93" s="3897"/>
      <c r="CA93" s="3898"/>
      <c r="CB93" s="3898"/>
      <c r="CC93" s="3898"/>
      <c r="CD93" s="3898"/>
      <c r="CE93" s="3898"/>
      <c r="CF93" s="3899"/>
      <c r="CG93" s="3897"/>
      <c r="CH93" s="3898"/>
      <c r="CI93" s="3898"/>
      <c r="CJ93" s="3898"/>
      <c r="CK93" s="3898"/>
      <c r="CL93" s="3898"/>
      <c r="CM93" s="3899"/>
      <c r="CN93" s="3897"/>
      <c r="CO93" s="3898"/>
      <c r="CP93" s="3898"/>
      <c r="CQ93" s="3898"/>
      <c r="CR93" s="3898"/>
      <c r="CS93" s="3898"/>
      <c r="CT93" s="3899"/>
      <c r="CU93" s="3899"/>
      <c r="CV93" s="1231" t="s">
        <v>513</v>
      </c>
      <c r="CW93" s="1562"/>
      <c r="CX93" s="1544"/>
      <c r="CY93" s="1544" t="str">
        <f t="shared" si="2"/>
        <v>Группа потребителей</v>
      </c>
      <c r="CZ93" s="1544"/>
      <c r="DA93" s="1544"/>
    </row>
    <row r="94" spans="1:105" s="1827" customFormat="1" ht="23.25" customHeight="1">
      <c r="A94" s="1284"/>
      <c r="B94" s="1284"/>
      <c r="C94" s="1284"/>
      <c r="D94" s="1284"/>
      <c r="E94" s="3909" t="s">
        <v>88</v>
      </c>
      <c r="F94" s="3909"/>
      <c r="G94" s="3909"/>
      <c r="H94" s="3909"/>
      <c r="I94" s="3929"/>
      <c r="J94" s="3929"/>
      <c r="K94" s="3906" t="str">
        <f>J93&amp;".1"</f>
        <v>4.1.1.1.1.1</v>
      </c>
      <c r="L94" s="1290"/>
      <c r="M94" s="1696"/>
      <c r="N94" s="1696"/>
      <c r="O94" s="1696"/>
      <c r="P94" s="3907"/>
      <c r="Q94" s="3907"/>
      <c r="R94" s="278">
        <v>1</v>
      </c>
      <c r="S94" s="1813" t="str">
        <f>$K94</f>
        <v>4.1.1.1.1.1</v>
      </c>
      <c r="T94" s="1357" t="s">
        <v>526</v>
      </c>
      <c r="U94" s="214"/>
      <c r="V94" s="666"/>
      <c r="W94" s="666"/>
      <c r="X94" s="1181"/>
      <c r="Y94" s="3911"/>
      <c r="Z94" s="3759" t="s">
        <v>60</v>
      </c>
      <c r="AA94" s="3911"/>
      <c r="AB94" s="3759" t="s">
        <v>60</v>
      </c>
      <c r="AC94" s="666">
        <v>68.63</v>
      </c>
      <c r="AD94" s="666"/>
      <c r="AE94" s="1181"/>
      <c r="AF94" s="3911">
        <v>45292</v>
      </c>
      <c r="AG94" s="3759" t="s">
        <v>60</v>
      </c>
      <c r="AH94" s="3930">
        <v>45473</v>
      </c>
      <c r="AI94" s="3759" t="s">
        <v>60</v>
      </c>
      <c r="AJ94" s="666">
        <v>73.91</v>
      </c>
      <c r="AK94" s="666"/>
      <c r="AL94" s="1181"/>
      <c r="AM94" s="3911">
        <v>45474</v>
      </c>
      <c r="AN94" s="3759" t="s">
        <v>60</v>
      </c>
      <c r="AO94" s="3911">
        <v>45657</v>
      </c>
      <c r="AP94" s="3759" t="s">
        <v>60</v>
      </c>
      <c r="AQ94" s="666">
        <v>73.91</v>
      </c>
      <c r="AR94" s="666"/>
      <c r="AS94" s="1181"/>
      <c r="AT94" s="3911">
        <v>45658</v>
      </c>
      <c r="AU94" s="3759" t="s">
        <v>60</v>
      </c>
      <c r="AV94" s="3911">
        <v>45838</v>
      </c>
      <c r="AW94" s="3759" t="s">
        <v>60</v>
      </c>
      <c r="AX94" s="666">
        <v>88.94</v>
      </c>
      <c r="AY94" s="666"/>
      <c r="AZ94" s="1181"/>
      <c r="BA94" s="3911">
        <v>45839</v>
      </c>
      <c r="BB94" s="3759" t="s">
        <v>60</v>
      </c>
      <c r="BC94" s="3911">
        <v>46022</v>
      </c>
      <c r="BD94" s="3759" t="s">
        <v>60</v>
      </c>
      <c r="BE94" s="666">
        <v>88.94</v>
      </c>
      <c r="BF94" s="666"/>
      <c r="BG94" s="1181"/>
      <c r="BH94" s="3911">
        <v>46023</v>
      </c>
      <c r="BI94" s="3759" t="s">
        <v>60</v>
      </c>
      <c r="BJ94" s="3911">
        <v>46203</v>
      </c>
      <c r="BK94" s="3759" t="s">
        <v>60</v>
      </c>
      <c r="BL94" s="666">
        <v>100.55</v>
      </c>
      <c r="BM94" s="666"/>
      <c r="BN94" s="1181"/>
      <c r="BO94" s="3911">
        <v>46204</v>
      </c>
      <c r="BP94" s="3759" t="s">
        <v>60</v>
      </c>
      <c r="BQ94" s="3911">
        <v>46387</v>
      </c>
      <c r="BR94" s="3759" t="s">
        <v>60</v>
      </c>
      <c r="BS94" s="666">
        <v>100.55</v>
      </c>
      <c r="BT94" s="666"/>
      <c r="BU94" s="1181"/>
      <c r="BV94" s="3911">
        <v>46388</v>
      </c>
      <c r="BW94" s="3759" t="s">
        <v>60</v>
      </c>
      <c r="BX94" s="3911">
        <v>46568</v>
      </c>
      <c r="BY94" s="3759" t="s">
        <v>60</v>
      </c>
      <c r="BZ94" s="666">
        <v>105.46</v>
      </c>
      <c r="CA94" s="666"/>
      <c r="CB94" s="1181"/>
      <c r="CC94" s="3911">
        <v>46569</v>
      </c>
      <c r="CD94" s="3759" t="s">
        <v>60</v>
      </c>
      <c r="CE94" s="3911">
        <v>46752</v>
      </c>
      <c r="CF94" s="3759" t="s">
        <v>60</v>
      </c>
      <c r="CG94" s="666">
        <v>87.04</v>
      </c>
      <c r="CH94" s="666"/>
      <c r="CI94" s="1181"/>
      <c r="CJ94" s="3911">
        <v>46753</v>
      </c>
      <c r="CK94" s="3759" t="s">
        <v>60</v>
      </c>
      <c r="CL94" s="3911">
        <v>46934</v>
      </c>
      <c r="CM94" s="3759" t="s">
        <v>60</v>
      </c>
      <c r="CN94" s="666">
        <v>87.04</v>
      </c>
      <c r="CO94" s="666"/>
      <c r="CP94" s="1181"/>
      <c r="CQ94" s="3911">
        <v>46935</v>
      </c>
      <c r="CR94" s="3759" t="s">
        <v>60</v>
      </c>
      <c r="CS94" s="3911">
        <v>47118</v>
      </c>
      <c r="CT94" s="3759" t="s">
        <v>60</v>
      </c>
      <c r="CU94" s="1358"/>
      <c r="CV94"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4" s="1562" t="e">
        <f ca="1">STRCHECKDATE(V95:CU95)</f>
        <v>#NAME?</v>
      </c>
      <c r="CX94" s="1544"/>
      <c r="CY94" s="1544" t="str">
        <f t="shared" si="2"/>
        <v>Тариф для населения, руб. за 1 куб. метр с НДС</v>
      </c>
      <c r="CZ94" s="1544"/>
      <c r="DA94" s="1544"/>
    </row>
    <row r="95" spans="1:105" s="1827" customFormat="1" ht="14.25" customHeight="1">
      <c r="A95" s="1284"/>
      <c r="B95" s="1284"/>
      <c r="C95" s="1284"/>
      <c r="D95" s="1284"/>
      <c r="E95" s="3909" t="s">
        <v>88</v>
      </c>
      <c r="F95" s="3909"/>
      <c r="G95" s="3909"/>
      <c r="H95" s="3909"/>
      <c r="I95" s="3929"/>
      <c r="J95" s="3929"/>
      <c r="K95" s="3906"/>
      <c r="L95" s="1290"/>
      <c r="M95" s="1696"/>
      <c r="N95" s="1696"/>
      <c r="O95" s="1696"/>
      <c r="P95" s="3907"/>
      <c r="Q95" s="3907"/>
      <c r="R95" s="278"/>
      <c r="S95" s="1822"/>
      <c r="T95" s="214"/>
      <c r="U95" s="214"/>
      <c r="V95" s="246"/>
      <c r="W95" s="246"/>
      <c r="X95" s="250" t="str">
        <f>Y94&amp;"-"&amp;AA94</f>
        <v>-</v>
      </c>
      <c r="Y95" s="3912"/>
      <c r="Z95" s="3759"/>
      <c r="AA95" s="3912"/>
      <c r="AB95" s="3759"/>
      <c r="AC95" s="246"/>
      <c r="AD95" s="246"/>
      <c r="AE95" s="250" t="str">
        <f>AF94&amp;"-"&amp;AH94</f>
        <v>45292-45473</v>
      </c>
      <c r="AF95" s="3912"/>
      <c r="AG95" s="3759"/>
      <c r="AH95" s="3931"/>
      <c r="AI95" s="3759"/>
      <c r="AJ95" s="246"/>
      <c r="AK95" s="246"/>
      <c r="AL95" s="250" t="str">
        <f>AM94&amp;"-"&amp;AO94</f>
        <v>45474-45657</v>
      </c>
      <c r="AM95" s="3912"/>
      <c r="AN95" s="3759"/>
      <c r="AO95" s="3912"/>
      <c r="AP95" s="3759"/>
      <c r="AQ95" s="246"/>
      <c r="AR95" s="246"/>
      <c r="AS95" s="250" t="str">
        <f>AT94&amp;"-"&amp;AV94</f>
        <v>45658-45838</v>
      </c>
      <c r="AT95" s="3912"/>
      <c r="AU95" s="3759"/>
      <c r="AV95" s="3912"/>
      <c r="AW95" s="3759"/>
      <c r="AX95" s="246"/>
      <c r="AY95" s="246"/>
      <c r="AZ95" s="250" t="str">
        <f>BA94&amp;"-"&amp;BC94</f>
        <v>45839-46022</v>
      </c>
      <c r="BA95" s="3912"/>
      <c r="BB95" s="3759"/>
      <c r="BC95" s="3912"/>
      <c r="BD95" s="3759"/>
      <c r="BE95" s="246"/>
      <c r="BF95" s="246"/>
      <c r="BG95" s="250" t="str">
        <f>BH94&amp;"-"&amp;BJ94</f>
        <v>46023-46203</v>
      </c>
      <c r="BH95" s="3912"/>
      <c r="BI95" s="3759"/>
      <c r="BJ95" s="3912"/>
      <c r="BK95" s="3759"/>
      <c r="BL95" s="246"/>
      <c r="BM95" s="246"/>
      <c r="BN95" s="250" t="str">
        <f>BO94&amp;"-"&amp;BQ94</f>
        <v>46204-46387</v>
      </c>
      <c r="BO95" s="3912"/>
      <c r="BP95" s="3759"/>
      <c r="BQ95" s="3912"/>
      <c r="BR95" s="3759"/>
      <c r="BS95" s="246"/>
      <c r="BT95" s="246"/>
      <c r="BU95" s="250" t="str">
        <f>BV94&amp;"-"&amp;BX94</f>
        <v>46388-46568</v>
      </c>
      <c r="BV95" s="3912"/>
      <c r="BW95" s="3759"/>
      <c r="BX95" s="3912"/>
      <c r="BY95" s="3759"/>
      <c r="BZ95" s="246"/>
      <c r="CA95" s="246"/>
      <c r="CB95" s="250" t="str">
        <f>CC94&amp;"-"&amp;CE94</f>
        <v>46569-46752</v>
      </c>
      <c r="CC95" s="3912"/>
      <c r="CD95" s="3759"/>
      <c r="CE95" s="3912"/>
      <c r="CF95" s="3759"/>
      <c r="CG95" s="246"/>
      <c r="CH95" s="246"/>
      <c r="CI95" s="250" t="str">
        <f>CJ94&amp;"-"&amp;CL94</f>
        <v>46753-46934</v>
      </c>
      <c r="CJ95" s="3912"/>
      <c r="CK95" s="3759"/>
      <c r="CL95" s="3912"/>
      <c r="CM95" s="3759"/>
      <c r="CN95" s="246"/>
      <c r="CO95" s="246"/>
      <c r="CP95" s="250" t="str">
        <f>CQ94&amp;"-"&amp;CS94</f>
        <v>46935-47118</v>
      </c>
      <c r="CQ95" s="3912"/>
      <c r="CR95" s="3759"/>
      <c r="CS95" s="3912"/>
      <c r="CT95" s="3759"/>
      <c r="CU95" s="1359"/>
      <c r="CV95" s="3966"/>
      <c r="CW95" s="1562"/>
      <c r="CX95" s="1544"/>
      <c r="CY95" s="1544" t="str">
        <f t="shared" si="2"/>
        <v/>
      </c>
      <c r="CZ95" s="1544"/>
      <c r="DA95" s="1544"/>
    </row>
    <row r="96" spans="1:105" s="1827" customFormat="1" ht="21" customHeight="1">
      <c r="A96" s="1284"/>
      <c r="B96" s="1284"/>
      <c r="C96" s="1284"/>
      <c r="D96" s="1284"/>
      <c r="E96" s="3909" t="s">
        <v>88</v>
      </c>
      <c r="F96" s="3909"/>
      <c r="G96" s="3909"/>
      <c r="H96" s="3909"/>
      <c r="I96" s="3929"/>
      <c r="J96" s="3906"/>
      <c r="K96" s="1284"/>
      <c r="L96" s="1290"/>
      <c r="M96" s="1696"/>
      <c r="N96" s="1696"/>
      <c r="O96" s="1696"/>
      <c r="P96" s="3907"/>
      <c r="Q96" s="3907"/>
      <c r="R96" s="277"/>
      <c r="S96" s="2976"/>
      <c r="T96" s="2977" t="s">
        <v>514</v>
      </c>
      <c r="U96" s="2978"/>
      <c r="V96" s="2979"/>
      <c r="W96" s="2980"/>
      <c r="X96" s="2981"/>
      <c r="Y96" s="2982"/>
      <c r="Z96" s="2983"/>
      <c r="AA96" s="2984"/>
      <c r="AB96" s="2985"/>
      <c r="AC96" s="2986"/>
      <c r="AD96" s="2987"/>
      <c r="AE96" s="2988"/>
      <c r="AF96" s="2989"/>
      <c r="AG96" s="2990"/>
      <c r="AH96" s="2991"/>
      <c r="AI96" s="2992"/>
      <c r="AJ96" s="2993"/>
      <c r="AK96" s="2994"/>
      <c r="AL96" s="2995"/>
      <c r="AM96" s="2996"/>
      <c r="AN96" s="2997"/>
      <c r="AO96" s="2998"/>
      <c r="AP96" s="2999"/>
      <c r="AQ96" s="3000"/>
      <c r="AR96" s="3001"/>
      <c r="AS96" s="3002"/>
      <c r="AT96" s="3003"/>
      <c r="AU96" s="3004"/>
      <c r="AV96" s="3005"/>
      <c r="AW96" s="3006"/>
      <c r="AX96" s="3007"/>
      <c r="AY96" s="3008"/>
      <c r="AZ96" s="3009"/>
      <c r="BA96" s="3010"/>
      <c r="BB96" s="3011"/>
      <c r="BC96" s="3012"/>
      <c r="BD96" s="3013"/>
      <c r="BE96" s="3014"/>
      <c r="BF96" s="3015"/>
      <c r="BG96" s="3016"/>
      <c r="BH96" s="3017"/>
      <c r="BI96" s="3018"/>
      <c r="BJ96" s="3019"/>
      <c r="BK96" s="3020"/>
      <c r="BL96" s="3021"/>
      <c r="BM96" s="3022"/>
      <c r="BN96" s="3023"/>
      <c r="BO96" s="3024"/>
      <c r="BP96" s="3025"/>
      <c r="BQ96" s="3026"/>
      <c r="BR96" s="3027"/>
      <c r="BS96" s="3028"/>
      <c r="BT96" s="3029"/>
      <c r="BU96" s="3030"/>
      <c r="BV96" s="3031"/>
      <c r="BW96" s="3032"/>
      <c r="BX96" s="3033"/>
      <c r="BY96" s="3034"/>
      <c r="BZ96" s="3035"/>
      <c r="CA96" s="3036"/>
      <c r="CB96" s="3037"/>
      <c r="CC96" s="3038"/>
      <c r="CD96" s="3039"/>
      <c r="CE96" s="3040"/>
      <c r="CF96" s="3041"/>
      <c r="CG96" s="3042"/>
      <c r="CH96" s="3043"/>
      <c r="CI96" s="3044"/>
      <c r="CJ96" s="3045"/>
      <c r="CK96" s="3046"/>
      <c r="CL96" s="3047"/>
      <c r="CM96" s="3048"/>
      <c r="CN96" s="3049"/>
      <c r="CO96" s="3050"/>
      <c r="CP96" s="3051"/>
      <c r="CQ96" s="3052"/>
      <c r="CR96" s="3053"/>
      <c r="CS96" s="3054"/>
      <c r="CT96" s="3055"/>
      <c r="CU96" s="3056"/>
      <c r="CV96" s="1182" t="s">
        <v>515</v>
      </c>
      <c r="CW96" s="1562"/>
      <c r="CX96" s="1544"/>
      <c r="CY96" s="1544" t="str">
        <f t="shared" si="2"/>
        <v>Добавить значение признака дифференциации</v>
      </c>
      <c r="CZ96" s="1544"/>
      <c r="DA96" s="1544"/>
    </row>
    <row r="97" spans="1:105" s="1827" customFormat="1" ht="23.25" customHeight="1">
      <c r="A97" s="1284"/>
      <c r="B97" s="1284"/>
      <c r="C97" s="1284"/>
      <c r="D97" s="1284"/>
      <c r="E97" s="3909"/>
      <c r="F97" s="3909"/>
      <c r="G97" s="3909"/>
      <c r="H97" s="3909"/>
      <c r="I97" s="3929"/>
      <c r="J97" s="3906" t="str">
        <f>I92&amp;".2"</f>
        <v>4.1.1.1.2</v>
      </c>
      <c r="K97" s="1284"/>
      <c r="L97" s="1290" t="s">
        <v>437</v>
      </c>
      <c r="M97" s="1696"/>
      <c r="N97" s="1696"/>
      <c r="O97" s="1696"/>
      <c r="P97" s="3907"/>
      <c r="Q97" s="3973" t="s">
        <v>103</v>
      </c>
      <c r="R97" s="278"/>
      <c r="S97" s="1813" t="str">
        <f>$J97</f>
        <v>4.1.1.1.2</v>
      </c>
      <c r="T97" s="201" t="s">
        <v>438</v>
      </c>
      <c r="U97" s="214"/>
      <c r="V97" s="3897"/>
      <c r="W97" s="3898"/>
      <c r="X97" s="3898"/>
      <c r="Y97" s="3898"/>
      <c r="Z97" s="3898"/>
      <c r="AA97" s="3898"/>
      <c r="AB97" s="3899"/>
      <c r="AC97" s="3897" t="s">
        <v>527</v>
      </c>
      <c r="AD97" s="3898"/>
      <c r="AE97" s="3898"/>
      <c r="AF97" s="3898"/>
      <c r="AG97" s="3898"/>
      <c r="AH97" s="3898"/>
      <c r="AI97" s="3898"/>
      <c r="AJ97" s="3897"/>
      <c r="AK97" s="3898"/>
      <c r="AL97" s="3898"/>
      <c r="AM97" s="3898"/>
      <c r="AN97" s="3898"/>
      <c r="AO97" s="3898"/>
      <c r="AP97" s="3899"/>
      <c r="AQ97" s="3897"/>
      <c r="AR97" s="3898"/>
      <c r="AS97" s="3898"/>
      <c r="AT97" s="3898"/>
      <c r="AU97" s="3898"/>
      <c r="AV97" s="3898"/>
      <c r="AW97" s="3899"/>
      <c r="AX97" s="3897"/>
      <c r="AY97" s="3898"/>
      <c r="AZ97" s="3898"/>
      <c r="BA97" s="3898"/>
      <c r="BB97" s="3898"/>
      <c r="BC97" s="3898"/>
      <c r="BD97" s="3899"/>
      <c r="BE97" s="3897"/>
      <c r="BF97" s="3898"/>
      <c r="BG97" s="3898"/>
      <c r="BH97" s="3898"/>
      <c r="BI97" s="3898"/>
      <c r="BJ97" s="3898"/>
      <c r="BK97" s="3899"/>
      <c r="BL97" s="3897"/>
      <c r="BM97" s="3898"/>
      <c r="BN97" s="3898"/>
      <c r="BO97" s="3898"/>
      <c r="BP97" s="3898"/>
      <c r="BQ97" s="3898"/>
      <c r="BR97" s="3899"/>
      <c r="BS97" s="3897"/>
      <c r="BT97" s="3898"/>
      <c r="BU97" s="3898"/>
      <c r="BV97" s="3898"/>
      <c r="BW97" s="3898"/>
      <c r="BX97" s="3898"/>
      <c r="BY97" s="3899"/>
      <c r="BZ97" s="3897"/>
      <c r="CA97" s="3898"/>
      <c r="CB97" s="3898"/>
      <c r="CC97" s="3898"/>
      <c r="CD97" s="3898"/>
      <c r="CE97" s="3898"/>
      <c r="CF97" s="3899"/>
      <c r="CG97" s="3897"/>
      <c r="CH97" s="3898"/>
      <c r="CI97" s="3898"/>
      <c r="CJ97" s="3898"/>
      <c r="CK97" s="3898"/>
      <c r="CL97" s="3898"/>
      <c r="CM97" s="3899"/>
      <c r="CN97" s="3897"/>
      <c r="CO97" s="3898"/>
      <c r="CP97" s="3898"/>
      <c r="CQ97" s="3898"/>
      <c r="CR97" s="3898"/>
      <c r="CS97" s="3898"/>
      <c r="CT97" s="3899"/>
      <c r="CU97" s="3899"/>
      <c r="CV97" s="1231" t="s">
        <v>513</v>
      </c>
      <c r="CW97" s="1562"/>
      <c r="CX97" s="1544"/>
      <c r="CY97" s="1544" t="str">
        <f t="shared" si="2"/>
        <v>Группа потребителей</v>
      </c>
      <c r="CZ97" s="1544"/>
      <c r="DA97" s="1544"/>
    </row>
    <row r="98" spans="1:105" s="1827" customFormat="1" ht="23.25" customHeight="1">
      <c r="A98" s="1284"/>
      <c r="B98" s="1284"/>
      <c r="C98" s="1284"/>
      <c r="D98" s="1284"/>
      <c r="E98" s="3909"/>
      <c r="F98" s="3909"/>
      <c r="G98" s="3909"/>
      <c r="H98" s="3909"/>
      <c r="I98" s="3929"/>
      <c r="J98" s="3929" t="str">
        <f>I92&amp;".1"</f>
        <v>4.1.1.1.1</v>
      </c>
      <c r="K98" s="3906" t="str">
        <f>J97&amp;".1"</f>
        <v>4.1.1.1.2.1</v>
      </c>
      <c r="L98" s="1290"/>
      <c r="M98" s="1696"/>
      <c r="N98" s="1696"/>
      <c r="O98" s="1696"/>
      <c r="P98" s="3907"/>
      <c r="Q98" s="3907"/>
      <c r="R98" s="278">
        <v>1</v>
      </c>
      <c r="S98" s="1813" t="str">
        <f>$K98</f>
        <v>4.1.1.1.2.1</v>
      </c>
      <c r="T98" s="1357" t="s">
        <v>528</v>
      </c>
      <c r="U98" s="214"/>
      <c r="V98" s="666"/>
      <c r="W98" s="666"/>
      <c r="X98" s="1181"/>
      <c r="Y98" s="3911"/>
      <c r="Z98" s="3759" t="s">
        <v>60</v>
      </c>
      <c r="AA98" s="3911"/>
      <c r="AB98" s="3759" t="s">
        <v>60</v>
      </c>
      <c r="AC98" s="666">
        <v>57.19</v>
      </c>
      <c r="AD98" s="666"/>
      <c r="AE98" s="1181"/>
      <c r="AF98" s="3911">
        <v>45292</v>
      </c>
      <c r="AG98" s="3759" t="s">
        <v>60</v>
      </c>
      <c r="AH98" s="3930">
        <v>45473</v>
      </c>
      <c r="AI98" s="3759" t="s">
        <v>60</v>
      </c>
      <c r="AJ98" s="666">
        <v>61.59</v>
      </c>
      <c r="AK98" s="666"/>
      <c r="AL98" s="1181"/>
      <c r="AM98" s="3911">
        <v>45474</v>
      </c>
      <c r="AN98" s="3759" t="s">
        <v>60</v>
      </c>
      <c r="AO98" s="3911">
        <v>45657</v>
      </c>
      <c r="AP98" s="3759" t="s">
        <v>60</v>
      </c>
      <c r="AQ98" s="666">
        <v>61.59</v>
      </c>
      <c r="AR98" s="666"/>
      <c r="AS98" s="1181"/>
      <c r="AT98" s="3911">
        <v>45658</v>
      </c>
      <c r="AU98" s="3759" t="s">
        <v>60</v>
      </c>
      <c r="AV98" s="3911">
        <v>45838</v>
      </c>
      <c r="AW98" s="3759" t="s">
        <v>60</v>
      </c>
      <c r="AX98" s="666">
        <v>74.12</v>
      </c>
      <c r="AY98" s="666"/>
      <c r="AZ98" s="1181"/>
      <c r="BA98" s="3911">
        <v>45839</v>
      </c>
      <c r="BB98" s="3759" t="s">
        <v>60</v>
      </c>
      <c r="BC98" s="3911">
        <v>46022</v>
      </c>
      <c r="BD98" s="3759" t="s">
        <v>60</v>
      </c>
      <c r="BE98" s="666">
        <v>74.12</v>
      </c>
      <c r="BF98" s="666"/>
      <c r="BG98" s="1181"/>
      <c r="BH98" s="3911">
        <v>46023</v>
      </c>
      <c r="BI98" s="3759" t="s">
        <v>60</v>
      </c>
      <c r="BJ98" s="3911">
        <v>46203</v>
      </c>
      <c r="BK98" s="3759" t="s">
        <v>60</v>
      </c>
      <c r="BL98" s="666">
        <v>83.79</v>
      </c>
      <c r="BM98" s="666"/>
      <c r="BN98" s="1181"/>
      <c r="BO98" s="3911">
        <v>46204</v>
      </c>
      <c r="BP98" s="3759" t="s">
        <v>60</v>
      </c>
      <c r="BQ98" s="3911">
        <v>46387</v>
      </c>
      <c r="BR98" s="3759" t="s">
        <v>60</v>
      </c>
      <c r="BS98" s="666">
        <v>83.79</v>
      </c>
      <c r="BT98" s="666"/>
      <c r="BU98" s="1181"/>
      <c r="BV98" s="3911">
        <v>46388</v>
      </c>
      <c r="BW98" s="3759" t="s">
        <v>60</v>
      </c>
      <c r="BX98" s="3911">
        <v>46568</v>
      </c>
      <c r="BY98" s="3759" t="s">
        <v>60</v>
      </c>
      <c r="BZ98" s="666">
        <v>87.88</v>
      </c>
      <c r="CA98" s="666"/>
      <c r="CB98" s="1181"/>
      <c r="CC98" s="3911">
        <v>46569</v>
      </c>
      <c r="CD98" s="3759" t="s">
        <v>60</v>
      </c>
      <c r="CE98" s="3911">
        <v>46752</v>
      </c>
      <c r="CF98" s="3759" t="s">
        <v>60</v>
      </c>
      <c r="CG98" s="666">
        <v>72.53</v>
      </c>
      <c r="CH98" s="666"/>
      <c r="CI98" s="1181"/>
      <c r="CJ98" s="3911">
        <v>46753</v>
      </c>
      <c r="CK98" s="3759" t="s">
        <v>60</v>
      </c>
      <c r="CL98" s="3911">
        <v>46934</v>
      </c>
      <c r="CM98" s="3759" t="s">
        <v>60</v>
      </c>
      <c r="CN98" s="666">
        <v>72.53</v>
      </c>
      <c r="CO98" s="666"/>
      <c r="CP98" s="1181"/>
      <c r="CQ98" s="3911">
        <v>46935</v>
      </c>
      <c r="CR98" s="3759" t="s">
        <v>60</v>
      </c>
      <c r="CS98" s="3911">
        <v>47118</v>
      </c>
      <c r="CT98" s="3759" t="s">
        <v>60</v>
      </c>
      <c r="CU98" s="1358"/>
      <c r="CV98"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8" s="1562" t="e">
        <f ca="1">STRCHECKDATE(V99:CU99)</f>
        <v>#NAME?</v>
      </c>
      <c r="CX98" s="1544"/>
      <c r="CY98" s="1544" t="str">
        <f t="shared" si="2"/>
        <v>Тариф, руб. за 1 куб. метр без НДС</v>
      </c>
      <c r="CZ98" s="1544"/>
      <c r="DA98" s="1544"/>
    </row>
    <row r="99" spans="1:105" s="1827" customFormat="1" ht="14.25" customHeight="1">
      <c r="A99" s="1284"/>
      <c r="B99" s="1284"/>
      <c r="C99" s="1284"/>
      <c r="D99" s="1284"/>
      <c r="E99" s="3909"/>
      <c r="F99" s="3909"/>
      <c r="G99" s="3909"/>
      <c r="H99" s="3909"/>
      <c r="I99" s="3929"/>
      <c r="J99" s="3929" t="str">
        <f>I92&amp;".1"</f>
        <v>4.1.1.1.1</v>
      </c>
      <c r="K99" s="3906"/>
      <c r="L99" s="1290"/>
      <c r="M99" s="1696"/>
      <c r="N99" s="1696"/>
      <c r="O99" s="1696"/>
      <c r="P99" s="3907"/>
      <c r="Q99" s="3907"/>
      <c r="R99" s="278"/>
      <c r="S99" s="1822"/>
      <c r="T99" s="214"/>
      <c r="U99" s="214"/>
      <c r="V99" s="246"/>
      <c r="W99" s="246"/>
      <c r="X99" s="250" t="str">
        <f>Y98&amp;"-"&amp;AA98</f>
        <v>-</v>
      </c>
      <c r="Y99" s="3912"/>
      <c r="Z99" s="3759"/>
      <c r="AA99" s="3912"/>
      <c r="AB99" s="3759"/>
      <c r="AC99" s="246"/>
      <c r="AD99" s="246"/>
      <c r="AE99" s="250" t="str">
        <f>AF98&amp;"-"&amp;AH98</f>
        <v>45292-45473</v>
      </c>
      <c r="AF99" s="3912"/>
      <c r="AG99" s="3759"/>
      <c r="AH99" s="3931"/>
      <c r="AI99" s="3759"/>
      <c r="AJ99" s="246"/>
      <c r="AK99" s="246"/>
      <c r="AL99" s="250" t="str">
        <f>AM98&amp;"-"&amp;AO98</f>
        <v>45474-45657</v>
      </c>
      <c r="AM99" s="3912"/>
      <c r="AN99" s="3759"/>
      <c r="AO99" s="3912"/>
      <c r="AP99" s="3759"/>
      <c r="AQ99" s="246"/>
      <c r="AR99" s="246"/>
      <c r="AS99" s="250" t="str">
        <f>AT98&amp;"-"&amp;AV98</f>
        <v>45658-45838</v>
      </c>
      <c r="AT99" s="3912"/>
      <c r="AU99" s="3759"/>
      <c r="AV99" s="3912"/>
      <c r="AW99" s="3759"/>
      <c r="AX99" s="246"/>
      <c r="AY99" s="246"/>
      <c r="AZ99" s="250" t="str">
        <f>BA98&amp;"-"&amp;BC98</f>
        <v>45839-46022</v>
      </c>
      <c r="BA99" s="3912"/>
      <c r="BB99" s="3759"/>
      <c r="BC99" s="3912"/>
      <c r="BD99" s="3759"/>
      <c r="BE99" s="246"/>
      <c r="BF99" s="246"/>
      <c r="BG99" s="250" t="str">
        <f>BH98&amp;"-"&amp;BJ98</f>
        <v>46023-46203</v>
      </c>
      <c r="BH99" s="3912"/>
      <c r="BI99" s="3759"/>
      <c r="BJ99" s="3912"/>
      <c r="BK99" s="3759"/>
      <c r="BL99" s="246"/>
      <c r="BM99" s="246"/>
      <c r="BN99" s="250" t="str">
        <f>BO98&amp;"-"&amp;BQ98</f>
        <v>46204-46387</v>
      </c>
      <c r="BO99" s="3912"/>
      <c r="BP99" s="3759"/>
      <c r="BQ99" s="3912"/>
      <c r="BR99" s="3759"/>
      <c r="BS99" s="246"/>
      <c r="BT99" s="246"/>
      <c r="BU99" s="250" t="str">
        <f>BV98&amp;"-"&amp;BX98</f>
        <v>46388-46568</v>
      </c>
      <c r="BV99" s="3912"/>
      <c r="BW99" s="3759"/>
      <c r="BX99" s="3912"/>
      <c r="BY99" s="3759"/>
      <c r="BZ99" s="246"/>
      <c r="CA99" s="246"/>
      <c r="CB99" s="250" t="str">
        <f>CC98&amp;"-"&amp;CE98</f>
        <v>46569-46752</v>
      </c>
      <c r="CC99" s="3912"/>
      <c r="CD99" s="3759"/>
      <c r="CE99" s="3912"/>
      <c r="CF99" s="3759"/>
      <c r="CG99" s="246"/>
      <c r="CH99" s="246"/>
      <c r="CI99" s="250" t="str">
        <f>CJ98&amp;"-"&amp;CL98</f>
        <v>46753-46934</v>
      </c>
      <c r="CJ99" s="3912"/>
      <c r="CK99" s="3759"/>
      <c r="CL99" s="3912"/>
      <c r="CM99" s="3759"/>
      <c r="CN99" s="246"/>
      <c r="CO99" s="246"/>
      <c r="CP99" s="250" t="str">
        <f>CQ98&amp;"-"&amp;CS98</f>
        <v>46935-47118</v>
      </c>
      <c r="CQ99" s="3912"/>
      <c r="CR99" s="3759"/>
      <c r="CS99" s="3912"/>
      <c r="CT99" s="3759"/>
      <c r="CU99" s="1359"/>
      <c r="CV99" s="3966"/>
      <c r="CW99" s="1562"/>
      <c r="CX99" s="1544"/>
      <c r="CY99" s="1544" t="str">
        <f t="shared" si="2"/>
        <v/>
      </c>
      <c r="CZ99" s="1544"/>
      <c r="DA99" s="1544"/>
    </row>
    <row r="100" spans="1:105" s="1827" customFormat="1" ht="21" customHeight="1">
      <c r="A100" s="1284"/>
      <c r="B100" s="1284"/>
      <c r="C100" s="1284"/>
      <c r="D100" s="1284"/>
      <c r="E100" s="3909"/>
      <c r="F100" s="3909"/>
      <c r="G100" s="3909"/>
      <c r="H100" s="3909"/>
      <c r="I100" s="3929"/>
      <c r="J100" s="3906" t="str">
        <f>I92&amp;".1"</f>
        <v>4.1.1.1.1</v>
      </c>
      <c r="K100" s="1284"/>
      <c r="L100" s="1290"/>
      <c r="M100" s="1696"/>
      <c r="N100" s="1696"/>
      <c r="O100" s="1696"/>
      <c r="P100" s="3907"/>
      <c r="Q100" s="3907"/>
      <c r="R100" s="277"/>
      <c r="S100" s="3057"/>
      <c r="T100" s="3058" t="s">
        <v>514</v>
      </c>
      <c r="U100" s="3059"/>
      <c r="V100" s="3060"/>
      <c r="W100" s="3061"/>
      <c r="X100" s="3062"/>
      <c r="Y100" s="3063"/>
      <c r="Z100" s="3064"/>
      <c r="AA100" s="3065"/>
      <c r="AB100" s="3066"/>
      <c r="AC100" s="3067"/>
      <c r="AD100" s="3068"/>
      <c r="AE100" s="3069"/>
      <c r="AF100" s="3070"/>
      <c r="AG100" s="3071"/>
      <c r="AH100" s="3072"/>
      <c r="AI100" s="3073"/>
      <c r="AJ100" s="3074"/>
      <c r="AK100" s="3075"/>
      <c r="AL100" s="3076"/>
      <c r="AM100" s="3077"/>
      <c r="AN100" s="3078"/>
      <c r="AO100" s="3079"/>
      <c r="AP100" s="3080"/>
      <c r="AQ100" s="3081"/>
      <c r="AR100" s="3082"/>
      <c r="AS100" s="3083"/>
      <c r="AT100" s="3084"/>
      <c r="AU100" s="3085"/>
      <c r="AV100" s="3086"/>
      <c r="AW100" s="3087"/>
      <c r="AX100" s="3088"/>
      <c r="AY100" s="3089"/>
      <c r="AZ100" s="3090"/>
      <c r="BA100" s="3091"/>
      <c r="BB100" s="3092"/>
      <c r="BC100" s="3093"/>
      <c r="BD100" s="3094"/>
      <c r="BE100" s="3095"/>
      <c r="BF100" s="3096"/>
      <c r="BG100" s="3097"/>
      <c r="BH100" s="3098"/>
      <c r="BI100" s="3099"/>
      <c r="BJ100" s="3100"/>
      <c r="BK100" s="3101"/>
      <c r="BL100" s="3102"/>
      <c r="BM100" s="3103"/>
      <c r="BN100" s="3104"/>
      <c r="BO100" s="3105"/>
      <c r="BP100" s="3106"/>
      <c r="BQ100" s="3107"/>
      <c r="BR100" s="3108"/>
      <c r="BS100" s="3109"/>
      <c r="BT100" s="3110"/>
      <c r="BU100" s="3111"/>
      <c r="BV100" s="3112"/>
      <c r="BW100" s="3113"/>
      <c r="BX100" s="3114"/>
      <c r="BY100" s="3115"/>
      <c r="BZ100" s="3116"/>
      <c r="CA100" s="3117"/>
      <c r="CB100" s="3118"/>
      <c r="CC100" s="3119"/>
      <c r="CD100" s="3120"/>
      <c r="CE100" s="3121"/>
      <c r="CF100" s="3122"/>
      <c r="CG100" s="3123"/>
      <c r="CH100" s="3124"/>
      <c r="CI100" s="3125"/>
      <c r="CJ100" s="3126"/>
      <c r="CK100" s="3127"/>
      <c r="CL100" s="3128"/>
      <c r="CM100" s="3129"/>
      <c r="CN100" s="3130"/>
      <c r="CO100" s="3131"/>
      <c r="CP100" s="3132"/>
      <c r="CQ100" s="3133"/>
      <c r="CR100" s="3134"/>
      <c r="CS100" s="3135"/>
      <c r="CT100" s="3136"/>
      <c r="CU100" s="3137"/>
      <c r="CV100" s="1182" t="s">
        <v>515</v>
      </c>
      <c r="CW100" s="1562"/>
      <c r="CX100" s="1544"/>
      <c r="CY100" s="1544" t="str">
        <f t="shared" si="2"/>
        <v>Добавить значение признака дифференциации</v>
      </c>
      <c r="CZ100" s="1544"/>
      <c r="DA100" s="1544"/>
    </row>
    <row r="101" spans="1:105" s="1827" customFormat="1" ht="21" customHeight="1">
      <c r="A101" s="1284"/>
      <c r="B101" s="1284"/>
      <c r="C101" s="1284"/>
      <c r="D101" s="1284"/>
      <c r="E101" s="3909" t="s">
        <v>88</v>
      </c>
      <c r="F101" s="3909"/>
      <c r="G101" s="3909"/>
      <c r="H101" s="3909"/>
      <c r="I101" s="3906"/>
      <c r="J101" s="1284"/>
      <c r="K101" s="1284"/>
      <c r="L101" s="1290"/>
      <c r="M101" s="1696"/>
      <c r="N101" s="1696"/>
      <c r="O101" s="1696"/>
      <c r="P101" s="3907"/>
      <c r="Q101" s="1816"/>
      <c r="R101" s="277"/>
      <c r="S101" s="3138"/>
      <c r="T101" s="3139" t="s">
        <v>443</v>
      </c>
      <c r="U101" s="3140"/>
      <c r="V101" s="3141"/>
      <c r="W101" s="3142"/>
      <c r="X101" s="3143"/>
      <c r="Y101" s="3144"/>
      <c r="Z101" s="3145"/>
      <c r="AA101" s="3146"/>
      <c r="AB101" s="3147"/>
      <c r="AC101" s="3148"/>
      <c r="AD101" s="3149"/>
      <c r="AE101" s="3150"/>
      <c r="AF101" s="3151"/>
      <c r="AG101" s="3152"/>
      <c r="AH101" s="3153"/>
      <c r="AI101" s="3154"/>
      <c r="AJ101" s="3155"/>
      <c r="AK101" s="3156"/>
      <c r="AL101" s="3157"/>
      <c r="AM101" s="3158"/>
      <c r="AN101" s="3159"/>
      <c r="AO101" s="3160"/>
      <c r="AP101" s="3161"/>
      <c r="AQ101" s="3162"/>
      <c r="AR101" s="3163"/>
      <c r="AS101" s="3164"/>
      <c r="AT101" s="3165"/>
      <c r="AU101" s="3166"/>
      <c r="AV101" s="3167"/>
      <c r="AW101" s="3168"/>
      <c r="AX101" s="3169"/>
      <c r="AY101" s="3170"/>
      <c r="AZ101" s="3171"/>
      <c r="BA101" s="3172"/>
      <c r="BB101" s="3173"/>
      <c r="BC101" s="3174"/>
      <c r="BD101" s="3175"/>
      <c r="BE101" s="3176"/>
      <c r="BF101" s="3177"/>
      <c r="BG101" s="3178"/>
      <c r="BH101" s="3179"/>
      <c r="BI101" s="3180"/>
      <c r="BJ101" s="3181"/>
      <c r="BK101" s="3182"/>
      <c r="BL101" s="3183"/>
      <c r="BM101" s="3184"/>
      <c r="BN101" s="3185"/>
      <c r="BO101" s="3186"/>
      <c r="BP101" s="3187"/>
      <c r="BQ101" s="3188"/>
      <c r="BR101" s="3189"/>
      <c r="BS101" s="3190"/>
      <c r="BT101" s="3191"/>
      <c r="BU101" s="3192"/>
      <c r="BV101" s="3193"/>
      <c r="BW101" s="3194"/>
      <c r="BX101" s="3195"/>
      <c r="BY101" s="3196"/>
      <c r="BZ101" s="3197"/>
      <c r="CA101" s="3198"/>
      <c r="CB101" s="3199"/>
      <c r="CC101" s="3200"/>
      <c r="CD101" s="3201"/>
      <c r="CE101" s="3202"/>
      <c r="CF101" s="3203"/>
      <c r="CG101" s="3204"/>
      <c r="CH101" s="3205"/>
      <c r="CI101" s="3206"/>
      <c r="CJ101" s="3207"/>
      <c r="CK101" s="3208"/>
      <c r="CL101" s="3209"/>
      <c r="CM101" s="3210"/>
      <c r="CN101" s="3211"/>
      <c r="CO101" s="3212"/>
      <c r="CP101" s="3213"/>
      <c r="CQ101" s="3214"/>
      <c r="CR101" s="3215"/>
      <c r="CS101" s="3216"/>
      <c r="CT101" s="3217"/>
      <c r="CU101" s="3218"/>
      <c r="CV101" s="3219"/>
      <c r="CW101" s="1562"/>
      <c r="CX101" s="1544"/>
      <c r="CY101" s="1544" t="str">
        <f t="shared" si="2"/>
        <v>Добавить группу потребителей</v>
      </c>
      <c r="CZ101" s="1544"/>
      <c r="DA101" s="1544"/>
    </row>
    <row r="102" spans="1:105" s="1827" customFormat="1" ht="21" customHeight="1">
      <c r="A102" s="1284"/>
      <c r="B102" s="1284"/>
      <c r="C102" s="1284"/>
      <c r="D102" s="1284"/>
      <c r="E102" s="3909" t="s">
        <v>88</v>
      </c>
      <c r="F102" s="3909"/>
      <c r="G102" s="3909"/>
      <c r="H102" s="3908"/>
      <c r="I102" s="1284"/>
      <c r="J102" s="1284"/>
      <c r="K102" s="1284"/>
      <c r="L102" s="1290"/>
      <c r="M102" s="1286"/>
      <c r="N102" s="1286"/>
      <c r="O102" s="1287"/>
      <c r="P102" s="1742"/>
      <c r="Q102" s="299"/>
      <c r="R102" s="276"/>
      <c r="S102" s="3220"/>
      <c r="T102" s="3221" t="s">
        <v>516</v>
      </c>
      <c r="U102" s="3222"/>
      <c r="V102" s="3223"/>
      <c r="W102" s="3224"/>
      <c r="X102" s="3225"/>
      <c r="Y102" s="3226"/>
      <c r="Z102" s="3227"/>
      <c r="AA102" s="3228"/>
      <c r="AB102" s="3229"/>
      <c r="AC102" s="3230"/>
      <c r="AD102" s="3231"/>
      <c r="AE102" s="3232"/>
      <c r="AF102" s="3233"/>
      <c r="AG102" s="3234"/>
      <c r="AH102" s="3235"/>
      <c r="AI102" s="3236"/>
      <c r="AJ102" s="3237"/>
      <c r="AK102" s="3238"/>
      <c r="AL102" s="3239"/>
      <c r="AM102" s="3240"/>
      <c r="AN102" s="3241"/>
      <c r="AO102" s="3242"/>
      <c r="AP102" s="3243"/>
      <c r="AQ102" s="3244"/>
      <c r="AR102" s="3245"/>
      <c r="AS102" s="3246"/>
      <c r="AT102" s="3247"/>
      <c r="AU102" s="3248"/>
      <c r="AV102" s="3249"/>
      <c r="AW102" s="3250"/>
      <c r="AX102" s="3251"/>
      <c r="AY102" s="3252"/>
      <c r="AZ102" s="3253"/>
      <c r="BA102" s="3254"/>
      <c r="BB102" s="3255"/>
      <c r="BC102" s="3256"/>
      <c r="BD102" s="3257"/>
      <c r="BE102" s="3258"/>
      <c r="BF102" s="3259"/>
      <c r="BG102" s="3260"/>
      <c r="BH102" s="3261"/>
      <c r="BI102" s="3262"/>
      <c r="BJ102" s="3263"/>
      <c r="BK102" s="3264"/>
      <c r="BL102" s="3265"/>
      <c r="BM102" s="3266"/>
      <c r="BN102" s="3267"/>
      <c r="BO102" s="3268"/>
      <c r="BP102" s="3269"/>
      <c r="BQ102" s="3270"/>
      <c r="BR102" s="3271"/>
      <c r="BS102" s="3272"/>
      <c r="BT102" s="3273"/>
      <c r="BU102" s="3274"/>
      <c r="BV102" s="3275"/>
      <c r="BW102" s="3276"/>
      <c r="BX102" s="3277"/>
      <c r="BY102" s="3278"/>
      <c r="BZ102" s="3279"/>
      <c r="CA102" s="3280"/>
      <c r="CB102" s="3281"/>
      <c r="CC102" s="3282"/>
      <c r="CD102" s="3283"/>
      <c r="CE102" s="3284"/>
      <c r="CF102" s="3285"/>
      <c r="CG102" s="3286"/>
      <c r="CH102" s="3287"/>
      <c r="CI102" s="3288"/>
      <c r="CJ102" s="3289"/>
      <c r="CK102" s="3290"/>
      <c r="CL102" s="3291"/>
      <c r="CM102" s="3292"/>
      <c r="CN102" s="3293"/>
      <c r="CO102" s="3294"/>
      <c r="CP102" s="3295"/>
      <c r="CQ102" s="3296"/>
      <c r="CR102" s="3297"/>
      <c r="CS102" s="3298"/>
      <c r="CT102" s="3299"/>
      <c r="CU102" s="3300"/>
      <c r="CV102" s="3301"/>
      <c r="CW102" s="1562"/>
      <c r="CX102" s="1544"/>
      <c r="CY102" s="1544" t="str">
        <f t="shared" si="2"/>
        <v>Добавить наименование признака дифференциации</v>
      </c>
      <c r="CZ102" s="1544"/>
      <c r="DA102" s="1544"/>
    </row>
    <row r="103" spans="1:105" s="541" customFormat="1" ht="14.25" customHeight="1">
      <c r="A103" s="1265"/>
      <c r="B103" s="1265"/>
      <c r="C103" s="1265"/>
      <c r="D103" s="1265"/>
      <c r="E103" s="3909" t="s">
        <v>88</v>
      </c>
      <c r="F103" s="3908"/>
      <c r="G103" s="1265"/>
      <c r="H103" s="1265"/>
      <c r="I103" s="1265"/>
      <c r="J103" s="1265"/>
      <c r="K103" s="1265"/>
      <c r="L103" s="1466"/>
      <c r="M103" s="1244"/>
      <c r="N103" s="1244"/>
      <c r="O103" s="1562"/>
      <c r="P103" s="1239"/>
      <c r="Q103" s="1266"/>
      <c r="R103" s="1239"/>
      <c r="S103" s="1245"/>
      <c r="T103" s="1248" t="s">
        <v>240</v>
      </c>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c r="CB103" s="1247"/>
      <c r="CC103" s="1247"/>
      <c r="CD103" s="1247"/>
      <c r="CE103" s="1247"/>
      <c r="CF103" s="1247"/>
      <c r="CG103" s="1247"/>
      <c r="CH103" s="1247"/>
      <c r="CI103" s="1247"/>
      <c r="CJ103" s="1247"/>
      <c r="CK103" s="1247"/>
      <c r="CL103" s="1247"/>
      <c r="CM103" s="1247"/>
      <c r="CN103" s="1247"/>
      <c r="CO103" s="1247"/>
      <c r="CP103" s="1247"/>
      <c r="CQ103" s="1247"/>
      <c r="CR103" s="1247"/>
      <c r="CS103" s="1247"/>
      <c r="CT103" s="1247"/>
      <c r="CU103" s="1247"/>
      <c r="CV103" s="1247"/>
      <c r="CW103" s="1562"/>
      <c r="CX103" s="1544"/>
      <c r="CY103" s="1544" t="str">
        <f t="shared" si="2"/>
        <v>Добавить централизованную систему для дифференциации</v>
      </c>
      <c r="CZ103" s="1544"/>
      <c r="DA103" s="1544"/>
    </row>
    <row r="104" spans="1:105" s="541" customFormat="1" ht="14.25" customHeight="1">
      <c r="A104" s="1265"/>
      <c r="B104" s="1265"/>
      <c r="C104" s="1265"/>
      <c r="D104" s="1265"/>
      <c r="E104" s="3908" t="s">
        <v>88</v>
      </c>
      <c r="F104" s="1265"/>
      <c r="G104" s="1265"/>
      <c r="H104" s="1265"/>
      <c r="I104" s="1265"/>
      <c r="J104" s="1265"/>
      <c r="K104" s="1265"/>
      <c r="L104" s="1466"/>
      <c r="M104" s="1244"/>
      <c r="N104" s="1244"/>
      <c r="O104" s="1562"/>
      <c r="P104" s="1239"/>
      <c r="Q104" s="1266"/>
      <c r="R104" s="1239"/>
      <c r="S104" s="1245"/>
      <c r="T104" s="1248" t="s">
        <v>241</v>
      </c>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c r="CB104" s="1247"/>
      <c r="CC104" s="1247"/>
      <c r="CD104" s="1247"/>
      <c r="CE104" s="1247"/>
      <c r="CF104" s="1247"/>
      <c r="CG104" s="1247"/>
      <c r="CH104" s="1247"/>
      <c r="CI104" s="1247"/>
      <c r="CJ104" s="1247"/>
      <c r="CK104" s="1247"/>
      <c r="CL104" s="1247"/>
      <c r="CM104" s="1247"/>
      <c r="CN104" s="1247"/>
      <c r="CO104" s="1247"/>
      <c r="CP104" s="1247"/>
      <c r="CQ104" s="1247"/>
      <c r="CR104" s="1247"/>
      <c r="CS104" s="1247"/>
      <c r="CT104" s="1247"/>
      <c r="CU104" s="1247"/>
      <c r="CV104" s="1247"/>
      <c r="CW104" s="1562"/>
      <c r="CX104" s="1544"/>
      <c r="CY104" s="1544" t="str">
        <f t="shared" si="2"/>
        <v>Добавить территорию для дифференциации</v>
      </c>
      <c r="CZ104" s="1544"/>
      <c r="DA104" s="1544"/>
    </row>
    <row r="105" spans="1:105" s="1827" customFormat="1" ht="23.25" customHeight="1">
      <c r="A105" s="1284" t="s">
        <v>258</v>
      </c>
      <c r="B105" s="1284"/>
      <c r="C105" s="1284"/>
      <c r="D105" s="1284"/>
      <c r="E105" s="3908" t="s">
        <v>117</v>
      </c>
      <c r="F105" s="1284"/>
      <c r="G105" s="1284"/>
      <c r="H105" s="1284"/>
      <c r="I105" s="1284"/>
      <c r="J105" s="1284"/>
      <c r="K105" s="1284"/>
      <c r="L105" s="1290"/>
      <c r="M105" s="1286"/>
      <c r="N105" s="1286"/>
      <c r="O105" s="1286"/>
      <c r="P105" s="1817"/>
      <c r="Q105" s="1742"/>
      <c r="R105" s="276"/>
      <c r="S105" s="1813" t="str">
        <f>INDEX(PT_DIFFERENTIATION_NUM_NTAR,MATCH(A105,PT_DIFFERENTIATION_NTAR_ID,0))</f>
        <v>5</v>
      </c>
      <c r="T105" s="1440" t="s">
        <v>141</v>
      </c>
      <c r="U105" s="214"/>
      <c r="V105" s="3894"/>
      <c r="W105" s="3895"/>
      <c r="X105" s="3895"/>
      <c r="Y105" s="3895"/>
      <c r="Z105" s="3895"/>
      <c r="AA105" s="3895"/>
      <c r="AB105" s="3896"/>
      <c r="AC105" s="3894" t="str">
        <f>INDEX(PT_DIFFERENTIATION_NTAR,MATCH(A105,PT_DIFFERENTIATION_NTAR_ID,0))</f>
        <v>Тариф на техническую воду для потребителей, присоединенных к централизованной системе технического водоснабжения города Нефтекумска Нефтекумского муниципального округа</v>
      </c>
      <c r="AD105" s="3895"/>
      <c r="AE105" s="3895"/>
      <c r="AF105" s="3895"/>
      <c r="AG105" s="3895"/>
      <c r="AH105" s="3895"/>
      <c r="AI105" s="3895"/>
      <c r="AJ105" s="3894"/>
      <c r="AK105" s="3895"/>
      <c r="AL105" s="3895"/>
      <c r="AM105" s="3895"/>
      <c r="AN105" s="3895"/>
      <c r="AO105" s="3895"/>
      <c r="AP105" s="3896"/>
      <c r="AQ105" s="3894"/>
      <c r="AR105" s="3895"/>
      <c r="AS105" s="3895"/>
      <c r="AT105" s="3895"/>
      <c r="AU105" s="3895"/>
      <c r="AV105" s="3895"/>
      <c r="AW105" s="3896"/>
      <c r="AX105" s="3894"/>
      <c r="AY105" s="3895"/>
      <c r="AZ105" s="3895"/>
      <c r="BA105" s="3895"/>
      <c r="BB105" s="3895"/>
      <c r="BC105" s="3895"/>
      <c r="BD105" s="3896"/>
      <c r="BE105" s="3894"/>
      <c r="BF105" s="3895"/>
      <c r="BG105" s="3895"/>
      <c r="BH105" s="3895"/>
      <c r="BI105" s="3895"/>
      <c r="BJ105" s="3895"/>
      <c r="BK105" s="3896"/>
      <c r="BL105" s="3894"/>
      <c r="BM105" s="3895"/>
      <c r="BN105" s="3895"/>
      <c r="BO105" s="3895"/>
      <c r="BP105" s="3895"/>
      <c r="BQ105" s="3895"/>
      <c r="BR105" s="3896"/>
      <c r="BS105" s="3894"/>
      <c r="BT105" s="3895"/>
      <c r="BU105" s="3895"/>
      <c r="BV105" s="3895"/>
      <c r="BW105" s="3895"/>
      <c r="BX105" s="3895"/>
      <c r="BY105" s="3896"/>
      <c r="BZ105" s="3894"/>
      <c r="CA105" s="3895"/>
      <c r="CB105" s="3895"/>
      <c r="CC105" s="3895"/>
      <c r="CD105" s="3895"/>
      <c r="CE105" s="3895"/>
      <c r="CF105" s="3896"/>
      <c r="CG105" s="3894"/>
      <c r="CH105" s="3895"/>
      <c r="CI105" s="3895"/>
      <c r="CJ105" s="3895"/>
      <c r="CK105" s="3895"/>
      <c r="CL105" s="3895"/>
      <c r="CM105" s="3896"/>
      <c r="CN105" s="3894"/>
      <c r="CO105" s="3895"/>
      <c r="CP105" s="3895"/>
      <c r="CQ105" s="3895"/>
      <c r="CR105" s="3895"/>
      <c r="CS105" s="3895"/>
      <c r="CT105" s="3896"/>
      <c r="CU105" s="3896"/>
      <c r="CV105"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105" s="1562"/>
      <c r="CX105" s="1544"/>
      <c r="CY105" s="1544" t="str">
        <f t="shared" ref="CY105:CY121" si="3">IF(T105="","",T105)</f>
        <v>Наименование тарифа</v>
      </c>
      <c r="CZ105" s="1544"/>
      <c r="DA105" s="1544"/>
    </row>
    <row r="106" spans="1:105" s="1827" customFormat="1" ht="23.25" customHeight="1">
      <c r="A106" s="1284"/>
      <c r="B106" s="1284" t="s">
        <v>259</v>
      </c>
      <c r="C106" s="1284"/>
      <c r="D106" s="1284"/>
      <c r="E106" s="3909" t="s">
        <v>89</v>
      </c>
      <c r="F106" s="3908">
        <v>1</v>
      </c>
      <c r="G106" s="1284"/>
      <c r="H106" s="1284"/>
      <c r="I106" s="1284"/>
      <c r="J106" s="1284"/>
      <c r="K106" s="1284"/>
      <c r="L106" s="1290"/>
      <c r="M106" s="1286"/>
      <c r="N106" s="1286"/>
      <c r="O106" s="1286"/>
      <c r="P106" s="1807"/>
      <c r="Q106" s="273"/>
      <c r="R106" s="274"/>
      <c r="S106" s="1813" t="str">
        <f>INDEX(PT_DIFFERENTIATION_NUM_TER,MATCH(B106,PT_DIFFERENTIATION_TER_ID,0))</f>
        <v>5.1</v>
      </c>
      <c r="T106" s="1437" t="s">
        <v>428</v>
      </c>
      <c r="U106" s="214"/>
      <c r="V106" s="3894"/>
      <c r="W106" s="3895"/>
      <c r="X106" s="3895"/>
      <c r="Y106" s="3895"/>
      <c r="Z106" s="3895"/>
      <c r="AA106" s="3895"/>
      <c r="AB106" s="3896"/>
      <c r="AC106" s="3894" t="str">
        <f>INDEX(PT_DIFFERENTIATION_TER,MATCH(B106,PT_DIFFERENTIATION_TER_ID,0))</f>
        <v>Территория 5</v>
      </c>
      <c r="AD106" s="3895"/>
      <c r="AE106" s="3895"/>
      <c r="AF106" s="3895"/>
      <c r="AG106" s="3895"/>
      <c r="AH106" s="3895"/>
      <c r="AI106" s="3895"/>
      <c r="AJ106" s="3894"/>
      <c r="AK106" s="3895"/>
      <c r="AL106" s="3895"/>
      <c r="AM106" s="3895"/>
      <c r="AN106" s="3895"/>
      <c r="AO106" s="3895"/>
      <c r="AP106" s="3896"/>
      <c r="AQ106" s="3894"/>
      <c r="AR106" s="3895"/>
      <c r="AS106" s="3895"/>
      <c r="AT106" s="3895"/>
      <c r="AU106" s="3895"/>
      <c r="AV106" s="3895"/>
      <c r="AW106" s="3896"/>
      <c r="AX106" s="3894"/>
      <c r="AY106" s="3895"/>
      <c r="AZ106" s="3895"/>
      <c r="BA106" s="3895"/>
      <c r="BB106" s="3895"/>
      <c r="BC106" s="3895"/>
      <c r="BD106" s="3896"/>
      <c r="BE106" s="3894"/>
      <c r="BF106" s="3895"/>
      <c r="BG106" s="3895"/>
      <c r="BH106" s="3895"/>
      <c r="BI106" s="3895"/>
      <c r="BJ106" s="3895"/>
      <c r="BK106" s="3896"/>
      <c r="BL106" s="3894"/>
      <c r="BM106" s="3895"/>
      <c r="BN106" s="3895"/>
      <c r="BO106" s="3895"/>
      <c r="BP106" s="3895"/>
      <c r="BQ106" s="3895"/>
      <c r="BR106" s="3896"/>
      <c r="BS106" s="3894"/>
      <c r="BT106" s="3895"/>
      <c r="BU106" s="3895"/>
      <c r="BV106" s="3895"/>
      <c r="BW106" s="3895"/>
      <c r="BX106" s="3895"/>
      <c r="BY106" s="3896"/>
      <c r="BZ106" s="3894"/>
      <c r="CA106" s="3895"/>
      <c r="CB106" s="3895"/>
      <c r="CC106" s="3895"/>
      <c r="CD106" s="3895"/>
      <c r="CE106" s="3895"/>
      <c r="CF106" s="3896"/>
      <c r="CG106" s="3894"/>
      <c r="CH106" s="3895"/>
      <c r="CI106" s="3895"/>
      <c r="CJ106" s="3895"/>
      <c r="CK106" s="3895"/>
      <c r="CL106" s="3895"/>
      <c r="CM106" s="3896"/>
      <c r="CN106" s="3894"/>
      <c r="CO106" s="3895"/>
      <c r="CP106" s="3895"/>
      <c r="CQ106" s="3895"/>
      <c r="CR106" s="3895"/>
      <c r="CS106" s="3895"/>
      <c r="CT106" s="3896"/>
      <c r="CU106" s="3896"/>
      <c r="CV106" s="1182" t="s">
        <v>429</v>
      </c>
      <c r="CW106" s="1562"/>
      <c r="CX106" s="1544"/>
      <c r="CY106" s="1544" t="str">
        <f t="shared" si="3"/>
        <v>Территория действия тарифа</v>
      </c>
      <c r="CZ106" s="1544"/>
      <c r="DA106" s="1544"/>
    </row>
    <row r="107" spans="1:105" s="1827" customFormat="1" ht="23.25" customHeight="1">
      <c r="A107" s="1284"/>
      <c r="B107" s="1284"/>
      <c r="C107" s="1284" t="s">
        <v>260</v>
      </c>
      <c r="D107" s="1284"/>
      <c r="E107" s="3909" t="s">
        <v>89</v>
      </c>
      <c r="F107" s="3909"/>
      <c r="G107" s="3908">
        <v>1</v>
      </c>
      <c r="H107" s="1284"/>
      <c r="I107" s="1284"/>
      <c r="J107" s="1284"/>
      <c r="K107" s="1284"/>
      <c r="L107" s="1290"/>
      <c r="M107" s="1286"/>
      <c r="N107" s="1286"/>
      <c r="O107" s="1286"/>
      <c r="P107" s="275"/>
      <c r="Q107" s="273"/>
      <c r="R107" s="274"/>
      <c r="S107" s="1813" t="str">
        <f>INDEX(PT_DIFFERENTIATION_NUM_CS,MATCH(C107,PT_DIFFERENTIATION_CS_ID,0))</f>
        <v>5.1.1</v>
      </c>
      <c r="T107" s="225" t="s">
        <v>509</v>
      </c>
      <c r="U107" s="214"/>
      <c r="V107" s="3894"/>
      <c r="W107" s="3895"/>
      <c r="X107" s="3895"/>
      <c r="Y107" s="3895"/>
      <c r="Z107" s="3895"/>
      <c r="AA107" s="3895"/>
      <c r="AB107" s="3896"/>
      <c r="AC107" s="3894" t="str">
        <f>INDEX(PT_DIFFERENTIATION_CS,MATCH(C107,PT_DIFFERENTIATION_CS_ID,0))</f>
        <v>без дифференциации</v>
      </c>
      <c r="AD107" s="3895"/>
      <c r="AE107" s="3895"/>
      <c r="AF107" s="3895"/>
      <c r="AG107" s="3895"/>
      <c r="AH107" s="3895"/>
      <c r="AI107" s="3895"/>
      <c r="AJ107" s="3894"/>
      <c r="AK107" s="3895"/>
      <c r="AL107" s="3895"/>
      <c r="AM107" s="3895"/>
      <c r="AN107" s="3895"/>
      <c r="AO107" s="3895"/>
      <c r="AP107" s="3896"/>
      <c r="AQ107" s="3894"/>
      <c r="AR107" s="3895"/>
      <c r="AS107" s="3895"/>
      <c r="AT107" s="3895"/>
      <c r="AU107" s="3895"/>
      <c r="AV107" s="3895"/>
      <c r="AW107" s="3896"/>
      <c r="AX107" s="3894"/>
      <c r="AY107" s="3895"/>
      <c r="AZ107" s="3895"/>
      <c r="BA107" s="3895"/>
      <c r="BB107" s="3895"/>
      <c r="BC107" s="3895"/>
      <c r="BD107" s="3896"/>
      <c r="BE107" s="3894"/>
      <c r="BF107" s="3895"/>
      <c r="BG107" s="3895"/>
      <c r="BH107" s="3895"/>
      <c r="BI107" s="3895"/>
      <c r="BJ107" s="3895"/>
      <c r="BK107" s="3896"/>
      <c r="BL107" s="3894"/>
      <c r="BM107" s="3895"/>
      <c r="BN107" s="3895"/>
      <c r="BO107" s="3895"/>
      <c r="BP107" s="3895"/>
      <c r="BQ107" s="3895"/>
      <c r="BR107" s="3896"/>
      <c r="BS107" s="3894"/>
      <c r="BT107" s="3895"/>
      <c r="BU107" s="3895"/>
      <c r="BV107" s="3895"/>
      <c r="BW107" s="3895"/>
      <c r="BX107" s="3895"/>
      <c r="BY107" s="3896"/>
      <c r="BZ107" s="3894"/>
      <c r="CA107" s="3895"/>
      <c r="CB107" s="3895"/>
      <c r="CC107" s="3895"/>
      <c r="CD107" s="3895"/>
      <c r="CE107" s="3895"/>
      <c r="CF107" s="3896"/>
      <c r="CG107" s="3894"/>
      <c r="CH107" s="3895"/>
      <c r="CI107" s="3895"/>
      <c r="CJ107" s="3895"/>
      <c r="CK107" s="3895"/>
      <c r="CL107" s="3895"/>
      <c r="CM107" s="3896"/>
      <c r="CN107" s="3894"/>
      <c r="CO107" s="3895"/>
      <c r="CP107" s="3895"/>
      <c r="CQ107" s="3895"/>
      <c r="CR107" s="3895"/>
      <c r="CS107" s="3895"/>
      <c r="CT107" s="3896"/>
      <c r="CU107" s="3896"/>
      <c r="CV107" s="1182" t="s">
        <v>510</v>
      </c>
      <c r="CW107" s="1562"/>
      <c r="CX107" s="1544"/>
      <c r="CY107" s="1544" t="str">
        <f t="shared" si="3"/>
        <v>Наименование централизованной системы холодного водоснабжения</v>
      </c>
      <c r="CZ107" s="1544"/>
      <c r="DA107" s="1544"/>
    </row>
    <row r="108" spans="1:105" s="1827" customFormat="1" ht="23.25" customHeight="1">
      <c r="A108" s="1284"/>
      <c r="B108" s="1284"/>
      <c r="C108" s="1284"/>
      <c r="D108" s="1284"/>
      <c r="E108" s="3909" t="s">
        <v>89</v>
      </c>
      <c r="F108" s="3909"/>
      <c r="G108" s="3909"/>
      <c r="H108" s="3909"/>
      <c r="I108" s="3906" t="str">
        <f>S107&amp;".1"</f>
        <v>5.1.1.1</v>
      </c>
      <c r="J108" s="1284"/>
      <c r="K108" s="1284"/>
      <c r="L108" s="1290"/>
      <c r="M108" s="1696"/>
      <c r="N108" s="1696"/>
      <c r="O108" s="1696"/>
      <c r="P108" s="3907">
        <v>1</v>
      </c>
      <c r="Q108" s="1816"/>
      <c r="R108" s="277"/>
      <c r="S108" s="1813" t="str">
        <f>$I108</f>
        <v>5.1.1.1</v>
      </c>
      <c r="T108" s="200" t="s">
        <v>511</v>
      </c>
      <c r="U108" s="214"/>
      <c r="V108" s="3967"/>
      <c r="W108" s="3968"/>
      <c r="X108" s="3968"/>
      <c r="Y108" s="3968"/>
      <c r="Z108" s="3968"/>
      <c r="AA108" s="3968"/>
      <c r="AB108" s="3969"/>
      <c r="AC108" s="3970"/>
      <c r="AD108" s="3971"/>
      <c r="AE108" s="3971"/>
      <c r="AF108" s="3971"/>
      <c r="AG108" s="3971"/>
      <c r="AH108" s="3971"/>
      <c r="AI108" s="3971"/>
      <c r="AJ108" s="3967"/>
      <c r="AK108" s="3968"/>
      <c r="AL108" s="3968"/>
      <c r="AM108" s="3968"/>
      <c r="AN108" s="3968"/>
      <c r="AO108" s="3968"/>
      <c r="AP108" s="3969"/>
      <c r="AQ108" s="3967"/>
      <c r="AR108" s="3968"/>
      <c r="AS108" s="3968"/>
      <c r="AT108" s="3968"/>
      <c r="AU108" s="3968"/>
      <c r="AV108" s="3968"/>
      <c r="AW108" s="3969"/>
      <c r="AX108" s="3967"/>
      <c r="AY108" s="3968"/>
      <c r="AZ108" s="3968"/>
      <c r="BA108" s="3968"/>
      <c r="BB108" s="3968"/>
      <c r="BC108" s="3968"/>
      <c r="BD108" s="3969"/>
      <c r="BE108" s="3967"/>
      <c r="BF108" s="3968"/>
      <c r="BG108" s="3968"/>
      <c r="BH108" s="3968"/>
      <c r="BI108" s="3968"/>
      <c r="BJ108" s="3968"/>
      <c r="BK108" s="3969"/>
      <c r="BL108" s="3967"/>
      <c r="BM108" s="3968"/>
      <c r="BN108" s="3968"/>
      <c r="BO108" s="3968"/>
      <c r="BP108" s="3968"/>
      <c r="BQ108" s="3968"/>
      <c r="BR108" s="3969"/>
      <c r="BS108" s="3967"/>
      <c r="BT108" s="3968"/>
      <c r="BU108" s="3968"/>
      <c r="BV108" s="3968"/>
      <c r="BW108" s="3968"/>
      <c r="BX108" s="3968"/>
      <c r="BY108" s="3969"/>
      <c r="BZ108" s="3967"/>
      <c r="CA108" s="3968"/>
      <c r="CB108" s="3968"/>
      <c r="CC108" s="3968"/>
      <c r="CD108" s="3968"/>
      <c r="CE108" s="3968"/>
      <c r="CF108" s="3969"/>
      <c r="CG108" s="3967"/>
      <c r="CH108" s="3968"/>
      <c r="CI108" s="3968"/>
      <c r="CJ108" s="3968"/>
      <c r="CK108" s="3968"/>
      <c r="CL108" s="3968"/>
      <c r="CM108" s="3969"/>
      <c r="CN108" s="3967"/>
      <c r="CO108" s="3968"/>
      <c r="CP108" s="3968"/>
      <c r="CQ108" s="3968"/>
      <c r="CR108" s="3968"/>
      <c r="CS108" s="3968"/>
      <c r="CT108" s="3969"/>
      <c r="CU108" s="3972"/>
      <c r="CV108" s="1182" t="s">
        <v>512</v>
      </c>
      <c r="CW108" s="1562"/>
      <c r="CX108" s="1544"/>
      <c r="CY108" s="1544" t="str">
        <f t="shared" si="3"/>
        <v>Наименование признака дифференциации</v>
      </c>
      <c r="CZ108" s="1544"/>
      <c r="DA108" s="1544"/>
    </row>
    <row r="109" spans="1:105" s="1827" customFormat="1" ht="23.25" customHeight="1">
      <c r="A109" s="1284"/>
      <c r="B109" s="1284"/>
      <c r="C109" s="1284"/>
      <c r="D109" s="1284"/>
      <c r="E109" s="3909" t="s">
        <v>89</v>
      </c>
      <c r="F109" s="3909"/>
      <c r="G109" s="3909"/>
      <c r="H109" s="3909"/>
      <c r="I109" s="3929"/>
      <c r="J109" s="3906" t="str">
        <f>I108&amp;".1"</f>
        <v>5.1.1.1.1</v>
      </c>
      <c r="K109" s="1284"/>
      <c r="L109" s="1290" t="s">
        <v>437</v>
      </c>
      <c r="M109" s="1696"/>
      <c r="N109" s="1696"/>
      <c r="O109" s="1696"/>
      <c r="P109" s="3907"/>
      <c r="Q109" s="3907">
        <v>1</v>
      </c>
      <c r="R109" s="278"/>
      <c r="S109" s="1813" t="str">
        <f>$J109</f>
        <v>5.1.1.1.1</v>
      </c>
      <c r="T109" s="201" t="s">
        <v>438</v>
      </c>
      <c r="U109" s="214"/>
      <c r="V109" s="3897"/>
      <c r="W109" s="3898"/>
      <c r="X109" s="3898"/>
      <c r="Y109" s="3898"/>
      <c r="Z109" s="3898"/>
      <c r="AA109" s="3898"/>
      <c r="AB109" s="3899"/>
      <c r="AC109" s="3897" t="s">
        <v>525</v>
      </c>
      <c r="AD109" s="3898"/>
      <c r="AE109" s="3898"/>
      <c r="AF109" s="3898"/>
      <c r="AG109" s="3898"/>
      <c r="AH109" s="3898"/>
      <c r="AI109" s="3898"/>
      <c r="AJ109" s="3897"/>
      <c r="AK109" s="3898"/>
      <c r="AL109" s="3898"/>
      <c r="AM109" s="3898"/>
      <c r="AN109" s="3898"/>
      <c r="AO109" s="3898"/>
      <c r="AP109" s="3899"/>
      <c r="AQ109" s="3897"/>
      <c r="AR109" s="3898"/>
      <c r="AS109" s="3898"/>
      <c r="AT109" s="3898"/>
      <c r="AU109" s="3898"/>
      <c r="AV109" s="3898"/>
      <c r="AW109" s="3899"/>
      <c r="AX109" s="3897"/>
      <c r="AY109" s="3898"/>
      <c r="AZ109" s="3898"/>
      <c r="BA109" s="3898"/>
      <c r="BB109" s="3898"/>
      <c r="BC109" s="3898"/>
      <c r="BD109" s="3899"/>
      <c r="BE109" s="3897"/>
      <c r="BF109" s="3898"/>
      <c r="BG109" s="3898"/>
      <c r="BH109" s="3898"/>
      <c r="BI109" s="3898"/>
      <c r="BJ109" s="3898"/>
      <c r="BK109" s="3899"/>
      <c r="BL109" s="3897"/>
      <c r="BM109" s="3898"/>
      <c r="BN109" s="3898"/>
      <c r="BO109" s="3898"/>
      <c r="BP109" s="3898"/>
      <c r="BQ109" s="3898"/>
      <c r="BR109" s="3899"/>
      <c r="BS109" s="3897"/>
      <c r="BT109" s="3898"/>
      <c r="BU109" s="3898"/>
      <c r="BV109" s="3898"/>
      <c r="BW109" s="3898"/>
      <c r="BX109" s="3898"/>
      <c r="BY109" s="3899"/>
      <c r="BZ109" s="3897"/>
      <c r="CA109" s="3898"/>
      <c r="CB109" s="3898"/>
      <c r="CC109" s="3898"/>
      <c r="CD109" s="3898"/>
      <c r="CE109" s="3898"/>
      <c r="CF109" s="3899"/>
      <c r="CG109" s="3897"/>
      <c r="CH109" s="3898"/>
      <c r="CI109" s="3898"/>
      <c r="CJ109" s="3898"/>
      <c r="CK109" s="3898"/>
      <c r="CL109" s="3898"/>
      <c r="CM109" s="3899"/>
      <c r="CN109" s="3897"/>
      <c r="CO109" s="3898"/>
      <c r="CP109" s="3898"/>
      <c r="CQ109" s="3898"/>
      <c r="CR109" s="3898"/>
      <c r="CS109" s="3898"/>
      <c r="CT109" s="3899"/>
      <c r="CU109" s="3899"/>
      <c r="CV109" s="1231" t="s">
        <v>513</v>
      </c>
      <c r="CW109" s="1562"/>
      <c r="CX109" s="1544"/>
      <c r="CY109" s="1544" t="str">
        <f t="shared" si="3"/>
        <v>Группа потребителей</v>
      </c>
      <c r="CZ109" s="1544"/>
      <c r="DA109" s="1544"/>
    </row>
    <row r="110" spans="1:105" s="1827" customFormat="1" ht="23.25" customHeight="1">
      <c r="A110" s="1284"/>
      <c r="B110" s="1284"/>
      <c r="C110" s="1284"/>
      <c r="D110" s="1284"/>
      <c r="E110" s="3909" t="s">
        <v>89</v>
      </c>
      <c r="F110" s="3909"/>
      <c r="G110" s="3909"/>
      <c r="H110" s="3909"/>
      <c r="I110" s="3929"/>
      <c r="J110" s="3929"/>
      <c r="K110" s="3906" t="str">
        <f>J109&amp;".1"</f>
        <v>5.1.1.1.1.1</v>
      </c>
      <c r="L110" s="1290"/>
      <c r="M110" s="1696"/>
      <c r="N110" s="1696"/>
      <c r="O110" s="1696"/>
      <c r="P110" s="3907"/>
      <c r="Q110" s="3907"/>
      <c r="R110" s="278">
        <v>1</v>
      </c>
      <c r="S110" s="1813" t="str">
        <f>$K110</f>
        <v>5.1.1.1.1.1</v>
      </c>
      <c r="T110" s="1357" t="s">
        <v>526</v>
      </c>
      <c r="U110" s="214"/>
      <c r="V110" s="666"/>
      <c r="W110" s="666"/>
      <c r="X110" s="1181"/>
      <c r="Y110" s="3911"/>
      <c r="Z110" s="3759" t="s">
        <v>60</v>
      </c>
      <c r="AA110" s="3911"/>
      <c r="AB110" s="3759" t="s">
        <v>60</v>
      </c>
      <c r="AC110" s="666">
        <v>2.2799999999999998</v>
      </c>
      <c r="AD110" s="666"/>
      <c r="AE110" s="1181"/>
      <c r="AF110" s="3911">
        <v>45292</v>
      </c>
      <c r="AG110" s="3759" t="s">
        <v>60</v>
      </c>
      <c r="AH110" s="3930">
        <v>45473</v>
      </c>
      <c r="AI110" s="3759" t="s">
        <v>60</v>
      </c>
      <c r="AJ110" s="666">
        <v>2.66</v>
      </c>
      <c r="AK110" s="666"/>
      <c r="AL110" s="1181"/>
      <c r="AM110" s="3911">
        <v>46569</v>
      </c>
      <c r="AN110" s="3759" t="s">
        <v>60</v>
      </c>
      <c r="AO110" s="3911">
        <v>45657</v>
      </c>
      <c r="AP110" s="3759" t="s">
        <v>60</v>
      </c>
      <c r="AQ110" s="666">
        <v>2.66</v>
      </c>
      <c r="AR110" s="666"/>
      <c r="AS110" s="1181"/>
      <c r="AT110" s="3911">
        <v>45658</v>
      </c>
      <c r="AU110" s="3759" t="s">
        <v>60</v>
      </c>
      <c r="AV110" s="3911">
        <v>45838</v>
      </c>
      <c r="AW110" s="3759" t="s">
        <v>60</v>
      </c>
      <c r="AX110" s="666">
        <v>3.3</v>
      </c>
      <c r="AY110" s="666"/>
      <c r="AZ110" s="1181"/>
      <c r="BA110" s="3911">
        <v>45839</v>
      </c>
      <c r="BB110" s="3759" t="s">
        <v>60</v>
      </c>
      <c r="BC110" s="3911">
        <v>46022</v>
      </c>
      <c r="BD110" s="3759" t="s">
        <v>60</v>
      </c>
      <c r="BE110" s="666">
        <v>3.3</v>
      </c>
      <c r="BF110" s="666"/>
      <c r="BG110" s="1181"/>
      <c r="BH110" s="3911">
        <v>46023</v>
      </c>
      <c r="BI110" s="3759" t="s">
        <v>60</v>
      </c>
      <c r="BJ110" s="3911">
        <v>46203</v>
      </c>
      <c r="BK110" s="3759" t="s">
        <v>60</v>
      </c>
      <c r="BL110" s="666">
        <v>3.37</v>
      </c>
      <c r="BM110" s="666"/>
      <c r="BN110" s="1181"/>
      <c r="BO110" s="3911">
        <v>46204</v>
      </c>
      <c r="BP110" s="3759" t="s">
        <v>60</v>
      </c>
      <c r="BQ110" s="3911">
        <v>46387</v>
      </c>
      <c r="BR110" s="3759" t="s">
        <v>60</v>
      </c>
      <c r="BS110" s="666">
        <v>3.37</v>
      </c>
      <c r="BT110" s="666"/>
      <c r="BU110" s="1181"/>
      <c r="BV110" s="3911">
        <v>46388</v>
      </c>
      <c r="BW110" s="3759" t="s">
        <v>60</v>
      </c>
      <c r="BX110" s="3911">
        <v>46568</v>
      </c>
      <c r="BY110" s="3759" t="s">
        <v>60</v>
      </c>
      <c r="BZ110" s="666">
        <v>3.68</v>
      </c>
      <c r="CA110" s="666"/>
      <c r="CB110" s="1181"/>
      <c r="CC110" s="3911">
        <v>46569</v>
      </c>
      <c r="CD110" s="3759" t="s">
        <v>60</v>
      </c>
      <c r="CE110" s="3911">
        <v>46752</v>
      </c>
      <c r="CF110" s="3759" t="s">
        <v>60</v>
      </c>
      <c r="CG110" s="666">
        <v>3.68</v>
      </c>
      <c r="CH110" s="666"/>
      <c r="CI110" s="1181"/>
      <c r="CJ110" s="3911">
        <v>46753</v>
      </c>
      <c r="CK110" s="3759" t="s">
        <v>60</v>
      </c>
      <c r="CL110" s="3911">
        <v>46934</v>
      </c>
      <c r="CM110" s="3759" t="s">
        <v>60</v>
      </c>
      <c r="CN110" s="666">
        <v>3.86</v>
      </c>
      <c r="CO110" s="666"/>
      <c r="CP110" s="1181"/>
      <c r="CQ110" s="3911">
        <v>46935</v>
      </c>
      <c r="CR110" s="3759" t="s">
        <v>60</v>
      </c>
      <c r="CS110" s="3911">
        <v>47118</v>
      </c>
      <c r="CT110" s="3759" t="s">
        <v>60</v>
      </c>
      <c r="CU110" s="1358"/>
      <c r="CV110"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0" s="1562" t="e">
        <f ca="1">STRCHECKDATE(V111:CU111)</f>
        <v>#NAME?</v>
      </c>
      <c r="CX110" s="1544"/>
      <c r="CY110" s="1544" t="str">
        <f t="shared" si="3"/>
        <v>Тариф для населения, руб. за 1 куб. метр с НДС</v>
      </c>
      <c r="CZ110" s="1544"/>
      <c r="DA110" s="1544"/>
    </row>
    <row r="111" spans="1:105" s="1827" customFormat="1" ht="14.25" customHeight="1">
      <c r="A111" s="1284"/>
      <c r="B111" s="1284"/>
      <c r="C111" s="1284"/>
      <c r="D111" s="1284"/>
      <c r="E111" s="3909" t="s">
        <v>89</v>
      </c>
      <c r="F111" s="3909"/>
      <c r="G111" s="3909"/>
      <c r="H111" s="3909"/>
      <c r="I111" s="3929"/>
      <c r="J111" s="3929"/>
      <c r="K111" s="3906"/>
      <c r="L111" s="1290"/>
      <c r="M111" s="1696"/>
      <c r="N111" s="1696"/>
      <c r="O111" s="1696"/>
      <c r="P111" s="3907"/>
      <c r="Q111" s="3907"/>
      <c r="R111" s="278"/>
      <c r="S111" s="1822"/>
      <c r="T111" s="214"/>
      <c r="U111" s="214"/>
      <c r="V111" s="246"/>
      <c r="W111" s="246"/>
      <c r="X111" s="250" t="str">
        <f>Y110&amp;"-"&amp;AA110</f>
        <v>-</v>
      </c>
      <c r="Y111" s="3912"/>
      <c r="Z111" s="3759"/>
      <c r="AA111" s="3912"/>
      <c r="AB111" s="3759"/>
      <c r="AC111" s="246"/>
      <c r="AD111" s="246"/>
      <c r="AE111" s="250" t="str">
        <f>AF110&amp;"-"&amp;AH110</f>
        <v>45292-45473</v>
      </c>
      <c r="AF111" s="3912"/>
      <c r="AG111" s="3759"/>
      <c r="AH111" s="3931"/>
      <c r="AI111" s="3759"/>
      <c r="AJ111" s="246"/>
      <c r="AK111" s="246"/>
      <c r="AL111" s="250" t="str">
        <f>AM110&amp;"-"&amp;AO110</f>
        <v>46569-45657</v>
      </c>
      <c r="AM111" s="3912"/>
      <c r="AN111" s="3759"/>
      <c r="AO111" s="3912"/>
      <c r="AP111" s="3759"/>
      <c r="AQ111" s="246"/>
      <c r="AR111" s="246"/>
      <c r="AS111" s="250" t="str">
        <f>AT110&amp;"-"&amp;AV110</f>
        <v>45658-45838</v>
      </c>
      <c r="AT111" s="3912"/>
      <c r="AU111" s="3759"/>
      <c r="AV111" s="3912"/>
      <c r="AW111" s="3759"/>
      <c r="AX111" s="246"/>
      <c r="AY111" s="246"/>
      <c r="AZ111" s="250" t="str">
        <f>BA110&amp;"-"&amp;BC110</f>
        <v>45839-46022</v>
      </c>
      <c r="BA111" s="3912"/>
      <c r="BB111" s="3759"/>
      <c r="BC111" s="3912"/>
      <c r="BD111" s="3759"/>
      <c r="BE111" s="246"/>
      <c r="BF111" s="246"/>
      <c r="BG111" s="250" t="str">
        <f>BH110&amp;"-"&amp;BJ110</f>
        <v>46023-46203</v>
      </c>
      <c r="BH111" s="3912"/>
      <c r="BI111" s="3759"/>
      <c r="BJ111" s="3912"/>
      <c r="BK111" s="3759"/>
      <c r="BL111" s="246"/>
      <c r="BM111" s="246"/>
      <c r="BN111" s="250" t="str">
        <f>BO110&amp;"-"&amp;BQ110</f>
        <v>46204-46387</v>
      </c>
      <c r="BO111" s="3912"/>
      <c r="BP111" s="3759"/>
      <c r="BQ111" s="3912"/>
      <c r="BR111" s="3759"/>
      <c r="BS111" s="246"/>
      <c r="BT111" s="246"/>
      <c r="BU111" s="250" t="str">
        <f>BV110&amp;"-"&amp;BX110</f>
        <v>46388-46568</v>
      </c>
      <c r="BV111" s="3912"/>
      <c r="BW111" s="3759"/>
      <c r="BX111" s="3912"/>
      <c r="BY111" s="3759"/>
      <c r="BZ111" s="246"/>
      <c r="CA111" s="246"/>
      <c r="CB111" s="250" t="str">
        <f>CC110&amp;"-"&amp;CE110</f>
        <v>46569-46752</v>
      </c>
      <c r="CC111" s="3912"/>
      <c r="CD111" s="3759"/>
      <c r="CE111" s="3912"/>
      <c r="CF111" s="3759"/>
      <c r="CG111" s="246"/>
      <c r="CH111" s="246"/>
      <c r="CI111" s="250" t="str">
        <f>CJ110&amp;"-"&amp;CL110</f>
        <v>46753-46934</v>
      </c>
      <c r="CJ111" s="3912"/>
      <c r="CK111" s="3759"/>
      <c r="CL111" s="3912"/>
      <c r="CM111" s="3759"/>
      <c r="CN111" s="246"/>
      <c r="CO111" s="246"/>
      <c r="CP111" s="250" t="str">
        <f>CQ110&amp;"-"&amp;CS110</f>
        <v>46935-47118</v>
      </c>
      <c r="CQ111" s="3912"/>
      <c r="CR111" s="3759"/>
      <c r="CS111" s="3912"/>
      <c r="CT111" s="3759"/>
      <c r="CU111" s="1359"/>
      <c r="CV111" s="3966"/>
      <c r="CW111" s="1562"/>
      <c r="CX111" s="1544"/>
      <c r="CY111" s="1544" t="str">
        <f t="shared" si="3"/>
        <v/>
      </c>
      <c r="CZ111" s="1544"/>
      <c r="DA111" s="1544"/>
    </row>
    <row r="112" spans="1:105" s="1827" customFormat="1" ht="21" customHeight="1">
      <c r="A112" s="1284"/>
      <c r="B112" s="1284"/>
      <c r="C112" s="1284"/>
      <c r="D112" s="1284"/>
      <c r="E112" s="3909" t="s">
        <v>89</v>
      </c>
      <c r="F112" s="3909"/>
      <c r="G112" s="3909"/>
      <c r="H112" s="3909"/>
      <c r="I112" s="3929"/>
      <c r="J112" s="3906"/>
      <c r="K112" s="1284"/>
      <c r="L112" s="1290"/>
      <c r="M112" s="1696"/>
      <c r="N112" s="1696"/>
      <c r="O112" s="1696"/>
      <c r="P112" s="3907"/>
      <c r="Q112" s="3907"/>
      <c r="R112" s="277"/>
      <c r="S112" s="3302"/>
      <c r="T112" s="3303" t="s">
        <v>514</v>
      </c>
      <c r="U112" s="3304"/>
      <c r="V112" s="3305"/>
      <c r="W112" s="3306"/>
      <c r="X112" s="3307"/>
      <c r="Y112" s="3308"/>
      <c r="Z112" s="3309"/>
      <c r="AA112" s="3310"/>
      <c r="AB112" s="3311"/>
      <c r="AC112" s="3312"/>
      <c r="AD112" s="3313"/>
      <c r="AE112" s="3314"/>
      <c r="AF112" s="3315"/>
      <c r="AG112" s="3316"/>
      <c r="AH112" s="3317"/>
      <c r="AI112" s="3318"/>
      <c r="AJ112" s="3319"/>
      <c r="AK112" s="3320"/>
      <c r="AL112" s="3321"/>
      <c r="AM112" s="3322"/>
      <c r="AN112" s="3323"/>
      <c r="AO112" s="3324"/>
      <c r="AP112" s="3325"/>
      <c r="AQ112" s="3326"/>
      <c r="AR112" s="3327"/>
      <c r="AS112" s="3328"/>
      <c r="AT112" s="3329"/>
      <c r="AU112" s="3330"/>
      <c r="AV112" s="3331"/>
      <c r="AW112" s="3332"/>
      <c r="AX112" s="3333"/>
      <c r="AY112" s="3334"/>
      <c r="AZ112" s="3335"/>
      <c r="BA112" s="3336"/>
      <c r="BB112" s="3337"/>
      <c r="BC112" s="3338"/>
      <c r="BD112" s="3339"/>
      <c r="BE112" s="3340"/>
      <c r="BF112" s="3341"/>
      <c r="BG112" s="3342"/>
      <c r="BH112" s="3343"/>
      <c r="BI112" s="3344"/>
      <c r="BJ112" s="3345"/>
      <c r="BK112" s="3346"/>
      <c r="BL112" s="3347"/>
      <c r="BM112" s="3348"/>
      <c r="BN112" s="3349"/>
      <c r="BO112" s="3350"/>
      <c r="BP112" s="3351"/>
      <c r="BQ112" s="3352"/>
      <c r="BR112" s="3353"/>
      <c r="BS112" s="3354"/>
      <c r="BT112" s="3355"/>
      <c r="BU112" s="3356"/>
      <c r="BV112" s="3357"/>
      <c r="BW112" s="3358"/>
      <c r="BX112" s="3359"/>
      <c r="BY112" s="3360"/>
      <c r="BZ112" s="3361"/>
      <c r="CA112" s="3362"/>
      <c r="CB112" s="3363"/>
      <c r="CC112" s="3364"/>
      <c r="CD112" s="3365"/>
      <c r="CE112" s="3366"/>
      <c r="CF112" s="3367"/>
      <c r="CG112" s="3368"/>
      <c r="CH112" s="3369"/>
      <c r="CI112" s="3370"/>
      <c r="CJ112" s="3371"/>
      <c r="CK112" s="3372"/>
      <c r="CL112" s="3373"/>
      <c r="CM112" s="3374"/>
      <c r="CN112" s="3375"/>
      <c r="CO112" s="3376"/>
      <c r="CP112" s="3377"/>
      <c r="CQ112" s="3378"/>
      <c r="CR112" s="3379"/>
      <c r="CS112" s="3380"/>
      <c r="CT112" s="3381"/>
      <c r="CU112" s="3382"/>
      <c r="CV112" s="1182" t="s">
        <v>515</v>
      </c>
      <c r="CW112" s="1562"/>
      <c r="CX112" s="1544"/>
      <c r="CY112" s="1544" t="str">
        <f t="shared" si="3"/>
        <v>Добавить значение признака дифференциации</v>
      </c>
      <c r="CZ112" s="1544"/>
      <c r="DA112" s="1544"/>
    </row>
    <row r="113" spans="1:105" s="1827" customFormat="1" ht="23.25" customHeight="1">
      <c r="A113" s="1284"/>
      <c r="B113" s="1284"/>
      <c r="C113" s="1284"/>
      <c r="D113" s="1284"/>
      <c r="E113" s="3909"/>
      <c r="F113" s="3909"/>
      <c r="G113" s="3909"/>
      <c r="H113" s="3909"/>
      <c r="I113" s="3929"/>
      <c r="J113" s="3906" t="str">
        <f>I108&amp;".2"</f>
        <v>5.1.1.1.2</v>
      </c>
      <c r="K113" s="1284"/>
      <c r="L113" s="1290" t="s">
        <v>437</v>
      </c>
      <c r="M113" s="1696"/>
      <c r="N113" s="1696"/>
      <c r="O113" s="1696"/>
      <c r="P113" s="3907"/>
      <c r="Q113" s="3973" t="s">
        <v>103</v>
      </c>
      <c r="R113" s="278"/>
      <c r="S113" s="1813" t="str">
        <f>$J113</f>
        <v>5.1.1.1.2</v>
      </c>
      <c r="T113" s="201" t="s">
        <v>438</v>
      </c>
      <c r="U113" s="214"/>
      <c r="V113" s="3897"/>
      <c r="W113" s="3898"/>
      <c r="X113" s="3898"/>
      <c r="Y113" s="3898"/>
      <c r="Z113" s="3898"/>
      <c r="AA113" s="3898"/>
      <c r="AB113" s="3899"/>
      <c r="AC113" s="3897" t="s">
        <v>527</v>
      </c>
      <c r="AD113" s="3898"/>
      <c r="AE113" s="3898"/>
      <c r="AF113" s="3898"/>
      <c r="AG113" s="3898"/>
      <c r="AH113" s="3898"/>
      <c r="AI113" s="3898"/>
      <c r="AJ113" s="3897"/>
      <c r="AK113" s="3898"/>
      <c r="AL113" s="3898"/>
      <c r="AM113" s="3898"/>
      <c r="AN113" s="3898"/>
      <c r="AO113" s="3898"/>
      <c r="AP113" s="3899"/>
      <c r="AQ113" s="3897"/>
      <c r="AR113" s="3898"/>
      <c r="AS113" s="3898"/>
      <c r="AT113" s="3898"/>
      <c r="AU113" s="3898"/>
      <c r="AV113" s="3898"/>
      <c r="AW113" s="3899"/>
      <c r="AX113" s="3897"/>
      <c r="AY113" s="3898"/>
      <c r="AZ113" s="3898"/>
      <c r="BA113" s="3898"/>
      <c r="BB113" s="3898"/>
      <c r="BC113" s="3898"/>
      <c r="BD113" s="3899"/>
      <c r="BE113" s="3897"/>
      <c r="BF113" s="3898"/>
      <c r="BG113" s="3898"/>
      <c r="BH113" s="3898"/>
      <c r="BI113" s="3898"/>
      <c r="BJ113" s="3898"/>
      <c r="BK113" s="3899"/>
      <c r="BL113" s="3897"/>
      <c r="BM113" s="3898"/>
      <c r="BN113" s="3898"/>
      <c r="BO113" s="3898"/>
      <c r="BP113" s="3898"/>
      <c r="BQ113" s="3898"/>
      <c r="BR113" s="3899"/>
      <c r="BS113" s="3897"/>
      <c r="BT113" s="3898"/>
      <c r="BU113" s="3898"/>
      <c r="BV113" s="3898"/>
      <c r="BW113" s="3898"/>
      <c r="BX113" s="3898"/>
      <c r="BY113" s="3899"/>
      <c r="BZ113" s="3897"/>
      <c r="CA113" s="3898"/>
      <c r="CB113" s="3898"/>
      <c r="CC113" s="3898"/>
      <c r="CD113" s="3898"/>
      <c r="CE113" s="3898"/>
      <c r="CF113" s="3899"/>
      <c r="CG113" s="3897"/>
      <c r="CH113" s="3898"/>
      <c r="CI113" s="3898"/>
      <c r="CJ113" s="3898"/>
      <c r="CK113" s="3898"/>
      <c r="CL113" s="3898"/>
      <c r="CM113" s="3899"/>
      <c r="CN113" s="3897"/>
      <c r="CO113" s="3898"/>
      <c r="CP113" s="3898"/>
      <c r="CQ113" s="3898"/>
      <c r="CR113" s="3898"/>
      <c r="CS113" s="3898"/>
      <c r="CT113" s="3899"/>
      <c r="CU113" s="3899"/>
      <c r="CV113" s="1231" t="s">
        <v>513</v>
      </c>
      <c r="CW113" s="1562"/>
      <c r="CX113" s="1544"/>
      <c r="CY113" s="1544" t="str">
        <f t="shared" si="3"/>
        <v>Группа потребителей</v>
      </c>
      <c r="CZ113" s="1544"/>
      <c r="DA113" s="1544"/>
    </row>
    <row r="114" spans="1:105" s="1827" customFormat="1" ht="23.25" customHeight="1">
      <c r="A114" s="1284"/>
      <c r="B114" s="1284"/>
      <c r="C114" s="1284"/>
      <c r="D114" s="1284"/>
      <c r="E114" s="3909"/>
      <c r="F114" s="3909"/>
      <c r="G114" s="3909"/>
      <c r="H114" s="3909"/>
      <c r="I114" s="3929"/>
      <c r="J114" s="3929" t="str">
        <f>I108&amp;".1"</f>
        <v>5.1.1.1.1</v>
      </c>
      <c r="K114" s="3906" t="str">
        <f>J113&amp;".1"</f>
        <v>5.1.1.1.2.1</v>
      </c>
      <c r="L114" s="1290"/>
      <c r="M114" s="1696"/>
      <c r="N114" s="1696"/>
      <c r="O114" s="1696"/>
      <c r="P114" s="3907"/>
      <c r="Q114" s="3907"/>
      <c r="R114" s="278">
        <v>1</v>
      </c>
      <c r="S114" s="1813" t="str">
        <f>$K114</f>
        <v>5.1.1.1.2.1</v>
      </c>
      <c r="T114" s="1357" t="s">
        <v>528</v>
      </c>
      <c r="U114" s="214"/>
      <c r="V114" s="666"/>
      <c r="W114" s="666"/>
      <c r="X114" s="1181"/>
      <c r="Y114" s="3911"/>
      <c r="Z114" s="3759" t="s">
        <v>60</v>
      </c>
      <c r="AA114" s="3911"/>
      <c r="AB114" s="3759" t="s">
        <v>60</v>
      </c>
      <c r="AC114" s="666">
        <v>1.9</v>
      </c>
      <c r="AD114" s="666"/>
      <c r="AE114" s="1181"/>
      <c r="AF114" s="3911">
        <v>45292</v>
      </c>
      <c r="AG114" s="3759" t="s">
        <v>60</v>
      </c>
      <c r="AH114" s="3930">
        <v>45473</v>
      </c>
      <c r="AI114" s="3759" t="s">
        <v>60</v>
      </c>
      <c r="AJ114" s="666">
        <v>2.2200000000000002</v>
      </c>
      <c r="AK114" s="666"/>
      <c r="AL114" s="1181"/>
      <c r="AM114" s="3911">
        <v>46569</v>
      </c>
      <c r="AN114" s="3759" t="s">
        <v>60</v>
      </c>
      <c r="AO114" s="3911">
        <v>45657</v>
      </c>
      <c r="AP114" s="3759" t="s">
        <v>60</v>
      </c>
      <c r="AQ114" s="666">
        <v>2.2200000000000002</v>
      </c>
      <c r="AR114" s="666"/>
      <c r="AS114" s="1181"/>
      <c r="AT114" s="3911">
        <v>45658</v>
      </c>
      <c r="AU114" s="3759" t="s">
        <v>60</v>
      </c>
      <c r="AV114" s="3911">
        <v>45838</v>
      </c>
      <c r="AW114" s="3759" t="s">
        <v>60</v>
      </c>
      <c r="AX114" s="666">
        <v>2.75</v>
      </c>
      <c r="AY114" s="666"/>
      <c r="AZ114" s="1181"/>
      <c r="BA114" s="3911">
        <v>45839</v>
      </c>
      <c r="BB114" s="3759" t="s">
        <v>60</v>
      </c>
      <c r="BC114" s="3911">
        <v>46022</v>
      </c>
      <c r="BD114" s="3759" t="s">
        <v>60</v>
      </c>
      <c r="BE114" s="666">
        <v>2.75</v>
      </c>
      <c r="BF114" s="666"/>
      <c r="BG114" s="1181"/>
      <c r="BH114" s="3911">
        <v>46023</v>
      </c>
      <c r="BI114" s="3759" t="s">
        <v>60</v>
      </c>
      <c r="BJ114" s="3911">
        <v>46203</v>
      </c>
      <c r="BK114" s="3759" t="s">
        <v>60</v>
      </c>
      <c r="BL114" s="666">
        <v>2.81</v>
      </c>
      <c r="BM114" s="666"/>
      <c r="BN114" s="1181"/>
      <c r="BO114" s="3911">
        <v>46204</v>
      </c>
      <c r="BP114" s="3759" t="s">
        <v>60</v>
      </c>
      <c r="BQ114" s="3911">
        <v>46387</v>
      </c>
      <c r="BR114" s="3759" t="s">
        <v>60</v>
      </c>
      <c r="BS114" s="666">
        <v>2.81</v>
      </c>
      <c r="BT114" s="666"/>
      <c r="BU114" s="1181"/>
      <c r="BV114" s="3911">
        <v>46388</v>
      </c>
      <c r="BW114" s="3759" t="s">
        <v>60</v>
      </c>
      <c r="BX114" s="3911">
        <v>46568</v>
      </c>
      <c r="BY114" s="3759" t="s">
        <v>60</v>
      </c>
      <c r="BZ114" s="666">
        <v>3.07</v>
      </c>
      <c r="CA114" s="666"/>
      <c r="CB114" s="1181"/>
      <c r="CC114" s="3911">
        <v>46569</v>
      </c>
      <c r="CD114" s="3759" t="s">
        <v>60</v>
      </c>
      <c r="CE114" s="3911">
        <v>46752</v>
      </c>
      <c r="CF114" s="3759" t="s">
        <v>60</v>
      </c>
      <c r="CG114" s="666">
        <v>3.07</v>
      </c>
      <c r="CH114" s="666"/>
      <c r="CI114" s="1181"/>
      <c r="CJ114" s="3911">
        <v>46753</v>
      </c>
      <c r="CK114" s="3759" t="s">
        <v>60</v>
      </c>
      <c r="CL114" s="3911">
        <v>46934</v>
      </c>
      <c r="CM114" s="3759" t="s">
        <v>60</v>
      </c>
      <c r="CN114" s="666">
        <v>3.22</v>
      </c>
      <c r="CO114" s="666"/>
      <c r="CP114" s="1181"/>
      <c r="CQ114" s="3911">
        <v>46935</v>
      </c>
      <c r="CR114" s="3759" t="s">
        <v>60</v>
      </c>
      <c r="CS114" s="3911">
        <v>47118</v>
      </c>
      <c r="CT114" s="3759" t="s">
        <v>60</v>
      </c>
      <c r="CU114" s="1358"/>
      <c r="CV114"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4" s="1562" t="e">
        <f ca="1">STRCHECKDATE(V115:CU115)</f>
        <v>#NAME?</v>
      </c>
      <c r="CX114" s="1544"/>
      <c r="CY114" s="1544" t="str">
        <f t="shared" si="3"/>
        <v>Тариф, руб. за 1 куб. метр без НДС</v>
      </c>
      <c r="CZ114" s="1544"/>
      <c r="DA114" s="1544"/>
    </row>
    <row r="115" spans="1:105" s="1827" customFormat="1" ht="14.25" customHeight="1">
      <c r="A115" s="1284"/>
      <c r="B115" s="1284"/>
      <c r="C115" s="1284"/>
      <c r="D115" s="1284"/>
      <c r="E115" s="3909"/>
      <c r="F115" s="3909"/>
      <c r="G115" s="3909"/>
      <c r="H115" s="3909"/>
      <c r="I115" s="3929"/>
      <c r="J115" s="3929" t="str">
        <f>I108&amp;".1"</f>
        <v>5.1.1.1.1</v>
      </c>
      <c r="K115" s="3906"/>
      <c r="L115" s="1290"/>
      <c r="M115" s="1696"/>
      <c r="N115" s="1696"/>
      <c r="O115" s="1696"/>
      <c r="P115" s="3907"/>
      <c r="Q115" s="3907"/>
      <c r="R115" s="278"/>
      <c r="S115" s="1822"/>
      <c r="T115" s="214"/>
      <c r="U115" s="214"/>
      <c r="V115" s="246"/>
      <c r="W115" s="246"/>
      <c r="X115" s="250" t="str">
        <f>Y114&amp;"-"&amp;AA114</f>
        <v>-</v>
      </c>
      <c r="Y115" s="3912"/>
      <c r="Z115" s="3759"/>
      <c r="AA115" s="3912"/>
      <c r="AB115" s="3759"/>
      <c r="AC115" s="246"/>
      <c r="AD115" s="246"/>
      <c r="AE115" s="250" t="str">
        <f>AF114&amp;"-"&amp;AH114</f>
        <v>45292-45473</v>
      </c>
      <c r="AF115" s="3912"/>
      <c r="AG115" s="3759"/>
      <c r="AH115" s="3931"/>
      <c r="AI115" s="3759"/>
      <c r="AJ115" s="246"/>
      <c r="AK115" s="246"/>
      <c r="AL115" s="250" t="str">
        <f>AM114&amp;"-"&amp;AO114</f>
        <v>46569-45657</v>
      </c>
      <c r="AM115" s="3912"/>
      <c r="AN115" s="3759"/>
      <c r="AO115" s="3912"/>
      <c r="AP115" s="3759"/>
      <c r="AQ115" s="246"/>
      <c r="AR115" s="246"/>
      <c r="AS115" s="250" t="str">
        <f>AT114&amp;"-"&amp;AV114</f>
        <v>45658-45838</v>
      </c>
      <c r="AT115" s="3912"/>
      <c r="AU115" s="3759"/>
      <c r="AV115" s="3912"/>
      <c r="AW115" s="3759"/>
      <c r="AX115" s="246"/>
      <c r="AY115" s="246"/>
      <c r="AZ115" s="250" t="str">
        <f>BA114&amp;"-"&amp;BC114</f>
        <v>45839-46022</v>
      </c>
      <c r="BA115" s="3912"/>
      <c r="BB115" s="3759"/>
      <c r="BC115" s="3912"/>
      <c r="BD115" s="3759"/>
      <c r="BE115" s="246"/>
      <c r="BF115" s="246"/>
      <c r="BG115" s="250" t="str">
        <f>BH114&amp;"-"&amp;BJ114</f>
        <v>46023-46203</v>
      </c>
      <c r="BH115" s="3912"/>
      <c r="BI115" s="3759"/>
      <c r="BJ115" s="3912"/>
      <c r="BK115" s="3759"/>
      <c r="BL115" s="246"/>
      <c r="BM115" s="246"/>
      <c r="BN115" s="250" t="str">
        <f>BO114&amp;"-"&amp;BQ114</f>
        <v>46204-46387</v>
      </c>
      <c r="BO115" s="3912"/>
      <c r="BP115" s="3759"/>
      <c r="BQ115" s="3912"/>
      <c r="BR115" s="3759"/>
      <c r="BS115" s="246"/>
      <c r="BT115" s="246"/>
      <c r="BU115" s="250" t="str">
        <f>BV114&amp;"-"&amp;BX114</f>
        <v>46388-46568</v>
      </c>
      <c r="BV115" s="3912"/>
      <c r="BW115" s="3759"/>
      <c r="BX115" s="3912"/>
      <c r="BY115" s="3759"/>
      <c r="BZ115" s="246"/>
      <c r="CA115" s="246"/>
      <c r="CB115" s="250" t="str">
        <f>CC114&amp;"-"&amp;CE114</f>
        <v>46569-46752</v>
      </c>
      <c r="CC115" s="3912"/>
      <c r="CD115" s="3759"/>
      <c r="CE115" s="3912"/>
      <c r="CF115" s="3759"/>
      <c r="CG115" s="246"/>
      <c r="CH115" s="246"/>
      <c r="CI115" s="250" t="str">
        <f>CJ114&amp;"-"&amp;CL114</f>
        <v>46753-46934</v>
      </c>
      <c r="CJ115" s="3912"/>
      <c r="CK115" s="3759"/>
      <c r="CL115" s="3912"/>
      <c r="CM115" s="3759"/>
      <c r="CN115" s="246"/>
      <c r="CO115" s="246"/>
      <c r="CP115" s="250" t="str">
        <f>CQ114&amp;"-"&amp;CS114</f>
        <v>46935-47118</v>
      </c>
      <c r="CQ115" s="3912"/>
      <c r="CR115" s="3759"/>
      <c r="CS115" s="3912"/>
      <c r="CT115" s="3759"/>
      <c r="CU115" s="1359"/>
      <c r="CV115" s="3966"/>
      <c r="CW115" s="1562"/>
      <c r="CX115" s="1544"/>
      <c r="CY115" s="1544" t="str">
        <f t="shared" si="3"/>
        <v/>
      </c>
      <c r="CZ115" s="1544"/>
      <c r="DA115" s="1544"/>
    </row>
    <row r="116" spans="1:105" s="1827" customFormat="1" ht="21" customHeight="1">
      <c r="A116" s="1284"/>
      <c r="B116" s="1284"/>
      <c r="C116" s="1284"/>
      <c r="D116" s="1284"/>
      <c r="E116" s="3909"/>
      <c r="F116" s="3909"/>
      <c r="G116" s="3909"/>
      <c r="H116" s="3909"/>
      <c r="I116" s="3929"/>
      <c r="J116" s="3906" t="str">
        <f>I108&amp;".1"</f>
        <v>5.1.1.1.1</v>
      </c>
      <c r="K116" s="1284"/>
      <c r="L116" s="1290"/>
      <c r="M116" s="1696"/>
      <c r="N116" s="1696"/>
      <c r="O116" s="1696"/>
      <c r="P116" s="3907"/>
      <c r="Q116" s="3907"/>
      <c r="R116" s="277"/>
      <c r="S116" s="3383"/>
      <c r="T116" s="3384" t="s">
        <v>514</v>
      </c>
      <c r="U116" s="3385"/>
      <c r="V116" s="3386"/>
      <c r="W116" s="3387"/>
      <c r="X116" s="3388"/>
      <c r="Y116" s="3389"/>
      <c r="Z116" s="3390"/>
      <c r="AA116" s="3391"/>
      <c r="AB116" s="3392"/>
      <c r="AC116" s="3393"/>
      <c r="AD116" s="3394"/>
      <c r="AE116" s="3395"/>
      <c r="AF116" s="3396"/>
      <c r="AG116" s="3397"/>
      <c r="AH116" s="3398"/>
      <c r="AI116" s="3399"/>
      <c r="AJ116" s="3400"/>
      <c r="AK116" s="3401"/>
      <c r="AL116" s="3402"/>
      <c r="AM116" s="3403"/>
      <c r="AN116" s="3404"/>
      <c r="AO116" s="3405"/>
      <c r="AP116" s="3406"/>
      <c r="AQ116" s="3407"/>
      <c r="AR116" s="3408"/>
      <c r="AS116" s="3409"/>
      <c r="AT116" s="3410"/>
      <c r="AU116" s="3411"/>
      <c r="AV116" s="3412"/>
      <c r="AW116" s="3413"/>
      <c r="AX116" s="3414"/>
      <c r="AY116" s="3415"/>
      <c r="AZ116" s="3416"/>
      <c r="BA116" s="3417"/>
      <c r="BB116" s="3418"/>
      <c r="BC116" s="3419"/>
      <c r="BD116" s="3420"/>
      <c r="BE116" s="3421"/>
      <c r="BF116" s="3422"/>
      <c r="BG116" s="3423"/>
      <c r="BH116" s="3424"/>
      <c r="BI116" s="3425"/>
      <c r="BJ116" s="3426"/>
      <c r="BK116" s="3427"/>
      <c r="BL116" s="3428"/>
      <c r="BM116" s="3429"/>
      <c r="BN116" s="3430"/>
      <c r="BO116" s="3431"/>
      <c r="BP116" s="3432"/>
      <c r="BQ116" s="3433"/>
      <c r="BR116" s="3434"/>
      <c r="BS116" s="3435"/>
      <c r="BT116" s="3436"/>
      <c r="BU116" s="3437"/>
      <c r="BV116" s="3438"/>
      <c r="BW116" s="3439"/>
      <c r="BX116" s="3440"/>
      <c r="BY116" s="3441"/>
      <c r="BZ116" s="3442"/>
      <c r="CA116" s="3443"/>
      <c r="CB116" s="3444"/>
      <c r="CC116" s="3445"/>
      <c r="CD116" s="3446"/>
      <c r="CE116" s="3447"/>
      <c r="CF116" s="3448"/>
      <c r="CG116" s="3449"/>
      <c r="CH116" s="3450"/>
      <c r="CI116" s="3451"/>
      <c r="CJ116" s="3452"/>
      <c r="CK116" s="3453"/>
      <c r="CL116" s="3454"/>
      <c r="CM116" s="3455"/>
      <c r="CN116" s="3456"/>
      <c r="CO116" s="3457"/>
      <c r="CP116" s="3458"/>
      <c r="CQ116" s="3459"/>
      <c r="CR116" s="3460"/>
      <c r="CS116" s="3461"/>
      <c r="CT116" s="3462"/>
      <c r="CU116" s="3463"/>
      <c r="CV116" s="1182" t="s">
        <v>515</v>
      </c>
      <c r="CW116" s="1562"/>
      <c r="CX116" s="1544"/>
      <c r="CY116" s="1544" t="str">
        <f t="shared" si="3"/>
        <v>Добавить значение признака дифференциации</v>
      </c>
      <c r="CZ116" s="1544"/>
      <c r="DA116" s="1544"/>
    </row>
    <row r="117" spans="1:105" s="1827" customFormat="1" ht="21" customHeight="1">
      <c r="A117" s="1284"/>
      <c r="B117" s="1284"/>
      <c r="C117" s="1284"/>
      <c r="D117" s="1284"/>
      <c r="E117" s="3909" t="s">
        <v>89</v>
      </c>
      <c r="F117" s="3909"/>
      <c r="G117" s="3909"/>
      <c r="H117" s="3909"/>
      <c r="I117" s="3906"/>
      <c r="J117" s="1284"/>
      <c r="K117" s="1284"/>
      <c r="L117" s="1290"/>
      <c r="M117" s="1696"/>
      <c r="N117" s="1696"/>
      <c r="O117" s="1696"/>
      <c r="P117" s="3907"/>
      <c r="Q117" s="1816"/>
      <c r="R117" s="277"/>
      <c r="S117" s="3464"/>
      <c r="T117" s="3465" t="s">
        <v>443</v>
      </c>
      <c r="U117" s="3466"/>
      <c r="V117" s="3467"/>
      <c r="W117" s="3468"/>
      <c r="X117" s="3469"/>
      <c r="Y117" s="3470"/>
      <c r="Z117" s="3471"/>
      <c r="AA117" s="3472"/>
      <c r="AB117" s="3473"/>
      <c r="AC117" s="3474"/>
      <c r="AD117" s="3475"/>
      <c r="AE117" s="3476"/>
      <c r="AF117" s="3477"/>
      <c r="AG117" s="3478"/>
      <c r="AH117" s="3479"/>
      <c r="AI117" s="3480"/>
      <c r="AJ117" s="3481"/>
      <c r="AK117" s="3482"/>
      <c r="AL117" s="3483"/>
      <c r="AM117" s="3484"/>
      <c r="AN117" s="3485"/>
      <c r="AO117" s="3486"/>
      <c r="AP117" s="3487"/>
      <c r="AQ117" s="3488"/>
      <c r="AR117" s="3489"/>
      <c r="AS117" s="3490"/>
      <c r="AT117" s="3491"/>
      <c r="AU117" s="3492"/>
      <c r="AV117" s="3493"/>
      <c r="AW117" s="3494"/>
      <c r="AX117" s="3495"/>
      <c r="AY117" s="3496"/>
      <c r="AZ117" s="3497"/>
      <c r="BA117" s="3498"/>
      <c r="BB117" s="3499"/>
      <c r="BC117" s="3500"/>
      <c r="BD117" s="3501"/>
      <c r="BE117" s="3502"/>
      <c r="BF117" s="3503"/>
      <c r="BG117" s="3504"/>
      <c r="BH117" s="3505"/>
      <c r="BI117" s="3506"/>
      <c r="BJ117" s="3507"/>
      <c r="BK117" s="3508"/>
      <c r="BL117" s="3509"/>
      <c r="BM117" s="3510"/>
      <c r="BN117" s="3511"/>
      <c r="BO117" s="3512"/>
      <c r="BP117" s="3513"/>
      <c r="BQ117" s="3514"/>
      <c r="BR117" s="3515"/>
      <c r="BS117" s="3516"/>
      <c r="BT117" s="3517"/>
      <c r="BU117" s="3518"/>
      <c r="BV117" s="3519"/>
      <c r="BW117" s="3520"/>
      <c r="BX117" s="3521"/>
      <c r="BY117" s="3522"/>
      <c r="BZ117" s="3523"/>
      <c r="CA117" s="3524"/>
      <c r="CB117" s="3525"/>
      <c r="CC117" s="3526"/>
      <c r="CD117" s="3527"/>
      <c r="CE117" s="3528"/>
      <c r="CF117" s="3529"/>
      <c r="CG117" s="3530"/>
      <c r="CH117" s="3531"/>
      <c r="CI117" s="3532"/>
      <c r="CJ117" s="3533"/>
      <c r="CK117" s="3534"/>
      <c r="CL117" s="3535"/>
      <c r="CM117" s="3536"/>
      <c r="CN117" s="3537"/>
      <c r="CO117" s="3538"/>
      <c r="CP117" s="3539"/>
      <c r="CQ117" s="3540"/>
      <c r="CR117" s="3541"/>
      <c r="CS117" s="3542"/>
      <c r="CT117" s="3543"/>
      <c r="CU117" s="3544"/>
      <c r="CV117" s="3545"/>
      <c r="CW117" s="1562"/>
      <c r="CX117" s="1544"/>
      <c r="CY117" s="1544" t="str">
        <f t="shared" si="3"/>
        <v>Добавить группу потребителей</v>
      </c>
      <c r="CZ117" s="1544"/>
      <c r="DA117" s="1544"/>
    </row>
    <row r="118" spans="1:105" s="1827" customFormat="1" ht="21" customHeight="1">
      <c r="A118" s="1284"/>
      <c r="B118" s="1284"/>
      <c r="C118" s="1284"/>
      <c r="D118" s="1284"/>
      <c r="E118" s="3909" t="s">
        <v>89</v>
      </c>
      <c r="F118" s="3909"/>
      <c r="G118" s="3909"/>
      <c r="H118" s="3908"/>
      <c r="I118" s="1284"/>
      <c r="J118" s="1284"/>
      <c r="K118" s="1284"/>
      <c r="L118" s="1290"/>
      <c r="M118" s="1286"/>
      <c r="N118" s="1286"/>
      <c r="O118" s="1287"/>
      <c r="P118" s="1742"/>
      <c r="Q118" s="299"/>
      <c r="R118" s="276"/>
      <c r="S118" s="3546"/>
      <c r="T118" s="3547" t="s">
        <v>516</v>
      </c>
      <c r="U118" s="3548"/>
      <c r="V118" s="3549"/>
      <c r="W118" s="3550"/>
      <c r="X118" s="3551"/>
      <c r="Y118" s="3552"/>
      <c r="Z118" s="3553"/>
      <c r="AA118" s="3554"/>
      <c r="AB118" s="3555"/>
      <c r="AC118" s="3556"/>
      <c r="AD118" s="3557"/>
      <c r="AE118" s="3558"/>
      <c r="AF118" s="3559"/>
      <c r="AG118" s="3560"/>
      <c r="AH118" s="3561"/>
      <c r="AI118" s="3562"/>
      <c r="AJ118" s="3563"/>
      <c r="AK118" s="3564"/>
      <c r="AL118" s="3565"/>
      <c r="AM118" s="3566"/>
      <c r="AN118" s="3567"/>
      <c r="AO118" s="3568"/>
      <c r="AP118" s="3569"/>
      <c r="AQ118" s="3570"/>
      <c r="AR118" s="3571"/>
      <c r="AS118" s="3572"/>
      <c r="AT118" s="3573"/>
      <c r="AU118" s="3574"/>
      <c r="AV118" s="3575"/>
      <c r="AW118" s="3576"/>
      <c r="AX118" s="3577"/>
      <c r="AY118" s="3578"/>
      <c r="AZ118" s="3579"/>
      <c r="BA118" s="3580"/>
      <c r="BB118" s="3581"/>
      <c r="BC118" s="3582"/>
      <c r="BD118" s="3583"/>
      <c r="BE118" s="3584"/>
      <c r="BF118" s="3585"/>
      <c r="BG118" s="3586"/>
      <c r="BH118" s="3587"/>
      <c r="BI118" s="3588"/>
      <c r="BJ118" s="3589"/>
      <c r="BK118" s="3590"/>
      <c r="BL118" s="3591"/>
      <c r="BM118" s="3592"/>
      <c r="BN118" s="3593"/>
      <c r="BO118" s="3594"/>
      <c r="BP118" s="3595"/>
      <c r="BQ118" s="3596"/>
      <c r="BR118" s="3597"/>
      <c r="BS118" s="3598"/>
      <c r="BT118" s="3599"/>
      <c r="BU118" s="3600"/>
      <c r="BV118" s="3601"/>
      <c r="BW118" s="3602"/>
      <c r="BX118" s="3603"/>
      <c r="BY118" s="3604"/>
      <c r="BZ118" s="3605"/>
      <c r="CA118" s="3606"/>
      <c r="CB118" s="3607"/>
      <c r="CC118" s="3608"/>
      <c r="CD118" s="3609"/>
      <c r="CE118" s="3610"/>
      <c r="CF118" s="3611"/>
      <c r="CG118" s="3612"/>
      <c r="CH118" s="3613"/>
      <c r="CI118" s="3614"/>
      <c r="CJ118" s="3615"/>
      <c r="CK118" s="3616"/>
      <c r="CL118" s="3617"/>
      <c r="CM118" s="3618"/>
      <c r="CN118" s="3619"/>
      <c r="CO118" s="3620"/>
      <c r="CP118" s="3621"/>
      <c r="CQ118" s="3622"/>
      <c r="CR118" s="3623"/>
      <c r="CS118" s="3624"/>
      <c r="CT118" s="3625"/>
      <c r="CU118" s="3626"/>
      <c r="CV118" s="3627"/>
      <c r="CW118" s="1562"/>
      <c r="CX118" s="1544"/>
      <c r="CY118" s="1544" t="str">
        <f t="shared" si="3"/>
        <v>Добавить наименование признака дифференциации</v>
      </c>
      <c r="CZ118" s="1544"/>
      <c r="DA118" s="1544"/>
    </row>
    <row r="119" spans="1:105" s="541" customFormat="1" ht="14.25" customHeight="1">
      <c r="A119" s="1265"/>
      <c r="B119" s="1265"/>
      <c r="C119" s="1265"/>
      <c r="D119" s="1265"/>
      <c r="E119" s="3909" t="s">
        <v>89</v>
      </c>
      <c r="F119" s="3908"/>
      <c r="G119" s="1265"/>
      <c r="H119" s="1265"/>
      <c r="I119" s="1265"/>
      <c r="J119" s="1265"/>
      <c r="K119" s="1265"/>
      <c r="L119" s="1466"/>
      <c r="M119" s="1244"/>
      <c r="N119" s="1244"/>
      <c r="O119" s="1562"/>
      <c r="P119" s="1239"/>
      <c r="Q119" s="1266"/>
      <c r="R119" s="1239"/>
      <c r="S119" s="1245"/>
      <c r="T119" s="1248" t="s">
        <v>240</v>
      </c>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c r="CB119" s="1247"/>
      <c r="CC119" s="1247"/>
      <c r="CD119" s="1247"/>
      <c r="CE119" s="1247"/>
      <c r="CF119" s="1247"/>
      <c r="CG119" s="1247"/>
      <c r="CH119" s="1247"/>
      <c r="CI119" s="1247"/>
      <c r="CJ119" s="1247"/>
      <c r="CK119" s="1247"/>
      <c r="CL119" s="1247"/>
      <c r="CM119" s="1247"/>
      <c r="CN119" s="1247"/>
      <c r="CO119" s="1247"/>
      <c r="CP119" s="1247"/>
      <c r="CQ119" s="1247"/>
      <c r="CR119" s="1247"/>
      <c r="CS119" s="1247"/>
      <c r="CT119" s="1247"/>
      <c r="CU119" s="1247"/>
      <c r="CV119" s="1247"/>
      <c r="CW119" s="1562"/>
      <c r="CX119" s="1544"/>
      <c r="CY119" s="1544" t="str">
        <f t="shared" si="3"/>
        <v>Добавить централизованную систему для дифференциации</v>
      </c>
      <c r="CZ119" s="1544"/>
      <c r="DA119" s="1544"/>
    </row>
    <row r="120" spans="1:105" s="541" customFormat="1" ht="14.25" customHeight="1">
      <c r="A120" s="1265"/>
      <c r="B120" s="1265"/>
      <c r="C120" s="1265"/>
      <c r="D120" s="1265"/>
      <c r="E120" s="3908" t="s">
        <v>89</v>
      </c>
      <c r="F120" s="1265"/>
      <c r="G120" s="1265"/>
      <c r="H120" s="1265"/>
      <c r="I120" s="1265"/>
      <c r="J120" s="1265"/>
      <c r="K120" s="1265"/>
      <c r="L120" s="1466"/>
      <c r="M120" s="1244"/>
      <c r="N120" s="1244"/>
      <c r="O120" s="1562"/>
      <c r="P120" s="1239"/>
      <c r="Q120" s="1266"/>
      <c r="R120" s="1239"/>
      <c r="S120" s="1245"/>
      <c r="T120" s="1248" t="s">
        <v>241</v>
      </c>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c r="CB120" s="1247"/>
      <c r="CC120" s="1247"/>
      <c r="CD120" s="1247"/>
      <c r="CE120" s="1247"/>
      <c r="CF120" s="1247"/>
      <c r="CG120" s="1247"/>
      <c r="CH120" s="1247"/>
      <c r="CI120" s="1247"/>
      <c r="CJ120" s="1247"/>
      <c r="CK120" s="1247"/>
      <c r="CL120" s="1247"/>
      <c r="CM120" s="1247"/>
      <c r="CN120" s="1247"/>
      <c r="CO120" s="1247"/>
      <c r="CP120" s="1247"/>
      <c r="CQ120" s="1247"/>
      <c r="CR120" s="1247"/>
      <c r="CS120" s="1247"/>
      <c r="CT120" s="1247"/>
      <c r="CU120" s="1247"/>
      <c r="CV120" s="1247"/>
      <c r="CW120" s="1562"/>
      <c r="CX120" s="1544"/>
      <c r="CY120" s="1544" t="str">
        <f t="shared" si="3"/>
        <v>Добавить территорию для дифференциации</v>
      </c>
      <c r="CZ120" s="1544"/>
      <c r="DA120" s="1544"/>
    </row>
    <row r="121" spans="1:105" s="1562" customFormat="1" ht="0" hidden="1" customHeight="1">
      <c r="A121" s="1237"/>
      <c r="B121" s="1237"/>
      <c r="C121" s="1237"/>
      <c r="D121" s="1237"/>
      <c r="E121" s="1265"/>
      <c r="F121" s="1237"/>
      <c r="G121" s="1237"/>
      <c r="H121" s="1237"/>
      <c r="I121" s="1237"/>
      <c r="J121" s="1237"/>
      <c r="K121" s="1237"/>
      <c r="L121" s="1376"/>
      <c r="M121" s="1244"/>
      <c r="N121" s="1244"/>
      <c r="P121" s="1239"/>
      <c r="Q121" s="1240"/>
      <c r="R121" s="1239"/>
      <c r="S121" s="1245"/>
      <c r="T121" s="1248" t="s">
        <v>262</v>
      </c>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c r="CB121" s="1247"/>
      <c r="CC121" s="1247"/>
      <c r="CD121" s="1247"/>
      <c r="CE121" s="1247"/>
      <c r="CF121" s="1247"/>
      <c r="CG121" s="1247"/>
      <c r="CH121" s="1247"/>
      <c r="CI121" s="1247"/>
      <c r="CJ121" s="1247"/>
      <c r="CK121" s="1247"/>
      <c r="CL121" s="1247"/>
      <c r="CM121" s="1247"/>
      <c r="CN121" s="1247"/>
      <c r="CO121" s="1247"/>
      <c r="CP121" s="1247"/>
      <c r="CQ121" s="1247"/>
      <c r="CR121" s="1247"/>
      <c r="CS121" s="1247"/>
      <c r="CT121" s="1247"/>
      <c r="CU121" s="1247"/>
      <c r="CV121" s="1247"/>
      <c r="CX121" s="703"/>
      <c r="CY121" s="703" t="str">
        <f t="shared" si="3"/>
        <v>Добавить наименование тарифа</v>
      </c>
      <c r="CZ121" s="703"/>
      <c r="DA121" s="703"/>
    </row>
    <row r="122" spans="1:105" ht="11.25" customHeight="1">
      <c r="M122" s="1065"/>
      <c r="N122" s="1065"/>
      <c r="O122" s="460"/>
      <c r="P122" s="1060"/>
      <c r="Q122" s="1060"/>
      <c r="R122" s="1060"/>
      <c r="S122" s="1060"/>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c r="CF122" s="1555"/>
      <c r="CG122" s="1555"/>
      <c r="CH122" s="1555"/>
      <c r="CI122" s="1555"/>
      <c r="CJ122" s="1555"/>
      <c r="CK122" s="1555"/>
      <c r="CL122" s="1555"/>
      <c r="CM122" s="1555"/>
      <c r="CN122" s="1555"/>
      <c r="CO122" s="1555"/>
      <c r="CP122" s="1555"/>
      <c r="CQ122" s="1555"/>
      <c r="CR122" s="1555"/>
      <c r="CS122" s="1555"/>
      <c r="CT122" s="1555"/>
      <c r="CW122" s="1060"/>
      <c r="CX122" s="1060"/>
      <c r="CY122" s="1060"/>
      <c r="CZ122" s="1060"/>
      <c r="DA122" s="1060"/>
    </row>
    <row r="123" spans="1:105" ht="14.25" customHeight="1">
      <c r="O123" s="460"/>
      <c r="S123" s="1169"/>
      <c r="T123" s="3928"/>
      <c r="U123" s="3928"/>
      <c r="V123" s="3928"/>
      <c r="W123" s="3928"/>
      <c r="X123" s="3928"/>
      <c r="Y123" s="3928"/>
      <c r="Z123" s="3928"/>
      <c r="AA123" s="3928"/>
      <c r="AB123" s="3928"/>
      <c r="AC123" s="3928"/>
      <c r="AD123" s="3928"/>
      <c r="AE123" s="3928"/>
      <c r="AF123" s="3928"/>
      <c r="AG123" s="3928"/>
      <c r="AH123" s="3928"/>
      <c r="AI123" s="3928"/>
      <c r="AJ123" s="3928"/>
      <c r="AK123" s="3928"/>
      <c r="AL123" s="3928"/>
      <c r="AM123" s="3928"/>
      <c r="AN123" s="3928"/>
      <c r="AO123" s="3928"/>
      <c r="AP123" s="3928"/>
      <c r="AQ123" s="3928"/>
      <c r="AR123" s="3928"/>
      <c r="AS123" s="3928"/>
      <c r="AT123" s="3928"/>
      <c r="AU123" s="3928"/>
      <c r="AV123" s="3928"/>
      <c r="AW123" s="3928"/>
      <c r="AX123" s="3928"/>
      <c r="AY123" s="3928"/>
      <c r="AZ123" s="3928"/>
      <c r="BA123" s="3928"/>
      <c r="BB123" s="3928"/>
      <c r="BC123" s="3928"/>
      <c r="BD123" s="3928"/>
      <c r="BE123" s="3928"/>
      <c r="BF123" s="3928"/>
      <c r="BG123" s="3928"/>
      <c r="BH123" s="3928"/>
      <c r="BI123" s="3928"/>
      <c r="BJ123" s="3928"/>
      <c r="BK123" s="3928"/>
      <c r="BL123" s="3928"/>
      <c r="BM123" s="3928"/>
      <c r="BN123" s="3928"/>
      <c r="BO123" s="3928"/>
      <c r="BP123" s="3928"/>
      <c r="BQ123" s="3928"/>
      <c r="BR123" s="3928"/>
      <c r="BS123" s="3928"/>
      <c r="BT123" s="3928"/>
      <c r="BU123" s="3928"/>
      <c r="BV123" s="3928"/>
      <c r="BW123" s="3928"/>
      <c r="BX123" s="3928"/>
      <c r="BY123" s="3928"/>
      <c r="BZ123" s="3928"/>
      <c r="CA123" s="3928"/>
      <c r="CB123" s="3928"/>
      <c r="CC123" s="3928"/>
      <c r="CD123" s="3928"/>
      <c r="CE123" s="3928"/>
      <c r="CF123" s="3928"/>
      <c r="CG123" s="3928"/>
      <c r="CH123" s="3928"/>
      <c r="CI123" s="3928"/>
      <c r="CJ123" s="3928"/>
      <c r="CK123" s="3928"/>
      <c r="CL123" s="3928"/>
      <c r="CM123" s="3928"/>
      <c r="CN123" s="3928"/>
      <c r="CO123" s="3928"/>
      <c r="CP123" s="3928"/>
      <c r="CQ123" s="3928"/>
      <c r="CR123" s="3928"/>
      <c r="CS123" s="3928"/>
      <c r="CT123" s="3928"/>
      <c r="CU123" s="3928"/>
      <c r="CV123" s="3928"/>
    </row>
    <row r="124" spans="1:105" ht="14.25" customHeight="1">
      <c r="O124" s="460"/>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555"/>
      <c r="BW124" s="1555"/>
      <c r="BX124" s="1555"/>
      <c r="BY124" s="1555"/>
      <c r="BZ124" s="1555"/>
      <c r="CA124" s="1555"/>
      <c r="CB124" s="1555"/>
      <c r="CC124" s="1555"/>
      <c r="CD124" s="1555"/>
      <c r="CE124" s="1555"/>
      <c r="CF124" s="1555"/>
      <c r="CG124" s="1555"/>
      <c r="CH124" s="1555"/>
      <c r="CI124" s="1555"/>
      <c r="CJ124" s="1555"/>
      <c r="CK124" s="1555"/>
      <c r="CL124" s="1555"/>
      <c r="CM124" s="1555"/>
      <c r="CN124" s="1555"/>
      <c r="CO124" s="1555"/>
      <c r="CP124" s="1555"/>
      <c r="CQ124" s="1555"/>
      <c r="CR124" s="1555"/>
      <c r="CS124" s="1555"/>
      <c r="CT124" s="1555"/>
    </row>
    <row r="125" spans="1:105" ht="14.25" customHeight="1">
      <c r="O125" s="460"/>
      <c r="S125" s="1169"/>
      <c r="T125" s="3928"/>
      <c r="U125" s="3928"/>
      <c r="V125" s="3928"/>
      <c r="W125" s="3928"/>
      <c r="X125" s="3928"/>
      <c r="Y125" s="3928"/>
      <c r="Z125" s="3928"/>
      <c r="AA125" s="3928"/>
      <c r="AB125" s="3928"/>
      <c r="AC125" s="3928"/>
      <c r="AD125" s="3928"/>
      <c r="AE125" s="3928"/>
      <c r="AF125" s="3928"/>
      <c r="AG125" s="3928"/>
      <c r="AH125" s="3928"/>
      <c r="AI125" s="3928"/>
      <c r="AJ125" s="3928"/>
      <c r="AK125" s="3928"/>
      <c r="AL125" s="3928"/>
      <c r="AM125" s="3928"/>
      <c r="AN125" s="3928"/>
      <c r="AO125" s="3928"/>
      <c r="AP125" s="3928"/>
      <c r="AQ125" s="3928"/>
      <c r="AR125" s="3928"/>
      <c r="AS125" s="3928"/>
      <c r="AT125" s="3928"/>
      <c r="AU125" s="3928"/>
      <c r="AV125" s="3928"/>
      <c r="AW125" s="3928"/>
      <c r="AX125" s="3928"/>
      <c r="AY125" s="3928"/>
      <c r="AZ125" s="3928"/>
      <c r="BA125" s="3928"/>
      <c r="BB125" s="3928"/>
      <c r="BC125" s="3928"/>
      <c r="BD125" s="3928"/>
      <c r="BE125" s="3928"/>
      <c r="BF125" s="3928"/>
      <c r="BG125" s="3928"/>
      <c r="BH125" s="3928"/>
      <c r="BI125" s="3928"/>
      <c r="BJ125" s="3928"/>
      <c r="BK125" s="3928"/>
      <c r="BL125" s="3928"/>
      <c r="BM125" s="3928"/>
      <c r="BN125" s="3928"/>
      <c r="BO125" s="3928"/>
      <c r="BP125" s="3928"/>
      <c r="BQ125" s="3928"/>
      <c r="BR125" s="3928"/>
      <c r="BS125" s="3928"/>
      <c r="BT125" s="3928"/>
      <c r="BU125" s="3928"/>
      <c r="BV125" s="3928"/>
      <c r="BW125" s="3928"/>
      <c r="BX125" s="3928"/>
      <c r="BY125" s="3928"/>
      <c r="BZ125" s="3928"/>
      <c r="CA125" s="3928"/>
      <c r="CB125" s="3928"/>
      <c r="CC125" s="3928"/>
      <c r="CD125" s="3928"/>
      <c r="CE125" s="3928"/>
      <c r="CF125" s="3928"/>
      <c r="CG125" s="3928"/>
      <c r="CH125" s="3928"/>
      <c r="CI125" s="3928"/>
      <c r="CJ125" s="3928"/>
      <c r="CK125" s="3928"/>
      <c r="CL125" s="3928"/>
      <c r="CM125" s="3928"/>
      <c r="CN125" s="3928"/>
      <c r="CO125" s="3928"/>
      <c r="CP125" s="3928"/>
      <c r="CQ125" s="3928"/>
      <c r="CR125" s="3928"/>
      <c r="CS125" s="3928"/>
      <c r="CT125" s="3928"/>
      <c r="CU125" s="3928"/>
      <c r="CV125" s="3928"/>
    </row>
  </sheetData>
  <sheetProtection formatColumns="0" formatRows="0" insertRows="0" deleteColumns="0" deleteRows="0" sort="0" autoFilter="0"/>
  <mergeCells count="796">
    <mergeCell ref="CJ114:CJ115"/>
    <mergeCell ref="CK114:CK115"/>
    <mergeCell ref="CL114:CL115"/>
    <mergeCell ref="CM114:CM115"/>
    <mergeCell ref="CQ114:CQ115"/>
    <mergeCell ref="CR114:CR115"/>
    <mergeCell ref="CS114:CS115"/>
    <mergeCell ref="CT114:CT115"/>
    <mergeCell ref="BR114:BR115"/>
    <mergeCell ref="BV114:BV115"/>
    <mergeCell ref="BW114:BW115"/>
    <mergeCell ref="BX114:BX115"/>
    <mergeCell ref="BY114:BY115"/>
    <mergeCell ref="CC114:CC115"/>
    <mergeCell ref="CD114:CD115"/>
    <mergeCell ref="CE114:CE115"/>
    <mergeCell ref="CF114:CF115"/>
    <mergeCell ref="BC114:BC115"/>
    <mergeCell ref="BD114:BD115"/>
    <mergeCell ref="BH114:BH115"/>
    <mergeCell ref="BI114:BI115"/>
    <mergeCell ref="BJ114:BJ115"/>
    <mergeCell ref="BK114:BK115"/>
    <mergeCell ref="BO114:BO115"/>
    <mergeCell ref="BP114:BP115"/>
    <mergeCell ref="BQ114:BQ115"/>
    <mergeCell ref="CM98:CM99"/>
    <mergeCell ref="CQ98:CQ99"/>
    <mergeCell ref="CR98:CR99"/>
    <mergeCell ref="CS98:CS99"/>
    <mergeCell ref="CT98:CT99"/>
    <mergeCell ref="J113:J116"/>
    <mergeCell ref="Q113:Q116"/>
    <mergeCell ref="K114:K115"/>
    <mergeCell ref="Y114:Y115"/>
    <mergeCell ref="V113:AB113"/>
    <mergeCell ref="AC113:CU113"/>
    <mergeCell ref="Z114:Z115"/>
    <mergeCell ref="AA114:AA115"/>
    <mergeCell ref="AB114:AB115"/>
    <mergeCell ref="AF114:AF115"/>
    <mergeCell ref="AI114:AI115"/>
    <mergeCell ref="AG114:AG115"/>
    <mergeCell ref="AH114:AH115"/>
    <mergeCell ref="AM114:AM115"/>
    <mergeCell ref="AN114:AN115"/>
    <mergeCell ref="AO114:AO115"/>
    <mergeCell ref="AP114:AP115"/>
    <mergeCell ref="AT114:AT115"/>
    <mergeCell ref="AU114:AU115"/>
    <mergeCell ref="CV98:CV99"/>
    <mergeCell ref="AI98:AI99"/>
    <mergeCell ref="AG98:AG99"/>
    <mergeCell ref="AH98:AH99"/>
    <mergeCell ref="AM98:AM99"/>
    <mergeCell ref="AN98:AN99"/>
    <mergeCell ref="AO98:AO99"/>
    <mergeCell ref="AP98:AP99"/>
    <mergeCell ref="AT98:AT99"/>
    <mergeCell ref="AU98:AU99"/>
    <mergeCell ref="AV98:AV99"/>
    <mergeCell ref="AW98:AW99"/>
    <mergeCell ref="BA98:BA99"/>
    <mergeCell ref="BB98:BB99"/>
    <mergeCell ref="BC98:BC99"/>
    <mergeCell ref="BD98:BD99"/>
    <mergeCell ref="BH98:BH99"/>
    <mergeCell ref="BI98:BI99"/>
    <mergeCell ref="BJ98:BJ99"/>
    <mergeCell ref="BK98:BK99"/>
    <mergeCell ref="BO98:BO99"/>
    <mergeCell ref="BP98:BP99"/>
    <mergeCell ref="BQ98:BQ99"/>
    <mergeCell ref="BR98:BR99"/>
    <mergeCell ref="CR82:CR83"/>
    <mergeCell ref="CS82:CS83"/>
    <mergeCell ref="CT82:CT83"/>
    <mergeCell ref="J97:J100"/>
    <mergeCell ref="Q97:Q100"/>
    <mergeCell ref="K98:K99"/>
    <mergeCell ref="Y98:Y99"/>
    <mergeCell ref="V97:AB97"/>
    <mergeCell ref="AC97:CU97"/>
    <mergeCell ref="Z98:Z99"/>
    <mergeCell ref="AA98:AA99"/>
    <mergeCell ref="AB98:AB99"/>
    <mergeCell ref="AF98:AF99"/>
    <mergeCell ref="BV98:BV99"/>
    <mergeCell ref="BW98:BW99"/>
    <mergeCell ref="BX98:BX99"/>
    <mergeCell ref="BY98:BY99"/>
    <mergeCell ref="CC98:CC99"/>
    <mergeCell ref="CD98:CD99"/>
    <mergeCell ref="CE98:CE99"/>
    <mergeCell ref="CF98:CF99"/>
    <mergeCell ref="CJ98:CJ99"/>
    <mergeCell ref="CK98:CK99"/>
    <mergeCell ref="CL98:CL99"/>
    <mergeCell ref="CV82:CV83"/>
    <mergeCell ref="AI82:AI83"/>
    <mergeCell ref="AG82:AG83"/>
    <mergeCell ref="AH82:AH83"/>
    <mergeCell ref="AM82:AM83"/>
    <mergeCell ref="AN82:AN83"/>
    <mergeCell ref="AO82:AO83"/>
    <mergeCell ref="AP82:AP83"/>
    <mergeCell ref="AT82:AT83"/>
    <mergeCell ref="AU82:AU83"/>
    <mergeCell ref="AV82:AV83"/>
    <mergeCell ref="AW82:AW83"/>
    <mergeCell ref="BA82:BA83"/>
    <mergeCell ref="BB82:BB83"/>
    <mergeCell ref="BC82:BC83"/>
    <mergeCell ref="BD82:BD83"/>
    <mergeCell ref="BH82:BH83"/>
    <mergeCell ref="BI82:BI83"/>
    <mergeCell ref="BJ82:BJ83"/>
    <mergeCell ref="BK82:BK83"/>
    <mergeCell ref="BO82:BO83"/>
    <mergeCell ref="BP82:BP83"/>
    <mergeCell ref="BQ82:BQ83"/>
    <mergeCell ref="BR82:BR83"/>
    <mergeCell ref="CT66:CT67"/>
    <mergeCell ref="J81:J84"/>
    <mergeCell ref="Q81:Q84"/>
    <mergeCell ref="K82:K83"/>
    <mergeCell ref="Y82:Y83"/>
    <mergeCell ref="V81:AB81"/>
    <mergeCell ref="AC81:CU81"/>
    <mergeCell ref="Z82:Z83"/>
    <mergeCell ref="AA82:AA83"/>
    <mergeCell ref="AB82:AB83"/>
    <mergeCell ref="AF82:AF83"/>
    <mergeCell ref="BV82:BV83"/>
    <mergeCell ref="BW82:BW83"/>
    <mergeCell ref="BX82:BX83"/>
    <mergeCell ref="BY82:BY83"/>
    <mergeCell ref="CC82:CC83"/>
    <mergeCell ref="CD82:CD83"/>
    <mergeCell ref="CE82:CE83"/>
    <mergeCell ref="CF82:CF83"/>
    <mergeCell ref="CJ82:CJ83"/>
    <mergeCell ref="CK82:CK83"/>
    <mergeCell ref="CL82:CL83"/>
    <mergeCell ref="CM82:CM83"/>
    <mergeCell ref="CQ82:CQ83"/>
    <mergeCell ref="CE66:CE67"/>
    <mergeCell ref="CF66:CF67"/>
    <mergeCell ref="CJ66:CJ67"/>
    <mergeCell ref="CK66:CK67"/>
    <mergeCell ref="CL66:CL67"/>
    <mergeCell ref="CM66:CM67"/>
    <mergeCell ref="CQ66:CQ67"/>
    <mergeCell ref="CR66:CR67"/>
    <mergeCell ref="CS66:CS67"/>
    <mergeCell ref="CV66:CV67"/>
    <mergeCell ref="AI66:AI67"/>
    <mergeCell ref="AG66:AG67"/>
    <mergeCell ref="AH66:AH67"/>
    <mergeCell ref="AM66:AM67"/>
    <mergeCell ref="AN66:AN67"/>
    <mergeCell ref="AO66:AO67"/>
    <mergeCell ref="AP66:AP67"/>
    <mergeCell ref="AT66:AT67"/>
    <mergeCell ref="AU66:AU67"/>
    <mergeCell ref="AV66:AV67"/>
    <mergeCell ref="AW66:AW67"/>
    <mergeCell ref="BA66:BA67"/>
    <mergeCell ref="BB66:BB67"/>
    <mergeCell ref="BC66:BC67"/>
    <mergeCell ref="BD66:BD67"/>
    <mergeCell ref="BH66:BH67"/>
    <mergeCell ref="BI66:BI67"/>
    <mergeCell ref="BJ66:BJ67"/>
    <mergeCell ref="BK66:BK67"/>
    <mergeCell ref="BO66:BO67"/>
    <mergeCell ref="BP66:BP67"/>
    <mergeCell ref="BQ66:BQ67"/>
    <mergeCell ref="BR66:BR67"/>
    <mergeCell ref="CQ94:CQ95"/>
    <mergeCell ref="CR94:CR95"/>
    <mergeCell ref="CS94:CS95"/>
    <mergeCell ref="CT94:CT95"/>
    <mergeCell ref="CQ110:CQ111"/>
    <mergeCell ref="CR110:CR111"/>
    <mergeCell ref="CS110:CS111"/>
    <mergeCell ref="CT110:CT111"/>
    <mergeCell ref="J65:J68"/>
    <mergeCell ref="Q65:Q68"/>
    <mergeCell ref="K66:K67"/>
    <mergeCell ref="Y66:Y67"/>
    <mergeCell ref="V65:AB65"/>
    <mergeCell ref="AC65:CU65"/>
    <mergeCell ref="Z66:Z67"/>
    <mergeCell ref="AA66:AA67"/>
    <mergeCell ref="AB66:AB67"/>
    <mergeCell ref="AF66:AF67"/>
    <mergeCell ref="BV66:BV67"/>
    <mergeCell ref="BW66:BW67"/>
    <mergeCell ref="BX66:BX67"/>
    <mergeCell ref="BY66:BY67"/>
    <mergeCell ref="CC66:CC67"/>
    <mergeCell ref="CD66:CD67"/>
    <mergeCell ref="CN32:CS32"/>
    <mergeCell ref="CN33:CS33"/>
    <mergeCell ref="CR40:CS40"/>
    <mergeCell ref="CN37:CS37"/>
    <mergeCell ref="CT37:CT39"/>
    <mergeCell ref="CO38:CP38"/>
    <mergeCell ref="CQ7:CQ8"/>
    <mergeCell ref="CR7:CR8"/>
    <mergeCell ref="CS7:CS8"/>
    <mergeCell ref="CT7:CT8"/>
    <mergeCell ref="CN27:CS27"/>
    <mergeCell ref="CN28:CS28"/>
    <mergeCell ref="CN29:CS29"/>
    <mergeCell ref="CN30:CS30"/>
    <mergeCell ref="CQ38:CS38"/>
    <mergeCell ref="CR39:CS39"/>
    <mergeCell ref="CJ94:CJ95"/>
    <mergeCell ref="CK94:CK95"/>
    <mergeCell ref="CL94:CL95"/>
    <mergeCell ref="CM94:CM95"/>
    <mergeCell ref="CJ110:CJ111"/>
    <mergeCell ref="CK110:CK111"/>
    <mergeCell ref="CL110:CL111"/>
    <mergeCell ref="CM110:CM111"/>
    <mergeCell ref="CN35:CT35"/>
    <mergeCell ref="CQ46:CQ47"/>
    <mergeCell ref="CR46:CR47"/>
    <mergeCell ref="CS46:CS47"/>
    <mergeCell ref="CT46:CT47"/>
    <mergeCell ref="CQ50:CQ51"/>
    <mergeCell ref="CR50:CR51"/>
    <mergeCell ref="CS50:CS51"/>
    <mergeCell ref="CT50:CT51"/>
    <mergeCell ref="CQ62:CQ63"/>
    <mergeCell ref="CR62:CR63"/>
    <mergeCell ref="CS62:CS63"/>
    <mergeCell ref="CT62:CT63"/>
    <mergeCell ref="CQ78:CQ79"/>
    <mergeCell ref="CR78:CR79"/>
    <mergeCell ref="CS78:CS79"/>
    <mergeCell ref="CG32:CL32"/>
    <mergeCell ref="CG33:CL33"/>
    <mergeCell ref="CK40:CL40"/>
    <mergeCell ref="CG37:CL37"/>
    <mergeCell ref="CM37:CM39"/>
    <mergeCell ref="CH38:CI38"/>
    <mergeCell ref="CJ7:CJ8"/>
    <mergeCell ref="CK7:CK8"/>
    <mergeCell ref="CL7:CL8"/>
    <mergeCell ref="CM7:CM8"/>
    <mergeCell ref="CG27:CL27"/>
    <mergeCell ref="CG28:CL28"/>
    <mergeCell ref="CG29:CL29"/>
    <mergeCell ref="CG30:CL30"/>
    <mergeCell ref="CJ38:CL38"/>
    <mergeCell ref="CK39:CL39"/>
    <mergeCell ref="CC94:CC95"/>
    <mergeCell ref="CD94:CD95"/>
    <mergeCell ref="CE94:CE95"/>
    <mergeCell ref="CF94:CF95"/>
    <mergeCell ref="CC110:CC111"/>
    <mergeCell ref="CD110:CD111"/>
    <mergeCell ref="CE110:CE111"/>
    <mergeCell ref="CF110:CF111"/>
    <mergeCell ref="CG35:CM35"/>
    <mergeCell ref="CJ46:CJ47"/>
    <mergeCell ref="CK46:CK47"/>
    <mergeCell ref="CL46:CL47"/>
    <mergeCell ref="CM46:CM47"/>
    <mergeCell ref="CJ50:CJ51"/>
    <mergeCell ref="CK50:CK51"/>
    <mergeCell ref="CL50:CL51"/>
    <mergeCell ref="CM50:CM51"/>
    <mergeCell ref="CJ62:CJ63"/>
    <mergeCell ref="CK62:CK63"/>
    <mergeCell ref="CL62:CL63"/>
    <mergeCell ref="CM62:CM63"/>
    <mergeCell ref="CJ78:CJ79"/>
    <mergeCell ref="CK78:CK79"/>
    <mergeCell ref="CL78:CL79"/>
    <mergeCell ref="BZ32:CE32"/>
    <mergeCell ref="BZ33:CE33"/>
    <mergeCell ref="CD40:CE40"/>
    <mergeCell ref="BZ37:CE37"/>
    <mergeCell ref="CF37:CF39"/>
    <mergeCell ref="CA38:CB38"/>
    <mergeCell ref="CC7:CC8"/>
    <mergeCell ref="CD7:CD8"/>
    <mergeCell ref="CE7:CE8"/>
    <mergeCell ref="CF7:CF8"/>
    <mergeCell ref="BZ27:CE27"/>
    <mergeCell ref="BZ28:CE28"/>
    <mergeCell ref="BZ29:CE29"/>
    <mergeCell ref="BZ30:CE30"/>
    <mergeCell ref="CC38:CE38"/>
    <mergeCell ref="CD39:CE39"/>
    <mergeCell ref="BV94:BV95"/>
    <mergeCell ref="BW94:BW95"/>
    <mergeCell ref="BX94:BX95"/>
    <mergeCell ref="BY94:BY95"/>
    <mergeCell ref="BV110:BV111"/>
    <mergeCell ref="BW110:BW111"/>
    <mergeCell ref="BX110:BX111"/>
    <mergeCell ref="BY110:BY111"/>
    <mergeCell ref="BZ35:CF35"/>
    <mergeCell ref="CC46:CC47"/>
    <mergeCell ref="CD46:CD47"/>
    <mergeCell ref="CE46:CE47"/>
    <mergeCell ref="CF46:CF47"/>
    <mergeCell ref="CC50:CC51"/>
    <mergeCell ref="CD50:CD51"/>
    <mergeCell ref="CE50:CE51"/>
    <mergeCell ref="CF50:CF51"/>
    <mergeCell ref="CC62:CC63"/>
    <mergeCell ref="CD62:CD63"/>
    <mergeCell ref="CE62:CE63"/>
    <mergeCell ref="CF62:CF63"/>
    <mergeCell ref="CC78:CC79"/>
    <mergeCell ref="CD78:CD79"/>
    <mergeCell ref="CE78:CE79"/>
    <mergeCell ref="BS32:BX32"/>
    <mergeCell ref="BS33:BX33"/>
    <mergeCell ref="BW40:BX40"/>
    <mergeCell ref="BS37:BX37"/>
    <mergeCell ref="BY37:BY39"/>
    <mergeCell ref="BT38:BU38"/>
    <mergeCell ref="BV7:BV8"/>
    <mergeCell ref="BW7:BW8"/>
    <mergeCell ref="BX7:BX8"/>
    <mergeCell ref="BY7:BY8"/>
    <mergeCell ref="BS27:BX27"/>
    <mergeCell ref="BS28:BX28"/>
    <mergeCell ref="BS29:BX29"/>
    <mergeCell ref="BS30:BX30"/>
    <mergeCell ref="BV38:BX38"/>
    <mergeCell ref="BW39:BX39"/>
    <mergeCell ref="BO94:BO95"/>
    <mergeCell ref="BP94:BP95"/>
    <mergeCell ref="BQ94:BQ95"/>
    <mergeCell ref="BR94:BR95"/>
    <mergeCell ref="BO110:BO111"/>
    <mergeCell ref="BP110:BP111"/>
    <mergeCell ref="BQ110:BQ111"/>
    <mergeCell ref="BR110:BR111"/>
    <mergeCell ref="BS35:BY35"/>
    <mergeCell ref="BV46:BV47"/>
    <mergeCell ref="BW46:BW47"/>
    <mergeCell ref="BX46:BX47"/>
    <mergeCell ref="BY46:BY47"/>
    <mergeCell ref="BV50:BV51"/>
    <mergeCell ref="BW50:BW51"/>
    <mergeCell ref="BX50:BX51"/>
    <mergeCell ref="BY50:BY51"/>
    <mergeCell ref="BV62:BV63"/>
    <mergeCell ref="BW62:BW63"/>
    <mergeCell ref="BX62:BX63"/>
    <mergeCell ref="BY62:BY63"/>
    <mergeCell ref="BV78:BV79"/>
    <mergeCell ref="BW78:BW79"/>
    <mergeCell ref="BX78:BX79"/>
    <mergeCell ref="BL32:BQ32"/>
    <mergeCell ref="BL33:BQ33"/>
    <mergeCell ref="BP40:BQ40"/>
    <mergeCell ref="BL37:BQ37"/>
    <mergeCell ref="BR37:BR39"/>
    <mergeCell ref="BM38:BN38"/>
    <mergeCell ref="BO7:BO8"/>
    <mergeCell ref="BP7:BP8"/>
    <mergeCell ref="BQ7:BQ8"/>
    <mergeCell ref="BR7:BR8"/>
    <mergeCell ref="BL27:BQ27"/>
    <mergeCell ref="BL28:BQ28"/>
    <mergeCell ref="BL29:BQ29"/>
    <mergeCell ref="BL30:BQ30"/>
    <mergeCell ref="BO38:BQ38"/>
    <mergeCell ref="BP39:BQ39"/>
    <mergeCell ref="BH94:BH95"/>
    <mergeCell ref="BI94:BI95"/>
    <mergeCell ref="BJ94:BJ95"/>
    <mergeCell ref="BK94:BK95"/>
    <mergeCell ref="BH110:BH111"/>
    <mergeCell ref="BI110:BI111"/>
    <mergeCell ref="BJ110:BJ111"/>
    <mergeCell ref="BK110:BK111"/>
    <mergeCell ref="BL35:BR35"/>
    <mergeCell ref="BO46:BO47"/>
    <mergeCell ref="BP46:BP47"/>
    <mergeCell ref="BQ46:BQ47"/>
    <mergeCell ref="BR46:BR47"/>
    <mergeCell ref="BO50:BO51"/>
    <mergeCell ref="BP50:BP51"/>
    <mergeCell ref="BQ50:BQ51"/>
    <mergeCell ref="BR50:BR51"/>
    <mergeCell ref="BO62:BO63"/>
    <mergeCell ref="BP62:BP63"/>
    <mergeCell ref="BQ62:BQ63"/>
    <mergeCell ref="BR62:BR63"/>
    <mergeCell ref="BO78:BO79"/>
    <mergeCell ref="BP78:BP79"/>
    <mergeCell ref="BQ78:BQ79"/>
    <mergeCell ref="BH46:BH47"/>
    <mergeCell ref="BI46:BI47"/>
    <mergeCell ref="BJ46:BJ47"/>
    <mergeCell ref="BK46:BK47"/>
    <mergeCell ref="BH50:BH51"/>
    <mergeCell ref="BI50:BI51"/>
    <mergeCell ref="BJ50:BJ51"/>
    <mergeCell ref="BK50:BK51"/>
    <mergeCell ref="BH62:BH63"/>
    <mergeCell ref="BI62:BI63"/>
    <mergeCell ref="BJ62:BJ63"/>
    <mergeCell ref="BK62:BK63"/>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D62:BD63"/>
    <mergeCell ref="BA78:BA79"/>
    <mergeCell ref="BB78:BB79"/>
    <mergeCell ref="BC78:BC79"/>
    <mergeCell ref="BD78:BD79"/>
    <mergeCell ref="BA94:BA95"/>
    <mergeCell ref="BB94:BB95"/>
    <mergeCell ref="BC94:BC95"/>
    <mergeCell ref="BD94:BD95"/>
    <mergeCell ref="BA7:BA8"/>
    <mergeCell ref="BB7:BB8"/>
    <mergeCell ref="BC7:BC8"/>
    <mergeCell ref="BD7:BD8"/>
    <mergeCell ref="AX27:BC27"/>
    <mergeCell ref="AX28:BC28"/>
    <mergeCell ref="AX29:BC29"/>
    <mergeCell ref="AX30:BC30"/>
    <mergeCell ref="BA38:BC38"/>
    <mergeCell ref="AW94:AW95"/>
    <mergeCell ref="AT110:AT111"/>
    <mergeCell ref="AU110:AU111"/>
    <mergeCell ref="AV110:AV111"/>
    <mergeCell ref="AW110:AW111"/>
    <mergeCell ref="AX35:BD35"/>
    <mergeCell ref="AX32:BC32"/>
    <mergeCell ref="AX33:BC33"/>
    <mergeCell ref="BB40:BC40"/>
    <mergeCell ref="AX37:BC37"/>
    <mergeCell ref="BD37:BD39"/>
    <mergeCell ref="AY38:AZ38"/>
    <mergeCell ref="BB39:BC39"/>
    <mergeCell ref="BA46:BA47"/>
    <mergeCell ref="BB46:BB47"/>
    <mergeCell ref="BC46:BC47"/>
    <mergeCell ref="BD46:BD47"/>
    <mergeCell ref="BA50:BA51"/>
    <mergeCell ref="BB50:BB51"/>
    <mergeCell ref="BC50:BC51"/>
    <mergeCell ref="BD50:BD51"/>
    <mergeCell ref="BA62:BA63"/>
    <mergeCell ref="BB62:BB63"/>
    <mergeCell ref="BC62:BC63"/>
    <mergeCell ref="AT46:AT47"/>
    <mergeCell ref="AU46:AU47"/>
    <mergeCell ref="AV46:AV47"/>
    <mergeCell ref="AW46:AW47"/>
    <mergeCell ref="AT50:AT51"/>
    <mergeCell ref="AU50:AU51"/>
    <mergeCell ref="AV50:AV51"/>
    <mergeCell ref="AW50:AW51"/>
    <mergeCell ref="AT62:AT63"/>
    <mergeCell ref="AU62:AU63"/>
    <mergeCell ref="AV62:AV63"/>
    <mergeCell ref="AW62:AW63"/>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P62:AP63"/>
    <mergeCell ref="AM78:AM79"/>
    <mergeCell ref="AN78:AN79"/>
    <mergeCell ref="AO78:AO79"/>
    <mergeCell ref="AP78:AP79"/>
    <mergeCell ref="AM94:AM95"/>
    <mergeCell ref="AN94:AN95"/>
    <mergeCell ref="AO94:AO95"/>
    <mergeCell ref="AP94:AP95"/>
    <mergeCell ref="AJ30:AO30"/>
    <mergeCell ref="AM38:AO38"/>
    <mergeCell ref="AN39:AO39"/>
    <mergeCell ref="AM46:AM47"/>
    <mergeCell ref="AN46:AN47"/>
    <mergeCell ref="AO46:AO47"/>
    <mergeCell ref="AP46:AP47"/>
    <mergeCell ref="AM50:AM51"/>
    <mergeCell ref="AN50:AN51"/>
    <mergeCell ref="AO50:AO51"/>
    <mergeCell ref="AP50:AP51"/>
    <mergeCell ref="AC49:CU49"/>
    <mergeCell ref="Z50:Z51"/>
    <mergeCell ref="AA50:AA51"/>
    <mergeCell ref="AB50:AB51"/>
    <mergeCell ref="AF50:AF51"/>
    <mergeCell ref="CV50:CV51"/>
    <mergeCell ref="AI50:AI51"/>
    <mergeCell ref="AG50:AG51"/>
    <mergeCell ref="AH50:AH51"/>
    <mergeCell ref="Z110:Z111"/>
    <mergeCell ref="AA110:AA111"/>
    <mergeCell ref="AB110:AB111"/>
    <mergeCell ref="AF110:AF111"/>
    <mergeCell ref="CV110:CV111"/>
    <mergeCell ref="E105:E120"/>
    <mergeCell ref="V105:AB105"/>
    <mergeCell ref="AC105:CU105"/>
    <mergeCell ref="AI110:AI111"/>
    <mergeCell ref="AG110:AG111"/>
    <mergeCell ref="AH110:AH111"/>
    <mergeCell ref="AM110:AM111"/>
    <mergeCell ref="AN110:AN111"/>
    <mergeCell ref="AO110:AO111"/>
    <mergeCell ref="AP110:AP111"/>
    <mergeCell ref="BA110:BA111"/>
    <mergeCell ref="BB110:BB111"/>
    <mergeCell ref="BC110:BC111"/>
    <mergeCell ref="BD110:BD111"/>
    <mergeCell ref="CV114:CV115"/>
    <mergeCell ref="AV114:AV115"/>
    <mergeCell ref="AW114:AW115"/>
    <mergeCell ref="BA114:BA115"/>
    <mergeCell ref="BB114:BB115"/>
    <mergeCell ref="CV94:CV95"/>
    <mergeCell ref="E89:E104"/>
    <mergeCell ref="V89:AB89"/>
    <mergeCell ref="AC89:CU89"/>
    <mergeCell ref="AI94:AI95"/>
    <mergeCell ref="AG94:AG95"/>
    <mergeCell ref="AH94:AH95"/>
    <mergeCell ref="F106:F119"/>
    <mergeCell ref="V106:AB106"/>
    <mergeCell ref="AC106:CU106"/>
    <mergeCell ref="G107:G118"/>
    <mergeCell ref="V107:AB107"/>
    <mergeCell ref="AC107:CU107"/>
    <mergeCell ref="H108:H118"/>
    <mergeCell ref="I108:I117"/>
    <mergeCell ref="P108:P117"/>
    <mergeCell ref="V108:AB108"/>
    <mergeCell ref="AC108:CU108"/>
    <mergeCell ref="J109:J112"/>
    <mergeCell ref="Q109:Q112"/>
    <mergeCell ref="K110:K111"/>
    <mergeCell ref="Y110:Y111"/>
    <mergeCell ref="V109:AB109"/>
    <mergeCell ref="AC109:CU109"/>
    <mergeCell ref="F90:F103"/>
    <mergeCell ref="V90:AB90"/>
    <mergeCell ref="AC90:CU90"/>
    <mergeCell ref="G91:G102"/>
    <mergeCell ref="V91:AB91"/>
    <mergeCell ref="AC91:CU91"/>
    <mergeCell ref="H92:H102"/>
    <mergeCell ref="I92:I101"/>
    <mergeCell ref="P92:P101"/>
    <mergeCell ref="V92:AB92"/>
    <mergeCell ref="AC92:CU92"/>
    <mergeCell ref="J93:J96"/>
    <mergeCell ref="Q93:Q96"/>
    <mergeCell ref="K94:K95"/>
    <mergeCell ref="Y94:Y95"/>
    <mergeCell ref="V93:AB93"/>
    <mergeCell ref="AC93:CU93"/>
    <mergeCell ref="Z94:Z95"/>
    <mergeCell ref="AA94:AA95"/>
    <mergeCell ref="AB94:AB95"/>
    <mergeCell ref="AF94:AF95"/>
    <mergeCell ref="AT94:AT95"/>
    <mergeCell ref="AU94:AU95"/>
    <mergeCell ref="AV94:AV95"/>
    <mergeCell ref="Z78:Z79"/>
    <mergeCell ref="AA78:AA79"/>
    <mergeCell ref="AB78:AB79"/>
    <mergeCell ref="AF78:AF79"/>
    <mergeCell ref="CV78:CV79"/>
    <mergeCell ref="E73:E88"/>
    <mergeCell ref="V73:AB73"/>
    <mergeCell ref="AC73:CU73"/>
    <mergeCell ref="AI78:AI79"/>
    <mergeCell ref="AG78:AG79"/>
    <mergeCell ref="AH78:AH79"/>
    <mergeCell ref="AT78:AT79"/>
    <mergeCell ref="AU78:AU79"/>
    <mergeCell ref="AV78:AV79"/>
    <mergeCell ref="AW78:AW79"/>
    <mergeCell ref="BH78:BH79"/>
    <mergeCell ref="BI78:BI79"/>
    <mergeCell ref="BJ78:BJ79"/>
    <mergeCell ref="BK78:BK79"/>
    <mergeCell ref="BR78:BR79"/>
    <mergeCell ref="BY78:BY79"/>
    <mergeCell ref="CF78:CF79"/>
    <mergeCell ref="CM78:CM79"/>
    <mergeCell ref="CT78:CT79"/>
    <mergeCell ref="CV62:CV63"/>
    <mergeCell ref="E57:E72"/>
    <mergeCell ref="V57:AB57"/>
    <mergeCell ref="AC57:CU57"/>
    <mergeCell ref="AI62:AI63"/>
    <mergeCell ref="AG62:AG63"/>
    <mergeCell ref="AH62:AH63"/>
    <mergeCell ref="F74:F87"/>
    <mergeCell ref="V74:AB74"/>
    <mergeCell ref="AC74:CU74"/>
    <mergeCell ref="G75:G86"/>
    <mergeCell ref="V75:AB75"/>
    <mergeCell ref="AC75:CU75"/>
    <mergeCell ref="H76:H86"/>
    <mergeCell ref="I76:I85"/>
    <mergeCell ref="P76:P85"/>
    <mergeCell ref="V76:AB76"/>
    <mergeCell ref="AC76:CU76"/>
    <mergeCell ref="J77:J80"/>
    <mergeCell ref="Q77:Q80"/>
    <mergeCell ref="K78:K79"/>
    <mergeCell ref="Y78:Y79"/>
    <mergeCell ref="V77:AB77"/>
    <mergeCell ref="AC77:CU77"/>
    <mergeCell ref="F58:F71"/>
    <mergeCell ref="V58:AB58"/>
    <mergeCell ref="AC58:CU58"/>
    <mergeCell ref="G59:G70"/>
    <mergeCell ref="V59:AB59"/>
    <mergeCell ref="AC59:CU59"/>
    <mergeCell ref="H60:H70"/>
    <mergeCell ref="I60:I69"/>
    <mergeCell ref="P60:P69"/>
    <mergeCell ref="V60:AB60"/>
    <mergeCell ref="AC60:CU60"/>
    <mergeCell ref="J61:J64"/>
    <mergeCell ref="Q61:Q64"/>
    <mergeCell ref="K62:K63"/>
    <mergeCell ref="Y62:Y63"/>
    <mergeCell ref="V61:AB61"/>
    <mergeCell ref="AC61:CU61"/>
    <mergeCell ref="Z62:Z63"/>
    <mergeCell ref="AA62:AA63"/>
    <mergeCell ref="AB62:AB63"/>
    <mergeCell ref="AF62:AF63"/>
    <mergeCell ref="AM62:AM63"/>
    <mergeCell ref="AN62:AN63"/>
    <mergeCell ref="AO62:AO63"/>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K46:K47"/>
    <mergeCell ref="Y46:Y47"/>
    <mergeCell ref="J49:J52"/>
    <mergeCell ref="Q49:Q52"/>
    <mergeCell ref="K50:K51"/>
    <mergeCell ref="Y50:Y51"/>
    <mergeCell ref="V49:AB49"/>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AJ29:AO29"/>
    <mergeCell ref="T123:CV123"/>
    <mergeCell ref="T125:CV125"/>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646 Z131182 Z196718 Z262254 Z327790 Z393326 Z458862 Z524398 Z589934 Z655470 Z721006 Z786542 Z852078 Z917614 Z983150 AB131182 AB458862 AB196718 AB262254 AB327790 AB393326 AB524398 AB589934 AB655470 AB721006 AB786542 AB852078 AB917614 AB983150 AB65646 AG65646 AG131182 AG196718 AG262254 AG327790 AG393326 AG458862 AG524398 AG589934 AG655470 AG721006 AG786542 AG852078 AG917614 AG983150 AI46 AN46 AP46 AU46 AW46 BB46 BD46 BI46 BK46 BP46 BR46 BW46 BY46 CD46 CF46 CK46 CM46 CR46 CT46 AI524398:CT524398 AI196718:CT196718 AI589934:CT589934 AI655470:CT655470 AI15 AI721006:CT721006 AI786542:CT786542 AI852078:CT852078 AI917614:CT917614 AI983150:CT983150 AI65646:CT65646 AI131182:CT131182 AI458862:CT458862 AI262254:CT262254 AG46 AI7 AN7 AP7 AU7 AW7 BB7 BD7 BI7 BK7 BP7 BR7 BW7 BY7 CD7 CF7 CK7 CM7 CR7 CT7 Z46 AB46 AG15 AG7 Z7 AB7 AI327790:CT327790 AI393326:CT393326 Z62 AB62 AG62 AI62 AN62 AP62 AU62 AW62 BB62 BD62 BI62 BK62 BP62 BR62 BW62 BY62 CD62 CF62 CK62 CM62 CR62 CT62 Z78 AB78 AG78 AI78 AN78 AP78 AU78 AW78 BB78 BD78 BI78 BK78 BP78 BR78 BW78 BY78 CD78 CF78 CK78 CM78 CR78 CT78 Z94 AB94 AG94 AI94 AN94 AP94 AU94 AW94 BB94 BD94 BI94 BK94 BP94 BR94 BW94 BY94 CD94 CF94 CK94 CM94 CR94 CT94 Z110 AB110 AG110 AI110 AN110 AP110 AU110 AW110 BB110 BD110 BI110 BK110 BP110 BR110 BW110 BY110 CD110 CF110 CK110 CM110 CR110 CT110 Z50 AB50 AG50 AI50 AN50 AP50 AU50 AW50 BB50 BD50 BI50 BK50 BP50 BR50 BW50 BY50 CD50 CF50 CK50 CM50 CR50 CT50 Z66 AB66 AG66 AI66 AN66 AP66 AU66 AW66 BB66 BD66 BI66 BK66 BP66 BR66 BW66 BY66 CD66 CF66 CK66 CM66 CR66 CT66 Z82 AB82 AG82 AI82 AN82 AP82 AU82 AW82 BB82 BD82 BI82 BK82 BP82 BR82 BW82 BY82 CD82 CF82 CK82 CM82 CR82 CT82 Z98 AB98 AG98 AI98 AN98 AP98 AU98 AW98 BB98 BD98 BI98 BK98 BP98 BR98 BW98 BY98 CD98 CF98 CK98 CM98 CR98 CT98 Z114 AB114 AG114 AI114 AN114 AP114 AU114 AW114 BB114 BD114 BI114 BK114 BP114 BR114 BW114 BY114 CD114 CF114 CK114 CM114 CR114 CT11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46 Y131182 Y196718 Y262254 Y327790 Y393326 Y458862 Y524398 Y589934 Y655470 Y721006 Y786542 Y852078 Y917614 Y983150 AA65646 AA131182 AA196718 AA262254 AA327790 AA393326 AA458862 AA524398 AA589934 AA655470 AA721006 AA786542 AA852078 AA917614 AA983150 AF15 AF65646 AF131182 AF196718 AF262254 AF327790 AF393326 AF458862 AF524398 AF589934 AF655470 AF721006 AF786542 AF852078 AF917614 AF983150 AH65646 AH131182 AH196718 AH262254 AH327790 AH393326 AH458862 AH524398 AH589934 AH655470 AH721006 AH786542 AH852078 AH917614 AH983150 AH46 AF46 AH15 Y46 AA46 AH7 AF7 Y7 AA7 Y62 AA62 AF62 AH62 Y78 AA78 AF78 AH78 Y94 AA94 AF94 AH94 Y110 AA110 AF110 AH110 Y50 AA50 AF50 AH50 AM7 AO7 AM46 AO46 AM50 AO50 AM62 AO62 AM78 AO78 AM94 AO94 AM110 AO110 AT7 AV7 AT46 AV46 AT50 AV50 AT62 AV62 AT78 AV78 AT94 AV94 AT110 AV110 BA7 BC7 BA46 BC46 BA50 BC50 BA62 BC62 BA78 BC78 BA94 BC94 BA110 BC110 BH7 BJ7 BH46 BJ46 BH50 BJ50 BH62 BJ62 BH78 BJ78 BH94 BJ94 BH110 BJ110 BO7 BQ7 BO46 BQ46 BO50 BQ50 BO62 BQ62 BO78 BQ78 BO94 BQ94 BO110 BQ110 BV7 BX7 BV46 BX46 BV50 BX50 BV62 BX62 BV78 BX78 BV94 BX94 BV110 BX110 CC7 CE7 CC46 CE46 CC50 CE50 CC62 CE62 CC78 CE78 CC94 CE94 CC110 CE110 CJ7 CL7 CJ46 CL46 CJ50 CL50 CJ62 CL62 CJ78 CL78 CJ94 CL94 CJ110 CL110 CQ7 CS7 CQ46 CS46 CQ50 CS50 CQ62 CS62 CQ78 CS78 CQ94 CS94 CQ110 CS110 Y66 AA66 AF66 AH66 AM66 AO66 AT66 AV66 BA66 BC66 BH66 BJ66 BO66 BQ66 BV66 BX66 CC66 CE66 CJ66 CL66 CQ66 CS66 Y82 AA82 AF82 AH82 AM82 AO82 AT82 AV82 BA82 BC82 BH82 BJ82 BO82 BQ82 BV82 BX82 CC82 CE82 CJ82 CL82 CQ82 CS82 Y98 AA98 AF98 AH98 AM98 AO98 AT98 AV98 BA98 BC98 BH98 BJ98 BO98 BQ98 BV98 BX98 CC98 CE98 CJ98 CL98 CQ98 CS98 Y114 AA114 AF114 AH114 AM114 AO114 AT114 AV114 BA114 BC114 BH114 BJ114 BO114 BQ114 BV114 BX114 CC114 CE114 CJ114 CL114 CQ114 CS114"/>
    <dataValidation type="list" allowBlank="1" showInputMessage="1" showErrorMessage="1" errorTitle="Ошибка" error="Выберите значение из списка" sqref="T65646 T131182 T196718 T262254 T327790 T393326 T458862 T524398 T589934 T655470 T721006 T786542 T852078 T917614 T983150">
      <formula1>kind_of_heat_transfer</formula1>
    </dataValidation>
    <dataValidation type="textLength" operator="lessThanOrEqual" allowBlank="1" showInputMessage="1" showErrorMessage="1" errorTitle="Ошибка" error="Допускается ввод не более 900 символов!" sqref="CV65640:CV65647 CV131176:CV131183 CV196712:CV196719 CV262248:CV262255 CV327784:CV327791 CV393320:CV393327 CV458856:CV458863 CV524392:CV524399 CV589928:CV589935 CV655464:CV655471 CV721000:CV721007 CV786536:CV786543 CV852072:CV852079 CV917608:CV917615 CV983144:CV983151 T46 T7 AC44:AI44 CU44 AC5:AI5 CU5 AC60 AD60 AE60 AF60 AG60 AH60 AI60 CU60 T62 AC76 AD76 AE76 AF76 AG76 AH76 AI76 CU76 T78 AC92 AD92 AE92 AF92 AG92 AH92 AI92 CU92 T94 AC108 AD108 AE108 AF108 AG108 AH108 AI108 CU108 T110 T50 T66 T82 T98 T114">
      <formula1>900</formula1>
    </dataValidation>
    <dataValidation type="list" allowBlank="1" showInputMessage="1" showErrorMessage="1" errorTitle="Ошибка" error="Выберите значение из списка" sqref="V983148 V65644 V131180 V196716 V262252 V327788 V393324 V458860 V524396 V589932 V655468 V721004 V786540 V852076 V917612 AC983148 AC65644 AC131180 AC196716 AC262252 AC327788 AC393324 AC458860 AC524396 AC589932 AC655468 AC721004 AC786540 AC852076 AC917612">
      <formula1>kind_of_scheme_in</formula1>
    </dataValidation>
    <dataValidation allowBlank="1" promptTitle="checkPeriodRange" sqref="X65647 X131183 X196719 X262255 X327791 X393327 X458863 X524399 X589935 X655471 X721007 X786543 X852079 X917615 X983151 AE16 AE65647 AE131183 AE196719 AE262255 AE327791 AE393327 AE458863 AE524399 AE589935 AE655471 AE721007 AE786543 AE852079 AE917615 AE983151 X47 AE8 X8 AE47 X63 AE63 X79 AE79 X95 AE95 X111 AE111 X51 AE51 AL8 AL47 AL51 AL63 AL79 AL95 AL111 AS8 AS47 AS51 AS63 AS79 AS95 AS111 AZ8 AZ47 AZ51 AZ63 AZ79 AZ95 AZ111 BG8 BG47 BG51 BG63 BG79 BG95 BG111 BN8 BN47 BN51 BN63 BN79 BN95 BN111 BU8 BU47 BU51 BU63 BU79 BU95 BU111 CB8 CB47 CB51 CB63 CB79 CB95 CB111 CI8 CI47 CI51 CI63 CI79 CI95 CI111 CP8 CP47 CP51 CP63 CP79 CP95 CP111 X67 AE67 AL67 AS67 AZ67 BG67 BN67 BU67 CB67 CI67 CP67 X83 AE83 AL83 AS83 AZ83 BG83 BN83 BU83 CB83 CI83 CP83 X99 AE99 AL99 AS99 AZ99 BG99 BN99 BU99 CB99 CI99 CP99 X115 AE115 AL115 AS115 AZ115 BG115 BN115 BU115 CB115 CI115 CP115"/>
    <dataValidation type="list" allowBlank="1" showInputMessage="1" errorTitle="Ошибка" error="Выберите значение из списка" prompt="Выберите значение из списка" sqref="V983149:CU983149 V65645:CU65645 V131181:CU131181 V196717:CU196717 V262253:CU262253 V327789:CU327789 V393325:CU393325 V458861:CU458861 V524397:CU524397 V589933:CU589933 V655469:CU655469 V721005:CU721005 V786541:CU786541 V852077:CU852077 V917613:CU917613">
      <formula1>kind_of_cons</formula1>
    </dataValidation>
    <dataValidation allowBlank="1" sqref="S131184:CV131190 S196720:CV196726 S262256:CV262262 S327792:CV327798 S393328:CV393334 S458864:CV458870 S524400:CV524406 S589936:CV589942 S655472:CV655478 S721008:CV721014 S786544:CV786550 S852080:CV852086 S917616:CV917622 S983152:CV983158 S65648:CV6565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908">
        <v>1</v>
      </c>
      <c r="F2" s="1284"/>
      <c r="G2" s="1284"/>
      <c r="H2" s="1284"/>
      <c r="I2" s="1284"/>
      <c r="J2" s="1284"/>
      <c r="K2" s="1284"/>
      <c r="L2" s="1285"/>
      <c r="M2" s="1286"/>
      <c r="N2" s="1286"/>
      <c r="O2" s="1286"/>
      <c r="P2" s="282"/>
      <c r="Q2" s="281"/>
      <c r="R2" s="276"/>
      <c r="S2" s="1375" t="e">
        <f>INDEX(PT_DIFFERENTIATION_NUM_NTAR,MATCH(A2,PT_DIFFERENTIATION_NTAR_ID,0))</f>
        <v>#N/A</v>
      </c>
      <c r="T2" s="212" t="s">
        <v>141</v>
      </c>
      <c r="U2" s="214"/>
      <c r="V2" s="3894"/>
      <c r="W2" s="3895"/>
      <c r="X2" s="3895"/>
      <c r="Y2" s="3895"/>
      <c r="Z2" s="3895"/>
      <c r="AA2" s="3895"/>
      <c r="AB2" s="3896"/>
      <c r="AC2" s="3894" t="e">
        <f>INDEX(PT_DIFFERENTIATION_NTAR,MATCH(A2,PT_DIFFERENTIATION_NTAR_ID,0))</f>
        <v>#N/A</v>
      </c>
      <c r="AD2" s="3895"/>
      <c r="AE2" s="3895"/>
      <c r="AF2" s="3895"/>
      <c r="AG2" s="3895"/>
      <c r="AH2" s="3895"/>
      <c r="AI2" s="3895"/>
      <c r="AJ2" s="38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909"/>
      <c r="F3" s="3908">
        <v>1</v>
      </c>
      <c r="G3" s="1284"/>
      <c r="H3" s="1284"/>
      <c r="I3" s="1284"/>
      <c r="J3" s="1284"/>
      <c r="K3" s="1284"/>
      <c r="L3" s="1285"/>
      <c r="M3" s="1286"/>
      <c r="N3" s="1286"/>
      <c r="O3" s="1286"/>
      <c r="P3" s="1371"/>
      <c r="Q3" s="273"/>
      <c r="R3" s="274"/>
      <c r="S3" s="1375" t="e">
        <f>INDEX(PT_DIFFERENTIATION_NUM_TER,MATCH(B3,PT_DIFFERENTIATION_TER_ID,0))</f>
        <v>#N/A</v>
      </c>
      <c r="T3" s="224" t="s">
        <v>428</v>
      </c>
      <c r="U3" s="214"/>
      <c r="V3" s="3894"/>
      <c r="W3" s="3895"/>
      <c r="X3" s="3895"/>
      <c r="Y3" s="3895"/>
      <c r="Z3" s="3895"/>
      <c r="AA3" s="3895"/>
      <c r="AB3" s="3896"/>
      <c r="AC3" s="3894" t="e">
        <f>INDEX(PT_DIFFERENTIATION_TER,MATCH(B3,PT_DIFFERENTIATION_TER_ID,0))</f>
        <v>#N/A</v>
      </c>
      <c r="AD3" s="3895"/>
      <c r="AE3" s="3895"/>
      <c r="AF3" s="3895"/>
      <c r="AG3" s="3895"/>
      <c r="AH3" s="3895"/>
      <c r="AI3" s="3895"/>
      <c r="AJ3" s="3896"/>
      <c r="AK3" s="1182" t="s">
        <v>429</v>
      </c>
      <c r="AM3" s="424"/>
      <c r="AN3" s="424" t="str">
        <f t="shared" si="0"/>
        <v>Территория действия тарифа</v>
      </c>
      <c r="AO3" s="424"/>
      <c r="AP3" s="424"/>
    </row>
    <row r="4" spans="1:42" ht="23.25" hidden="1" customHeight="1">
      <c r="A4" s="1284"/>
      <c r="B4" s="1284"/>
      <c r="C4" s="1284"/>
      <c r="D4" s="1284"/>
      <c r="E4" s="3909"/>
      <c r="F4" s="3909"/>
      <c r="G4" s="3908">
        <v>1</v>
      </c>
      <c r="H4" s="1284"/>
      <c r="I4" s="1284"/>
      <c r="J4" s="1284"/>
      <c r="K4" s="1284"/>
      <c r="L4" s="1285"/>
      <c r="M4" s="1286"/>
      <c r="N4" s="1286"/>
      <c r="O4" s="1286"/>
      <c r="P4" s="275"/>
      <c r="Q4" s="273"/>
      <c r="R4" s="274"/>
      <c r="S4" s="1375" t="e">
        <f>INDEX(PT_DIFFERENTIATION_NUM_CS,MATCH(C4,PT_DIFFERENTIATION_CS_ID,0))</f>
        <v>#N/A</v>
      </c>
      <c r="T4" s="225" t="s">
        <v>509</v>
      </c>
      <c r="U4" s="214"/>
      <c r="V4" s="3894"/>
      <c r="W4" s="3895"/>
      <c r="X4" s="3895"/>
      <c r="Y4" s="3895"/>
      <c r="Z4" s="3895"/>
      <c r="AA4" s="3895"/>
      <c r="AB4" s="3896"/>
      <c r="AC4" s="3894" t="e">
        <f>INDEX(PT_DIFFERENTIATION_CS,MATCH(C4,PT_DIFFERENTIATION_CS_ID,0))</f>
        <v>#N/A</v>
      </c>
      <c r="AD4" s="3895"/>
      <c r="AE4" s="3895"/>
      <c r="AF4" s="3895"/>
      <c r="AG4" s="3895"/>
      <c r="AH4" s="3895"/>
      <c r="AI4" s="3895"/>
      <c r="AJ4" s="3896"/>
      <c r="AK4" s="1182" t="s">
        <v>510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909"/>
      <c r="F5" s="3909"/>
      <c r="G5" s="3909"/>
      <c r="H5" s="3909"/>
      <c r="I5" s="3906" t="e">
        <f>S4&amp;".1"</f>
        <v>#N/A</v>
      </c>
      <c r="J5" s="1284"/>
      <c r="K5" s="1284"/>
      <c r="L5" s="1285"/>
      <c r="P5" s="3907">
        <v>1</v>
      </c>
      <c r="Q5" s="1368"/>
      <c r="R5" s="277"/>
      <c r="S5" s="1375" t="e">
        <f>$I5</f>
        <v>#N/A</v>
      </c>
      <c r="T5" s="200" t="s">
        <v>511</v>
      </c>
      <c r="U5" s="214"/>
      <c r="V5" s="3967"/>
      <c r="W5" s="3968"/>
      <c r="X5" s="3968"/>
      <c r="Y5" s="3968"/>
      <c r="Z5" s="3968"/>
      <c r="AA5" s="3968"/>
      <c r="AB5" s="3969"/>
      <c r="AC5" s="3970"/>
      <c r="AD5" s="3971"/>
      <c r="AE5" s="3971"/>
      <c r="AF5" s="3971"/>
      <c r="AG5" s="3971"/>
      <c r="AH5" s="3971"/>
      <c r="AI5" s="3971"/>
      <c r="AJ5" s="3972"/>
      <c r="AK5" s="1182" t="s">
        <v>512</v>
      </c>
      <c r="AM5" s="424"/>
      <c r="AN5" s="424" t="str">
        <f t="shared" si="0"/>
        <v>Наименование признака дифференциации</v>
      </c>
      <c r="AO5" s="424"/>
      <c r="AP5" s="424"/>
    </row>
    <row r="6" spans="1:42" ht="23.25" hidden="1" customHeight="1">
      <c r="A6" s="1284"/>
      <c r="B6" s="1284"/>
      <c r="C6" s="1284"/>
      <c r="D6" s="1284"/>
      <c r="E6" s="3909"/>
      <c r="F6" s="3909"/>
      <c r="G6" s="3909"/>
      <c r="H6" s="3909"/>
      <c r="I6" s="3929"/>
      <c r="J6" s="3906" t="e">
        <f>I5&amp;".1"</f>
        <v>#N/A</v>
      </c>
      <c r="K6" s="1284"/>
      <c r="L6" s="1285" t="s">
        <v>437</v>
      </c>
      <c r="P6" s="3907"/>
      <c r="Q6" s="3907">
        <v>1</v>
      </c>
      <c r="R6" s="278"/>
      <c r="S6" s="1375" t="e">
        <f>$J6</f>
        <v>#N/A</v>
      </c>
      <c r="T6" s="201" t="s">
        <v>438</v>
      </c>
      <c r="U6" s="214"/>
      <c r="V6" s="3897"/>
      <c r="W6" s="3898"/>
      <c r="X6" s="3898"/>
      <c r="Y6" s="3898"/>
      <c r="Z6" s="3898"/>
      <c r="AA6" s="3898"/>
      <c r="AB6" s="3899"/>
      <c r="AC6" s="3897"/>
      <c r="AD6" s="3898"/>
      <c r="AE6" s="3898"/>
      <c r="AF6" s="3898"/>
      <c r="AG6" s="3898"/>
      <c r="AH6" s="3898"/>
      <c r="AI6" s="3898"/>
      <c r="AJ6" s="3899"/>
      <c r="AK6" s="1231" t="s">
        <v>513</v>
      </c>
      <c r="AM6" s="424"/>
      <c r="AN6" s="424" t="str">
        <f t="shared" si="0"/>
        <v>Группа потребителей</v>
      </c>
      <c r="AO6" s="424"/>
      <c r="AP6" s="424"/>
    </row>
    <row r="7" spans="1:42" ht="23.25" hidden="1" customHeight="1">
      <c r="A7" s="1284"/>
      <c r="B7" s="1284"/>
      <c r="C7" s="1284"/>
      <c r="D7" s="1284"/>
      <c r="E7" s="3909"/>
      <c r="F7" s="3909"/>
      <c r="G7" s="3909"/>
      <c r="H7" s="3909"/>
      <c r="I7" s="3929"/>
      <c r="J7" s="3929"/>
      <c r="K7" s="3906" t="e">
        <f>J6&amp;".1"</f>
        <v>#N/A</v>
      </c>
      <c r="L7" s="1285"/>
      <c r="P7" s="3907"/>
      <c r="Q7" s="3907"/>
      <c r="R7" s="278">
        <v>1</v>
      </c>
      <c r="S7" s="1375" t="e">
        <f>$K7</f>
        <v>#N/A</v>
      </c>
      <c r="T7" s="1357"/>
      <c r="U7" s="214"/>
      <c r="V7" s="666"/>
      <c r="W7" s="666"/>
      <c r="X7" s="1181"/>
      <c r="Y7" s="3911"/>
      <c r="Z7" s="3759" t="s">
        <v>60</v>
      </c>
      <c r="AA7" s="3911"/>
      <c r="AB7" s="3759" t="s">
        <v>60</v>
      </c>
      <c r="AC7" s="666"/>
      <c r="AD7" s="666"/>
      <c r="AE7" s="1181"/>
      <c r="AF7" s="3911"/>
      <c r="AG7" s="3759" t="s">
        <v>60</v>
      </c>
      <c r="AH7" s="3930"/>
      <c r="AI7" s="3759" t="s">
        <v>60</v>
      </c>
      <c r="AJ7" s="1358"/>
      <c r="AK7"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909"/>
      <c r="F8" s="3909"/>
      <c r="G8" s="3909"/>
      <c r="H8" s="3909"/>
      <c r="I8" s="3929"/>
      <c r="J8" s="3929"/>
      <c r="K8" s="3906"/>
      <c r="L8" s="1285"/>
      <c r="P8" s="3907"/>
      <c r="Q8" s="3907"/>
      <c r="R8" s="278"/>
      <c r="S8" s="1374"/>
      <c r="T8" s="214"/>
      <c r="U8" s="214"/>
      <c r="V8" s="246"/>
      <c r="W8" s="246"/>
      <c r="X8" s="250" t="str">
        <f>Y7&amp;"-"&amp;AA7</f>
        <v>-</v>
      </c>
      <c r="Y8" s="3912"/>
      <c r="Z8" s="3759"/>
      <c r="AA8" s="3912"/>
      <c r="AB8" s="3759"/>
      <c r="AC8" s="246"/>
      <c r="AD8" s="246"/>
      <c r="AE8" s="250" t="str">
        <f>AF7&amp;"-"&amp;AH7</f>
        <v>-</v>
      </c>
      <c r="AF8" s="3912"/>
      <c r="AG8" s="3759"/>
      <c r="AH8" s="3931"/>
      <c r="AI8" s="3759"/>
      <c r="AJ8" s="1359"/>
      <c r="AK8" s="3966"/>
      <c r="AM8" s="424"/>
      <c r="AN8" s="424" t="str">
        <f t="shared" si="0"/>
        <v/>
      </c>
      <c r="AO8" s="424"/>
      <c r="AP8" s="424"/>
    </row>
    <row r="9" spans="1:42" ht="21" hidden="1" customHeight="1">
      <c r="A9" s="1284"/>
      <c r="B9" s="1284"/>
      <c r="C9" s="1284"/>
      <c r="D9" s="1284"/>
      <c r="E9" s="3909"/>
      <c r="F9" s="3909"/>
      <c r="G9" s="3909"/>
      <c r="H9" s="3909"/>
      <c r="I9" s="3929"/>
      <c r="J9" s="3906"/>
      <c r="K9" s="1284"/>
      <c r="L9" s="1285"/>
      <c r="P9" s="3907"/>
      <c r="Q9" s="3907"/>
      <c r="R9" s="277"/>
      <c r="S9" s="1203"/>
      <c r="T9" s="202" t="s">
        <v>514</v>
      </c>
      <c r="U9" s="291"/>
      <c r="V9" s="291"/>
      <c r="W9" s="291"/>
      <c r="X9" s="291"/>
      <c r="Y9" s="291"/>
      <c r="Z9" s="291"/>
      <c r="AA9" s="291"/>
      <c r="AB9" s="291"/>
      <c r="AC9" s="291"/>
      <c r="AD9" s="291"/>
      <c r="AE9" s="291"/>
      <c r="AF9" s="291"/>
      <c r="AG9" s="291"/>
      <c r="AH9" s="291"/>
      <c r="AI9" s="291"/>
      <c r="AJ9" s="291"/>
      <c r="AK9" s="1182" t="s">
        <v>515</v>
      </c>
      <c r="AM9" s="424"/>
      <c r="AN9" s="424" t="str">
        <f t="shared" si="0"/>
        <v>Добавить значение признака дифференциации</v>
      </c>
      <c r="AO9" s="424"/>
      <c r="AP9" s="424"/>
    </row>
    <row r="10" spans="1:42" ht="21" hidden="1" customHeight="1">
      <c r="A10" s="1284"/>
      <c r="B10" s="1284"/>
      <c r="C10" s="1284"/>
      <c r="D10" s="1284"/>
      <c r="E10" s="3909"/>
      <c r="F10" s="3909"/>
      <c r="G10" s="3909"/>
      <c r="H10" s="3909"/>
      <c r="I10" s="3906"/>
      <c r="J10" s="1284"/>
      <c r="K10" s="1284"/>
      <c r="L10" s="1285"/>
      <c r="P10" s="3907"/>
      <c r="Q10" s="1368"/>
      <c r="R10" s="277"/>
      <c r="S10" s="1203"/>
      <c r="T10" s="288" t="s">
        <v>443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909"/>
      <c r="F11" s="3909"/>
      <c r="G11" s="3909"/>
      <c r="H11" s="3908"/>
      <c r="I11" s="1284"/>
      <c r="J11" s="1284"/>
      <c r="K11" s="1284"/>
      <c r="L11" s="1285"/>
      <c r="M11" s="1286"/>
      <c r="N11" s="1286"/>
      <c r="O11" s="460"/>
      <c r="P11" s="281"/>
      <c r="Q11" s="299"/>
      <c r="R11" s="276"/>
      <c r="S11" s="1203"/>
      <c r="T11" s="296" t="s">
        <v>516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909"/>
      <c r="F12" s="3908"/>
      <c r="G12" s="1237"/>
      <c r="H12" s="1237"/>
      <c r="I12" s="1237"/>
      <c r="J12" s="1237"/>
      <c r="K12" s="1237"/>
      <c r="L12" s="1376"/>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908"/>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913"/>
      <c r="AG15" s="3914" t="s">
        <v>60</v>
      </c>
      <c r="AH15" s="3913"/>
      <c r="AI15" s="3914" t="s">
        <v>60</v>
      </c>
    </row>
    <row r="16" spans="1:42" ht="14.25" hidden="1" customHeight="1">
      <c r="AC16" s="1281"/>
      <c r="AD16" s="1281"/>
      <c r="AE16" s="250" t="str">
        <f>AF15&amp;"-"&amp;AH15</f>
        <v>-</v>
      </c>
      <c r="AF16" s="3914"/>
      <c r="AG16" s="3914"/>
      <c r="AH16" s="3914"/>
      <c r="AI16" s="3914"/>
    </row>
    <row r="17" spans="1:42" ht="14.25" hidden="1" customHeight="1">
      <c r="AI17" s="249"/>
    </row>
    <row r="18" spans="1:42" s="1287" customFormat="1" ht="22.5" hidden="1" customHeight="1">
      <c r="L18" s="1365"/>
      <c r="M18" s="1283"/>
      <c r="N18" s="1283"/>
      <c r="O18" s="1288" t="s">
        <v>446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447</v>
      </c>
      <c r="P20" s="1283"/>
      <c r="Q20" s="1361"/>
      <c r="R20" s="1361"/>
      <c r="S20" s="646"/>
      <c r="T20" s="1065" t="s">
        <v>448</v>
      </c>
      <c r="Z20" s="104" t="s">
        <v>449</v>
      </c>
      <c r="AB20" s="104" t="s">
        <v>450</v>
      </c>
      <c r="AC20" s="1065" t="s">
        <v>448</v>
      </c>
      <c r="AG20" s="104" t="s">
        <v>451</v>
      </c>
      <c r="AI20" s="104" t="s">
        <v>450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8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892"/>
      <c r="U24" s="3892"/>
      <c r="V24" s="3892"/>
      <c r="W24" s="3892"/>
      <c r="X24" s="3892"/>
      <c r="Y24" s="3892"/>
      <c r="Z24" s="3892"/>
      <c r="AA24" s="3892"/>
      <c r="AB24" s="3892"/>
      <c r="AC24" s="3892"/>
      <c r="AD24" s="3892"/>
      <c r="AE24" s="3892"/>
      <c r="AF24" s="3892"/>
      <c r="AG24" s="3892"/>
      <c r="AH24" s="3892"/>
      <c r="AI24" s="1157"/>
    </row>
    <row r="25" spans="1:42" ht="14.25" customHeight="1">
      <c r="Q25" s="300"/>
      <c r="R25" s="300"/>
      <c r="S25" s="3839" t="str">
        <f>IF(org=0,"Не определено",org)</f>
        <v>ГУП СК "Ставрополькрайводоканал"</v>
      </c>
      <c r="T25" s="3839"/>
      <c r="U25" s="3839"/>
      <c r="V25" s="3839"/>
      <c r="W25" s="3839"/>
      <c r="X25" s="3839"/>
      <c r="Y25" s="3839"/>
      <c r="Z25" s="3839"/>
      <c r="AA25" s="3839"/>
      <c r="AB25" s="3839"/>
      <c r="AC25" s="3839"/>
      <c r="AD25" s="3839"/>
      <c r="AE25" s="3839"/>
      <c r="AF25" s="3839"/>
      <c r="AG25" s="3839"/>
      <c r="AH25" s="383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900" t="s">
        <v>38</v>
      </c>
      <c r="T27" s="3900"/>
      <c r="U27" s="1293"/>
      <c r="V27" s="3901" t="str">
        <f>IF(TITLE_NAME_OR_PR_CHANGE="",IF(TITLE_NAME_OR_PR="","",TITLE_NAME_OR_PR),TITLE_NAME_OR_PR_CHANGE)</f>
        <v>Региональная тарифная комиссия Ставропольского края</v>
      </c>
      <c r="W27" s="3901"/>
      <c r="X27" s="3901"/>
      <c r="Y27" s="3901"/>
      <c r="Z27" s="3901"/>
      <c r="AA27" s="3901"/>
      <c r="AB27" s="248"/>
      <c r="AC27" s="3901" t="str">
        <f>IF(TITLE_NAME_OR_PR_CHANGE="",IF(TITLE_NAME_OR_PR="","",TITLE_NAME_OR_PR),TITLE_NAME_OR_PR_CHANGE)</f>
        <v>Региональная тарифная комиссия Ставропольского края</v>
      </c>
      <c r="AD27" s="3901"/>
      <c r="AE27" s="3901"/>
      <c r="AF27" s="3901"/>
      <c r="AG27" s="3901"/>
      <c r="AH27" s="3901"/>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900" t="s">
        <v>452</v>
      </c>
      <c r="T28" s="3900"/>
      <c r="U28" s="1293"/>
      <c r="V28" s="3910">
        <f>IF(TITLE_DATE_PR_CHANGE="",IF(TITLE_DATE_PR="","",TITLE_DATE_PR),TITLE_DATE_PR_CHANGE)</f>
        <v>45278</v>
      </c>
      <c r="W28" s="3910"/>
      <c r="X28" s="3910"/>
      <c r="Y28" s="3910"/>
      <c r="Z28" s="3910"/>
      <c r="AA28" s="3910"/>
      <c r="AB28" s="248"/>
      <c r="AC28" s="3910">
        <f>IF(TITLE_DATE_PR_CHANGE="",IF(TITLE_DATE_PR="","",TITLE_DATE_PR),TITLE_DATE_PR_CHANGE)</f>
        <v>45278</v>
      </c>
      <c r="AD28" s="3910"/>
      <c r="AE28" s="3910"/>
      <c r="AF28" s="3910"/>
      <c r="AG28" s="3910"/>
      <c r="AH28" s="3910"/>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900" t="s">
        <v>453</v>
      </c>
      <c r="T29" s="3900"/>
      <c r="U29" s="1293"/>
      <c r="V29" s="3901" t="str">
        <f>IF(TITLE_NUMBER_PR_CHANGE="",IF(TITLE_NUMBER_PR="","",TITLE_NUMBER_PR),TITLE_NUMBER_PR_CHANGE)</f>
        <v>79/2</v>
      </c>
      <c r="W29" s="3901"/>
      <c r="X29" s="3901"/>
      <c r="Y29" s="3901"/>
      <c r="Z29" s="3901"/>
      <c r="AA29" s="3901"/>
      <c r="AB29" s="248"/>
      <c r="AC29" s="3901" t="str">
        <f>IF(TITLE_NUMBER_PR_CHANGE="",IF(TITLE_NUMBER_PR="","",TITLE_NUMBER_PR),TITLE_NUMBER_PR_CHANGE)</f>
        <v>79/2</v>
      </c>
      <c r="AD29" s="3901"/>
      <c r="AE29" s="3901"/>
      <c r="AF29" s="3901"/>
      <c r="AG29" s="3901"/>
      <c r="AH29" s="3901"/>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900" t="s">
        <v>40</v>
      </c>
      <c r="T30" s="3900"/>
      <c r="U30" s="1293"/>
      <c r="V30" s="3901" t="str">
        <f>IF(TITLE_IST_PUB_CHANGE="",IF(TITLE_IST_PUB="","",TITLE_IST_PUB),TITLE_IST_PUB_CHANGE)</f>
        <v>http://pravo.stavregion.ru/</v>
      </c>
      <c r="W30" s="3901"/>
      <c r="X30" s="3901"/>
      <c r="Y30" s="3901"/>
      <c r="Z30" s="3901"/>
      <c r="AA30" s="3901"/>
      <c r="AB30" s="248"/>
      <c r="AC30" s="3901" t="str">
        <f>IF(TITLE_IST_PUB_CHANGE="",IF(TITLE_IST_PUB="","",TITLE_IST_PUB),TITLE_IST_PUB_CHANGE)</f>
        <v>http://pravo.stavregion.ru/</v>
      </c>
      <c r="AD30" s="3901"/>
      <c r="AE30" s="3901"/>
      <c r="AF30" s="3901"/>
      <c r="AG30" s="3901"/>
      <c r="AH30" s="3901"/>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900" t="s">
        <v>454</v>
      </c>
      <c r="T32" s="3900"/>
      <c r="U32" s="1293"/>
      <c r="V32" s="3910">
        <f>IF(TITLE_DATE_PR_CHANGE="",IF(TITLE_DATE_PR="","",TITLE_DATE_PR),TITLE_DATE_PR_CHANGE)</f>
        <v>45278</v>
      </c>
      <c r="W32" s="3910"/>
      <c r="X32" s="3910"/>
      <c r="Y32" s="3910"/>
      <c r="Z32" s="3910"/>
      <c r="AA32" s="3910"/>
      <c r="AB32" s="248"/>
      <c r="AC32" s="3910">
        <f>IF(TITLE_DATE_PR_CHANGE="",IF(TITLE_DATE_PR="","",TITLE_DATE_PR),TITLE_DATE_PR_CHANGE)</f>
        <v>45278</v>
      </c>
      <c r="AD32" s="3910"/>
      <c r="AE32" s="3910"/>
      <c r="AF32" s="3910"/>
      <c r="AG32" s="3910"/>
      <c r="AH32" s="3910"/>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900" t="s">
        <v>455</v>
      </c>
      <c r="T33" s="3900"/>
      <c r="U33" s="1293"/>
      <c r="V33" s="3901" t="str">
        <f>IF(TITLE_NUMBER_PR_CHANGE="",IF(TITLE_NUMBER_PR="","",TITLE_NUMBER_PR),TITLE_NUMBER_PR_CHANGE)</f>
        <v>79/2</v>
      </c>
      <c r="W33" s="3901"/>
      <c r="X33" s="3901"/>
      <c r="Y33" s="3901"/>
      <c r="Z33" s="3901"/>
      <c r="AA33" s="3901"/>
      <c r="AB33" s="248"/>
      <c r="AC33" s="3901" t="str">
        <f>IF(TITLE_NUMBER_PR_CHANGE="",IF(TITLE_NUMBER_PR="","",TITLE_NUMBER_PR),TITLE_NUMBER_PR_CHANGE)</f>
        <v>79/2</v>
      </c>
      <c r="AD33" s="3901"/>
      <c r="AE33" s="3901"/>
      <c r="AF33" s="3901"/>
      <c r="AG33" s="3901"/>
      <c r="AH33" s="3901"/>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456</v>
      </c>
      <c r="AC34" s="248"/>
      <c r="AD34" s="248"/>
      <c r="AE34" s="248"/>
      <c r="AF34" s="248"/>
      <c r="AG34" s="248"/>
      <c r="AH34" s="248"/>
      <c r="AI34" s="194" t="s">
        <v>456</v>
      </c>
      <c r="AL34" s="292"/>
      <c r="AM34" s="292"/>
      <c r="AN34" s="292"/>
      <c r="AO34" s="292"/>
      <c r="AP34" s="292"/>
    </row>
    <row r="35" spans="1:42" ht="14.25" customHeight="1">
      <c r="Q35" s="300"/>
      <c r="R35" s="300"/>
      <c r="S35" s="1200"/>
      <c r="T35" s="286"/>
      <c r="U35" s="1158"/>
      <c r="V35" s="3902"/>
      <c r="W35" s="3902"/>
      <c r="X35" s="3902"/>
      <c r="Y35" s="3902"/>
      <c r="Z35" s="3902"/>
      <c r="AA35" s="3902"/>
      <c r="AB35" s="3902"/>
      <c r="AC35" s="3902"/>
      <c r="AD35" s="3902"/>
      <c r="AE35" s="3902"/>
      <c r="AF35" s="3902"/>
      <c r="AG35" s="3902"/>
      <c r="AH35" s="3902"/>
      <c r="AI35" s="3902"/>
    </row>
    <row r="36" spans="1:42" ht="14.25" customHeight="1">
      <c r="Q36" s="300"/>
      <c r="R36" s="300"/>
      <c r="S36" s="3778" t="s">
        <v>329</v>
      </c>
      <c r="T36" s="3778"/>
      <c r="U36" s="3778"/>
      <c r="V36" s="3778"/>
      <c r="W36" s="3778"/>
      <c r="X36" s="3778"/>
      <c r="Y36" s="3778"/>
      <c r="Z36" s="3778"/>
      <c r="AA36" s="3778"/>
      <c r="AB36" s="3778"/>
      <c r="AC36" s="3778"/>
      <c r="AD36" s="3778"/>
      <c r="AE36" s="3778"/>
      <c r="AF36" s="3778"/>
      <c r="AG36" s="3778"/>
      <c r="AH36" s="3778"/>
      <c r="AI36" s="3778"/>
      <c r="AJ36" s="3778"/>
      <c r="AK36" s="3778" t="s">
        <v>330</v>
      </c>
    </row>
    <row r="37" spans="1:42" ht="14.25" customHeight="1">
      <c r="Q37" s="300"/>
      <c r="R37" s="300"/>
      <c r="S37" s="3916" t="s">
        <v>86</v>
      </c>
      <c r="T37" s="3868" t="s">
        <v>457</v>
      </c>
      <c r="U37" s="215"/>
      <c r="V37" s="3917" t="s">
        <v>458</v>
      </c>
      <c r="W37" s="3918"/>
      <c r="X37" s="3918"/>
      <c r="Y37" s="3918"/>
      <c r="Z37" s="3918"/>
      <c r="AA37" s="3919"/>
      <c r="AB37" s="3920" t="s">
        <v>459</v>
      </c>
      <c r="AC37" s="3917" t="s">
        <v>458</v>
      </c>
      <c r="AD37" s="3918"/>
      <c r="AE37" s="3918"/>
      <c r="AF37" s="3918"/>
      <c r="AG37" s="3918"/>
      <c r="AH37" s="3919"/>
      <c r="AI37" s="3920" t="s">
        <v>460</v>
      </c>
      <c r="AJ37" s="3923" t="s">
        <v>461</v>
      </c>
      <c r="AK37" s="3778"/>
    </row>
    <row r="38" spans="1:42" ht="33.75" customHeight="1">
      <c r="Q38" s="300"/>
      <c r="R38" s="300"/>
      <c r="S38" s="3916"/>
      <c r="T38" s="3868"/>
      <c r="U38" s="942"/>
      <c r="V38" s="1370" t="s">
        <v>517</v>
      </c>
      <c r="W38" s="3749" t="s">
        <v>464</v>
      </c>
      <c r="X38" s="3748"/>
      <c r="Y38" s="3749" t="s">
        <v>465</v>
      </c>
      <c r="Z38" s="3754"/>
      <c r="AA38" s="3748"/>
      <c r="AB38" s="3921"/>
      <c r="AC38" s="1370" t="s">
        <v>517</v>
      </c>
      <c r="AD38" s="3749" t="s">
        <v>464</v>
      </c>
      <c r="AE38" s="3748"/>
      <c r="AF38" s="3749" t="s">
        <v>465</v>
      </c>
      <c r="AG38" s="3754"/>
      <c r="AH38" s="3748"/>
      <c r="AI38" s="3921"/>
      <c r="AJ38" s="3924"/>
      <c r="AK38" s="3778"/>
    </row>
    <row r="39" spans="1:42" ht="33.75" customHeight="1">
      <c r="A39" s="1291"/>
      <c r="B39" s="1291" t="s">
        <v>153</v>
      </c>
      <c r="C39" s="1291" t="s">
        <v>154</v>
      </c>
      <c r="D39" s="1291" t="s">
        <v>155</v>
      </c>
      <c r="E39" s="1285" t="s">
        <v>466</v>
      </c>
      <c r="F39" s="1285" t="s">
        <v>467</v>
      </c>
      <c r="G39" s="1285" t="s">
        <v>468</v>
      </c>
      <c r="H39" s="1285"/>
      <c r="I39" s="1285" t="s">
        <v>518</v>
      </c>
      <c r="J39" s="1285" t="s">
        <v>471</v>
      </c>
      <c r="K39" s="1285" t="s">
        <v>519</v>
      </c>
      <c r="L39" s="1285" t="s">
        <v>447</v>
      </c>
      <c r="Q39" s="300"/>
      <c r="R39" s="300"/>
      <c r="S39" s="3916"/>
      <c r="T39" s="3868"/>
      <c r="U39" s="216"/>
      <c r="V39" s="1370" t="s">
        <v>520</v>
      </c>
      <c r="W39" s="1133" t="s">
        <v>521</v>
      </c>
      <c r="X39" s="1133" t="s">
        <v>522</v>
      </c>
      <c r="Y39" s="1373" t="s">
        <v>475</v>
      </c>
      <c r="Z39" s="3876" t="s">
        <v>476</v>
      </c>
      <c r="AA39" s="3878"/>
      <c r="AB39" s="3922"/>
      <c r="AC39" s="1370" t="s">
        <v>520</v>
      </c>
      <c r="AD39" s="1133" t="s">
        <v>521</v>
      </c>
      <c r="AE39" s="1133" t="s">
        <v>522</v>
      </c>
      <c r="AF39" s="1373" t="s">
        <v>475</v>
      </c>
      <c r="AG39" s="3876" t="s">
        <v>476</v>
      </c>
      <c r="AH39" s="3878"/>
      <c r="AI39" s="3922"/>
      <c r="AJ39" s="3925"/>
      <c r="AK39" s="377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129</v>
      </c>
      <c r="T40" s="1177" t="s">
        <v>102</v>
      </c>
      <c r="U40" s="1159" t="str">
        <f ca="1">OFFSET(U40,0,-1)</f>
        <v>2</v>
      </c>
      <c r="V40" s="1369">
        <f ca="1">OFFSET(V40,0,-1)+1</f>
        <v>3</v>
      </c>
      <c r="W40" s="1369">
        <f ca="1">OFFSET(W40,0,-1)+1</f>
        <v>4</v>
      </c>
      <c r="X40" s="1369">
        <f ca="1">OFFSET(X40,0,-1)+1</f>
        <v>5</v>
      </c>
      <c r="Y40" s="1369">
        <f ca="1">OFFSET(Y40,0,-1)+1</f>
        <v>6</v>
      </c>
      <c r="Z40" s="3915">
        <f ca="1">OFFSET(Z40,0,-1)+1</f>
        <v>7</v>
      </c>
      <c r="AA40" s="3915"/>
      <c r="AB40" s="1369">
        <f ca="1">OFFSET(AB40,0,-2)+1</f>
        <v>8</v>
      </c>
      <c r="AC40" s="1369">
        <f ca="1">OFFSET(AC40,0,-1)+1</f>
        <v>9</v>
      </c>
      <c r="AD40" s="1369">
        <f ca="1">OFFSET(AD40,0,-1)+1</f>
        <v>10</v>
      </c>
      <c r="AE40" s="1369">
        <f ca="1">OFFSET(AE40,0,-1)+1</f>
        <v>11</v>
      </c>
      <c r="AF40" s="1369">
        <f ca="1">OFFSET(AF40,0,-1)+1</f>
        <v>12</v>
      </c>
      <c r="AG40" s="3915">
        <f ca="1">OFFSET(AG40,0,-1)+1</f>
        <v>13</v>
      </c>
      <c r="AH40" s="3915"/>
      <c r="AI40" s="1369">
        <f ca="1">OFFSET(AI40,0,-2)+1</f>
        <v>14</v>
      </c>
      <c r="AJ40" s="1159">
        <f ca="1">OFFSET(AJ40,0,-1)</f>
        <v>14</v>
      </c>
      <c r="AK40" s="1369">
        <f ca="1">OFFSET(AK40,0,-1)+1</f>
        <v>15</v>
      </c>
      <c r="AL40" s="435"/>
      <c r="AM40" s="435"/>
      <c r="AN40" s="435"/>
      <c r="AO40" s="435"/>
      <c r="AP40" s="435"/>
    </row>
    <row r="41" spans="1:42" ht="23.25" customHeight="1">
      <c r="A41" s="1284" t="s">
        <v>265</v>
      </c>
      <c r="B41" s="1284"/>
      <c r="C41" s="1284"/>
      <c r="D41" s="1284"/>
      <c r="E41" s="3908">
        <v>1</v>
      </c>
      <c r="F41" s="1284"/>
      <c r="G41" s="1284"/>
      <c r="H41" s="1284"/>
      <c r="I41" s="1284"/>
      <c r="J41" s="1284"/>
      <c r="K41" s="1284"/>
      <c r="L41" s="1285"/>
      <c r="M41" s="1286"/>
      <c r="N41" s="1286"/>
      <c r="O41" s="1286"/>
      <c r="P41" s="282"/>
      <c r="Q41" s="281"/>
      <c r="R41" s="276"/>
      <c r="S41" s="1375">
        <f>INDEX(PT_DIFFERENTIATION_NUM_NTAR,MATCH(A41,PT_DIFFERENTIATION_NTAR_ID,0))</f>
        <v>0</v>
      </c>
      <c r="T41" s="212" t="s">
        <v>141</v>
      </c>
      <c r="U41" s="214"/>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265</v>
      </c>
      <c r="B42" s="1284" t="s">
        <v>266</v>
      </c>
      <c r="C42" s="1284"/>
      <c r="D42" s="1284"/>
      <c r="E42" s="3909"/>
      <c r="F42" s="3908">
        <v>1</v>
      </c>
      <c r="G42" s="1284"/>
      <c r="H42" s="1284"/>
      <c r="I42" s="1284"/>
      <c r="J42" s="1284"/>
      <c r="K42" s="1284"/>
      <c r="L42" s="1285"/>
      <c r="M42" s="1286"/>
      <c r="N42" s="1286"/>
      <c r="O42" s="1286"/>
      <c r="P42" s="1371"/>
      <c r="Q42" s="273"/>
      <c r="R42" s="274"/>
      <c r="S42" s="1375" t="str">
        <f>INDEX(PT_DIFFERENTIATION_NUM_TER,MATCH(B42,PT_DIFFERENTIATION_TER_ID,0))</f>
        <v>.</v>
      </c>
      <c r="T42" s="224" t="s">
        <v>428</v>
      </c>
      <c r="U42" s="214"/>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182" t="s">
        <v>429</v>
      </c>
      <c r="AM42" s="424"/>
      <c r="AN42" s="424" t="str">
        <f t="shared" si="1"/>
        <v>Территория действия тарифа</v>
      </c>
      <c r="AO42" s="424"/>
      <c r="AP42" s="424"/>
    </row>
    <row r="43" spans="1:42" ht="23.25" customHeight="1">
      <c r="A43" s="1284" t="s">
        <v>265</v>
      </c>
      <c r="B43" s="1284" t="s">
        <v>266</v>
      </c>
      <c r="C43" s="1284" t="s">
        <v>267</v>
      </c>
      <c r="D43" s="1284"/>
      <c r="E43" s="3909"/>
      <c r="F43" s="3909"/>
      <c r="G43" s="3908">
        <v>1</v>
      </c>
      <c r="H43" s="1284"/>
      <c r="I43" s="1284"/>
      <c r="J43" s="1284"/>
      <c r="K43" s="1284"/>
      <c r="L43" s="1285"/>
      <c r="M43" s="1286"/>
      <c r="N43" s="1286"/>
      <c r="O43" s="1286"/>
      <c r="P43" s="275"/>
      <c r="Q43" s="273"/>
      <c r="R43" s="274"/>
      <c r="S43" s="1375" t="str">
        <f>INDEX(PT_DIFFERENTIATION_NUM_CS,MATCH(C43,PT_DIFFERENTIATION_CS_ID,0))</f>
        <v>..</v>
      </c>
      <c r="T43" s="225" t="s">
        <v>509</v>
      </c>
      <c r="U43" s="214"/>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182" t="s">
        <v>510</v>
      </c>
      <c r="AM43" s="424"/>
      <c r="AN43" s="424" t="str">
        <f t="shared" si="1"/>
        <v>Наименование централизованной системы холодного водоснабжения</v>
      </c>
      <c r="AO43" s="424"/>
      <c r="AP43" s="424"/>
    </row>
    <row r="44" spans="1:42" ht="23.25" customHeight="1">
      <c r="A44" s="1284" t="s">
        <v>265</v>
      </c>
      <c r="B44" s="1284" t="s">
        <v>266</v>
      </c>
      <c r="C44" s="1284" t="s">
        <v>267</v>
      </c>
      <c r="D44" s="1284" t="s">
        <v>529</v>
      </c>
      <c r="E44" s="3909"/>
      <c r="F44" s="3909"/>
      <c r="G44" s="3909"/>
      <c r="H44" s="3909"/>
      <c r="I44" s="3906" t="str">
        <f>S43&amp;".1"</f>
        <v>...1</v>
      </c>
      <c r="J44" s="1284"/>
      <c r="K44" s="1284"/>
      <c r="L44" s="1285"/>
      <c r="P44" s="3907">
        <v>1</v>
      </c>
      <c r="Q44" s="1368"/>
      <c r="R44" s="277"/>
      <c r="S44" s="1375" t="str">
        <f>$I44</f>
        <v>...1</v>
      </c>
      <c r="T44" s="200" t="s">
        <v>511</v>
      </c>
      <c r="U44" s="214"/>
      <c r="V44" s="3967"/>
      <c r="W44" s="3968"/>
      <c r="X44" s="3968"/>
      <c r="Y44" s="3968"/>
      <c r="Z44" s="3968"/>
      <c r="AA44" s="3968"/>
      <c r="AB44" s="3969"/>
      <c r="AC44" s="3970"/>
      <c r="AD44" s="3971"/>
      <c r="AE44" s="3971"/>
      <c r="AF44" s="3971"/>
      <c r="AG44" s="3971"/>
      <c r="AH44" s="3971"/>
      <c r="AI44" s="3971"/>
      <c r="AJ44" s="3972"/>
      <c r="AK44" s="1182" t="s">
        <v>512</v>
      </c>
      <c r="AM44" s="424"/>
      <c r="AN44" s="424" t="str">
        <f t="shared" si="1"/>
        <v>Наименование признака дифференциации</v>
      </c>
      <c r="AO44" s="424"/>
      <c r="AP44" s="424"/>
    </row>
    <row r="45" spans="1:42" ht="23.25" customHeight="1">
      <c r="A45" s="1284" t="s">
        <v>265</v>
      </c>
      <c r="B45" s="1284" t="s">
        <v>266</v>
      </c>
      <c r="C45" s="1284" t="s">
        <v>267</v>
      </c>
      <c r="D45" s="1284" t="s">
        <v>529</v>
      </c>
      <c r="E45" s="3909"/>
      <c r="F45" s="3909"/>
      <c r="G45" s="3909"/>
      <c r="H45" s="3909"/>
      <c r="I45" s="3929"/>
      <c r="J45" s="3906" t="str">
        <f>I44&amp;".1"</f>
        <v>...1.1</v>
      </c>
      <c r="K45" s="1284"/>
      <c r="L45" s="1285" t="s">
        <v>437</v>
      </c>
      <c r="P45" s="3907"/>
      <c r="Q45" s="3907">
        <v>1</v>
      </c>
      <c r="R45" s="278"/>
      <c r="S45" s="1375" t="str">
        <f>$J45</f>
        <v>...1.1</v>
      </c>
      <c r="T45" s="201" t="s">
        <v>438</v>
      </c>
      <c r="U45" s="214"/>
      <c r="V45" s="3897"/>
      <c r="W45" s="3898"/>
      <c r="X45" s="3898"/>
      <c r="Y45" s="3898"/>
      <c r="Z45" s="3898"/>
      <c r="AA45" s="3898"/>
      <c r="AB45" s="3899"/>
      <c r="AC45" s="3897"/>
      <c r="AD45" s="3898"/>
      <c r="AE45" s="3898"/>
      <c r="AF45" s="3898"/>
      <c r="AG45" s="3898"/>
      <c r="AH45" s="3898"/>
      <c r="AI45" s="3898"/>
      <c r="AJ45" s="3899"/>
      <c r="AK45" s="1231" t="s">
        <v>513</v>
      </c>
      <c r="AM45" s="424"/>
      <c r="AN45" s="424" t="str">
        <f t="shared" si="1"/>
        <v>Группа потребителей</v>
      </c>
      <c r="AO45" s="424"/>
      <c r="AP45" s="424"/>
    </row>
    <row r="46" spans="1:42" ht="23.25" customHeight="1">
      <c r="A46" s="1284" t="s">
        <v>265</v>
      </c>
      <c r="B46" s="1284" t="s">
        <v>266</v>
      </c>
      <c r="C46" s="1284" t="s">
        <v>267</v>
      </c>
      <c r="D46" s="1284" t="s">
        <v>529</v>
      </c>
      <c r="E46" s="3909"/>
      <c r="F46" s="3909"/>
      <c r="G46" s="3909"/>
      <c r="H46" s="3909"/>
      <c r="I46" s="3929"/>
      <c r="J46" s="3929"/>
      <c r="K46" s="3906" t="str">
        <f>J45&amp;".1"</f>
        <v>...1.1.1</v>
      </c>
      <c r="L46" s="1285"/>
      <c r="P46" s="3907"/>
      <c r="Q46" s="3907"/>
      <c r="R46" s="278">
        <v>1</v>
      </c>
      <c r="S46" s="1375" t="str">
        <f>$K46</f>
        <v>...1.1.1</v>
      </c>
      <c r="T46" s="1357"/>
      <c r="U46" s="214"/>
      <c r="V46" s="666"/>
      <c r="W46" s="666"/>
      <c r="X46" s="1181"/>
      <c r="Y46" s="3911"/>
      <c r="Z46" s="3759" t="s">
        <v>60</v>
      </c>
      <c r="AA46" s="3911"/>
      <c r="AB46" s="3759" t="s">
        <v>60</v>
      </c>
      <c r="AC46" s="666"/>
      <c r="AD46" s="666"/>
      <c r="AE46" s="1181"/>
      <c r="AF46" s="3911"/>
      <c r="AG46" s="3759" t="s">
        <v>60</v>
      </c>
      <c r="AH46" s="3930"/>
      <c r="AI46" s="3759" t="s">
        <v>60</v>
      </c>
      <c r="AJ46" s="1358"/>
      <c r="AK4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265</v>
      </c>
      <c r="B47" s="1284" t="s">
        <v>266</v>
      </c>
      <c r="C47" s="1284" t="s">
        <v>267</v>
      </c>
      <c r="D47" s="1284" t="s">
        <v>529</v>
      </c>
      <c r="E47" s="3909"/>
      <c r="F47" s="3909"/>
      <c r="G47" s="3909"/>
      <c r="H47" s="3909"/>
      <c r="I47" s="3929"/>
      <c r="J47" s="3929"/>
      <c r="K47" s="3906"/>
      <c r="L47" s="1285"/>
      <c r="P47" s="3907"/>
      <c r="Q47" s="3907"/>
      <c r="R47" s="278"/>
      <c r="S47" s="1374"/>
      <c r="T47" s="214"/>
      <c r="U47" s="214"/>
      <c r="V47" s="246"/>
      <c r="W47" s="246"/>
      <c r="X47" s="250" t="str">
        <f>Y46&amp;"-"&amp;AA46</f>
        <v>-</v>
      </c>
      <c r="Y47" s="3912"/>
      <c r="Z47" s="3759"/>
      <c r="AA47" s="3912"/>
      <c r="AB47" s="3759"/>
      <c r="AC47" s="246"/>
      <c r="AD47" s="246"/>
      <c r="AE47" s="250" t="str">
        <f>AF46&amp;"-"&amp;AH46</f>
        <v>-</v>
      </c>
      <c r="AF47" s="3912"/>
      <c r="AG47" s="3759"/>
      <c r="AH47" s="3931"/>
      <c r="AI47" s="3759"/>
      <c r="AJ47" s="1359"/>
      <c r="AK47" s="3966"/>
      <c r="AM47" s="424"/>
      <c r="AN47" s="424" t="str">
        <f t="shared" si="1"/>
        <v/>
      </c>
      <c r="AO47" s="424"/>
      <c r="AP47" s="424"/>
    </row>
    <row r="48" spans="1:42" ht="21" customHeight="1">
      <c r="A48" s="1284" t="s">
        <v>265</v>
      </c>
      <c r="B48" s="1284" t="s">
        <v>266</v>
      </c>
      <c r="C48" s="1284" t="s">
        <v>267</v>
      </c>
      <c r="D48" s="1284" t="s">
        <v>529</v>
      </c>
      <c r="E48" s="3909"/>
      <c r="F48" s="3909"/>
      <c r="G48" s="3909"/>
      <c r="H48" s="3909"/>
      <c r="I48" s="3929"/>
      <c r="J48" s="3906"/>
      <c r="K48" s="1284"/>
      <c r="L48" s="1285"/>
      <c r="P48" s="3907"/>
      <c r="Q48" s="3907"/>
      <c r="R48" s="277"/>
      <c r="S48" s="1203"/>
      <c r="T48" s="202" t="s">
        <v>514</v>
      </c>
      <c r="U48" s="291"/>
      <c r="V48" s="291"/>
      <c r="W48" s="291"/>
      <c r="X48" s="291"/>
      <c r="Y48" s="291"/>
      <c r="Z48" s="291"/>
      <c r="AA48" s="291"/>
      <c r="AB48" s="291"/>
      <c r="AC48" s="291"/>
      <c r="AD48" s="291"/>
      <c r="AE48" s="291"/>
      <c r="AF48" s="291"/>
      <c r="AG48" s="291"/>
      <c r="AH48" s="291"/>
      <c r="AI48" s="291"/>
      <c r="AJ48" s="291"/>
      <c r="AK48" s="1182" t="s">
        <v>515</v>
      </c>
      <c r="AM48" s="424"/>
      <c r="AN48" s="424" t="str">
        <f t="shared" si="1"/>
        <v>Добавить значение признака дифференциации</v>
      </c>
      <c r="AO48" s="424"/>
      <c r="AP48" s="424"/>
    </row>
    <row r="49" spans="1:42" ht="21" customHeight="1">
      <c r="A49" s="1284" t="s">
        <v>265</v>
      </c>
      <c r="B49" s="1284" t="s">
        <v>266</v>
      </c>
      <c r="C49" s="1284" t="s">
        <v>267</v>
      </c>
      <c r="D49" s="1284" t="s">
        <v>529</v>
      </c>
      <c r="E49" s="3909"/>
      <c r="F49" s="3909"/>
      <c r="G49" s="3909"/>
      <c r="H49" s="3909"/>
      <c r="I49" s="3906"/>
      <c r="J49" s="1284"/>
      <c r="K49" s="1284"/>
      <c r="L49" s="1285"/>
      <c r="P49" s="3907"/>
      <c r="Q49" s="1368"/>
      <c r="R49" s="277"/>
      <c r="S49" s="1203"/>
      <c r="T49" s="288" t="s">
        <v>443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265</v>
      </c>
      <c r="B50" s="1284" t="s">
        <v>266</v>
      </c>
      <c r="C50" s="1284" t="s">
        <v>267</v>
      </c>
      <c r="D50" s="1284" t="s">
        <v>529</v>
      </c>
      <c r="E50" s="3909"/>
      <c r="F50" s="3909"/>
      <c r="G50" s="3909"/>
      <c r="H50" s="3908"/>
      <c r="I50" s="1284"/>
      <c r="J50" s="1284"/>
      <c r="K50" s="1284"/>
      <c r="L50" s="1285"/>
      <c r="M50" s="1286"/>
      <c r="N50" s="1286"/>
      <c r="O50" s="460"/>
      <c r="P50" s="281"/>
      <c r="Q50" s="299"/>
      <c r="R50" s="276"/>
      <c r="S50" s="1203"/>
      <c r="T50" s="296" t="s">
        <v>516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265</v>
      </c>
      <c r="B51" s="1265" t="s">
        <v>266</v>
      </c>
      <c r="C51" s="1237"/>
      <c r="D51" s="1237"/>
      <c r="E51" s="3909"/>
      <c r="F51" s="3908"/>
      <c r="G51" s="1237"/>
      <c r="H51" s="1237"/>
      <c r="I51" s="1237"/>
      <c r="J51" s="1237"/>
      <c r="K51" s="1237"/>
      <c r="L51" s="1376"/>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265</v>
      </c>
      <c r="B52" s="1265"/>
      <c r="C52" s="1265"/>
      <c r="D52" s="1265"/>
      <c r="E52" s="3908"/>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262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928"/>
      <c r="U55" s="3928"/>
      <c r="V55" s="3928"/>
      <c r="W55" s="3928"/>
      <c r="X55" s="3928"/>
      <c r="Y55" s="3928"/>
      <c r="Z55" s="3928"/>
      <c r="AA55" s="3928"/>
      <c r="AB55" s="3928"/>
      <c r="AC55" s="3928"/>
      <c r="AD55" s="3928"/>
      <c r="AE55" s="3928"/>
      <c r="AF55" s="3928"/>
      <c r="AG55" s="3928"/>
      <c r="AH55" s="3928"/>
      <c r="AI55" s="3928"/>
      <c r="AJ55" s="3928"/>
      <c r="AK55" s="3928"/>
    </row>
    <row r="56" spans="1:42" ht="14.25" customHeight="1">
      <c r="O56" s="460"/>
    </row>
    <row r="57" spans="1:42" ht="14.25" customHeight="1">
      <c r="O57" s="460"/>
      <c r="S57" s="1169"/>
      <c r="T57" s="3928"/>
      <c r="U57" s="3928"/>
      <c r="V57" s="3928"/>
      <c r="W57" s="3928"/>
      <c r="X57" s="3928"/>
      <c r="Y57" s="3928"/>
      <c r="Z57" s="3928"/>
      <c r="AA57" s="3928"/>
      <c r="AB57" s="3928"/>
      <c r="AC57" s="3928"/>
      <c r="AD57" s="3928"/>
      <c r="AE57" s="3928"/>
      <c r="AF57" s="3928"/>
      <c r="AG57" s="3928"/>
      <c r="AH57" s="3928"/>
      <c r="AI57" s="3928"/>
      <c r="AJ57" s="3928"/>
      <c r="AK57" s="39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908">
        <v>1</v>
      </c>
      <c r="F2" s="1284"/>
      <c r="G2" s="1284"/>
      <c r="H2" s="1284"/>
      <c r="I2" s="1284"/>
      <c r="J2" s="1284"/>
      <c r="K2" s="1284"/>
      <c r="L2" s="1285"/>
      <c r="M2" s="1286"/>
      <c r="N2" s="1286"/>
      <c r="O2" s="1286"/>
      <c r="P2" s="282"/>
      <c r="Q2" s="281"/>
      <c r="R2" s="276"/>
      <c r="S2" s="1375" t="e">
        <f>INDEX(PT_DIFFERENTIATION_NUM_NTAR,MATCH(A2,PT_DIFFERENTIATION_NTAR_ID,0))</f>
        <v>#N/A</v>
      </c>
      <c r="T2" s="212" t="s">
        <v>141</v>
      </c>
      <c r="U2" s="214"/>
      <c r="V2" s="3894"/>
      <c r="W2" s="3895"/>
      <c r="X2" s="3895"/>
      <c r="Y2" s="3895"/>
      <c r="Z2" s="3895"/>
      <c r="AA2" s="3895"/>
      <c r="AB2" s="3896"/>
      <c r="AC2" s="3894" t="e">
        <f>INDEX(PT_DIFFERENTIATION_NTAR,MATCH(A2,PT_DIFFERENTIATION_NTAR_ID,0))</f>
        <v>#N/A</v>
      </c>
      <c r="AD2" s="3895"/>
      <c r="AE2" s="3895"/>
      <c r="AF2" s="3895"/>
      <c r="AG2" s="3895"/>
      <c r="AH2" s="3895"/>
      <c r="AI2" s="3895"/>
      <c r="AJ2" s="38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909"/>
      <c r="F3" s="3908">
        <v>1</v>
      </c>
      <c r="G3" s="1284"/>
      <c r="H3" s="1284"/>
      <c r="I3" s="1284"/>
      <c r="J3" s="1284"/>
      <c r="K3" s="1284"/>
      <c r="L3" s="1285"/>
      <c r="M3" s="1286"/>
      <c r="N3" s="1286"/>
      <c r="O3" s="1286"/>
      <c r="P3" s="1371"/>
      <c r="Q3" s="273"/>
      <c r="R3" s="274"/>
      <c r="S3" s="1375" t="e">
        <f>INDEX(PT_DIFFERENTIATION_NUM_TER,MATCH(B3,PT_DIFFERENTIATION_TER_ID,0))</f>
        <v>#N/A</v>
      </c>
      <c r="T3" s="224" t="s">
        <v>428</v>
      </c>
      <c r="U3" s="214"/>
      <c r="V3" s="3894"/>
      <c r="W3" s="3895"/>
      <c r="X3" s="3895"/>
      <c r="Y3" s="3895"/>
      <c r="Z3" s="3895"/>
      <c r="AA3" s="3895"/>
      <c r="AB3" s="3896"/>
      <c r="AC3" s="3894" t="e">
        <f>INDEX(PT_DIFFERENTIATION_TER,MATCH(B3,PT_DIFFERENTIATION_TER_ID,0))</f>
        <v>#N/A</v>
      </c>
      <c r="AD3" s="3895"/>
      <c r="AE3" s="3895"/>
      <c r="AF3" s="3895"/>
      <c r="AG3" s="3895"/>
      <c r="AH3" s="3895"/>
      <c r="AI3" s="3895"/>
      <c r="AJ3" s="3896"/>
      <c r="AK3" s="1182" t="s">
        <v>429</v>
      </c>
      <c r="AM3" s="424"/>
      <c r="AN3" s="424" t="str">
        <f t="shared" si="0"/>
        <v>Территория действия тарифа</v>
      </c>
      <c r="AO3" s="424"/>
      <c r="AP3" s="424"/>
    </row>
    <row r="4" spans="1:42" ht="23.25" hidden="1" customHeight="1">
      <c r="A4" s="1284"/>
      <c r="B4" s="1284"/>
      <c r="C4" s="1284"/>
      <c r="D4" s="1284"/>
      <c r="E4" s="3909"/>
      <c r="F4" s="3909"/>
      <c r="G4" s="3908">
        <v>1</v>
      </c>
      <c r="H4" s="1284"/>
      <c r="I4" s="1284"/>
      <c r="J4" s="1284"/>
      <c r="K4" s="1284"/>
      <c r="L4" s="1285"/>
      <c r="M4" s="1286"/>
      <c r="N4" s="1286"/>
      <c r="O4" s="1286"/>
      <c r="P4" s="275"/>
      <c r="Q4" s="273"/>
      <c r="R4" s="274"/>
      <c r="S4" s="1375" t="e">
        <f>INDEX(PT_DIFFERENTIATION_NUM_CS,MATCH(C4,PT_DIFFERENTIATION_CS_ID,0))</f>
        <v>#N/A</v>
      </c>
      <c r="T4" s="225" t="s">
        <v>509</v>
      </c>
      <c r="U4" s="214"/>
      <c r="V4" s="3894"/>
      <c r="W4" s="3895"/>
      <c r="X4" s="3895"/>
      <c r="Y4" s="3895"/>
      <c r="Z4" s="3895"/>
      <c r="AA4" s="3895"/>
      <c r="AB4" s="3896"/>
      <c r="AC4" s="3894" t="e">
        <f>INDEX(PT_DIFFERENTIATION_CS,MATCH(C4,PT_DIFFERENTIATION_CS_ID,0))</f>
        <v>#N/A</v>
      </c>
      <c r="AD4" s="3895"/>
      <c r="AE4" s="3895"/>
      <c r="AF4" s="3895"/>
      <c r="AG4" s="3895"/>
      <c r="AH4" s="3895"/>
      <c r="AI4" s="3895"/>
      <c r="AJ4" s="3896"/>
      <c r="AK4" s="1182" t="s">
        <v>510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3909"/>
      <c r="F5" s="3909"/>
      <c r="G5" s="3909"/>
      <c r="H5" s="3909"/>
      <c r="I5" s="3906" t="e">
        <f>S4&amp;".1"</f>
        <v>#N/A</v>
      </c>
      <c r="J5" s="1284"/>
      <c r="K5" s="1284"/>
      <c r="L5" s="1285"/>
      <c r="P5" s="3907">
        <v>1</v>
      </c>
      <c r="Q5" s="1368"/>
      <c r="R5" s="277"/>
      <c r="S5" s="1375" t="e">
        <f>$I5</f>
        <v>#N/A</v>
      </c>
      <c r="T5" s="200" t="s">
        <v>511</v>
      </c>
      <c r="U5" s="214"/>
      <c r="V5" s="3967"/>
      <c r="W5" s="3968"/>
      <c r="X5" s="3968"/>
      <c r="Y5" s="3968"/>
      <c r="Z5" s="3968"/>
      <c r="AA5" s="3968"/>
      <c r="AB5" s="3969"/>
      <c r="AC5" s="3970"/>
      <c r="AD5" s="3971"/>
      <c r="AE5" s="3971"/>
      <c r="AF5" s="3971"/>
      <c r="AG5" s="3971"/>
      <c r="AH5" s="3971"/>
      <c r="AI5" s="3971"/>
      <c r="AJ5" s="3972"/>
      <c r="AK5" s="1182" t="s">
        <v>512</v>
      </c>
      <c r="AM5" s="424"/>
      <c r="AN5" s="424" t="str">
        <f t="shared" si="0"/>
        <v>Наименование признака дифференциации</v>
      </c>
      <c r="AO5" s="424"/>
      <c r="AP5" s="424"/>
    </row>
    <row r="6" spans="1:42" ht="23.25" hidden="1" customHeight="1">
      <c r="A6" s="1284"/>
      <c r="B6" s="1284"/>
      <c r="C6" s="1284"/>
      <c r="D6" s="1284"/>
      <c r="E6" s="3909"/>
      <c r="F6" s="3909"/>
      <c r="G6" s="3909"/>
      <c r="H6" s="3909"/>
      <c r="I6" s="3929"/>
      <c r="J6" s="3906" t="e">
        <f>I5&amp;".1"</f>
        <v>#N/A</v>
      </c>
      <c r="K6" s="1284"/>
      <c r="L6" s="1285" t="s">
        <v>437</v>
      </c>
      <c r="P6" s="3907"/>
      <c r="Q6" s="3907">
        <v>1</v>
      </c>
      <c r="R6" s="278"/>
      <c r="S6" s="1375" t="e">
        <f>$J6</f>
        <v>#N/A</v>
      </c>
      <c r="T6" s="201" t="s">
        <v>438</v>
      </c>
      <c r="U6" s="214"/>
      <c r="V6" s="3897"/>
      <c r="W6" s="3898"/>
      <c r="X6" s="3898"/>
      <c r="Y6" s="3898"/>
      <c r="Z6" s="3898"/>
      <c r="AA6" s="3898"/>
      <c r="AB6" s="3899"/>
      <c r="AC6" s="3897"/>
      <c r="AD6" s="3898"/>
      <c r="AE6" s="3898"/>
      <c r="AF6" s="3898"/>
      <c r="AG6" s="3898"/>
      <c r="AH6" s="3898"/>
      <c r="AI6" s="3898"/>
      <c r="AJ6" s="3899"/>
      <c r="AK6" s="1231" t="s">
        <v>513</v>
      </c>
      <c r="AM6" s="424"/>
      <c r="AN6" s="424" t="str">
        <f t="shared" si="0"/>
        <v>Группа потребителей</v>
      </c>
      <c r="AO6" s="424"/>
      <c r="AP6" s="424"/>
    </row>
    <row r="7" spans="1:42" ht="23.25" hidden="1" customHeight="1">
      <c r="A7" s="1284"/>
      <c r="B7" s="1284"/>
      <c r="C7" s="1284"/>
      <c r="D7" s="1284"/>
      <c r="E7" s="3909"/>
      <c r="F7" s="3909"/>
      <c r="G7" s="3909"/>
      <c r="H7" s="3909"/>
      <c r="I7" s="3929"/>
      <c r="J7" s="3929"/>
      <c r="K7" s="3906" t="e">
        <f>J6&amp;".1"</f>
        <v>#N/A</v>
      </c>
      <c r="L7" s="1285"/>
      <c r="P7" s="3907"/>
      <c r="Q7" s="3907"/>
      <c r="R7" s="278">
        <v>1</v>
      </c>
      <c r="S7" s="1375" t="e">
        <f>$K7</f>
        <v>#N/A</v>
      </c>
      <c r="T7" s="1357"/>
      <c r="U7" s="214"/>
      <c r="V7" s="666"/>
      <c r="W7" s="666"/>
      <c r="X7" s="1181"/>
      <c r="Y7" s="3911"/>
      <c r="Z7" s="3759" t="s">
        <v>60</v>
      </c>
      <c r="AA7" s="3911"/>
      <c r="AB7" s="3759" t="s">
        <v>60</v>
      </c>
      <c r="AC7" s="666"/>
      <c r="AD7" s="666"/>
      <c r="AE7" s="1181"/>
      <c r="AF7" s="3911"/>
      <c r="AG7" s="3759" t="s">
        <v>60</v>
      </c>
      <c r="AH7" s="3930"/>
      <c r="AI7" s="3759" t="s">
        <v>60</v>
      </c>
      <c r="AJ7" s="1358"/>
      <c r="AK7"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909"/>
      <c r="F8" s="3909"/>
      <c r="G8" s="3909"/>
      <c r="H8" s="3909"/>
      <c r="I8" s="3929"/>
      <c r="J8" s="3929"/>
      <c r="K8" s="3906"/>
      <c r="L8" s="1285"/>
      <c r="P8" s="3907"/>
      <c r="Q8" s="3907"/>
      <c r="R8" s="278"/>
      <c r="S8" s="1374"/>
      <c r="T8" s="214"/>
      <c r="U8" s="214"/>
      <c r="V8" s="246"/>
      <c r="W8" s="246"/>
      <c r="X8" s="250" t="str">
        <f>Y7&amp;"-"&amp;AA7</f>
        <v>-</v>
      </c>
      <c r="Y8" s="3912"/>
      <c r="Z8" s="3759"/>
      <c r="AA8" s="3912"/>
      <c r="AB8" s="3759"/>
      <c r="AC8" s="246"/>
      <c r="AD8" s="246"/>
      <c r="AE8" s="250" t="str">
        <f>AF7&amp;"-"&amp;AH7</f>
        <v>-</v>
      </c>
      <c r="AF8" s="3912"/>
      <c r="AG8" s="3759"/>
      <c r="AH8" s="3931"/>
      <c r="AI8" s="3759"/>
      <c r="AJ8" s="1359"/>
      <c r="AK8" s="3966"/>
      <c r="AM8" s="424"/>
      <c r="AN8" s="424" t="str">
        <f t="shared" si="0"/>
        <v/>
      </c>
      <c r="AO8" s="424"/>
      <c r="AP8" s="424"/>
    </row>
    <row r="9" spans="1:42" ht="21" hidden="1" customHeight="1">
      <c r="A9" s="1284"/>
      <c r="B9" s="1284"/>
      <c r="C9" s="1284"/>
      <c r="D9" s="1284"/>
      <c r="E9" s="3909"/>
      <c r="F9" s="3909"/>
      <c r="G9" s="3909"/>
      <c r="H9" s="3909"/>
      <c r="I9" s="3929"/>
      <c r="J9" s="3906"/>
      <c r="K9" s="1284"/>
      <c r="L9" s="1285"/>
      <c r="P9" s="3907"/>
      <c r="Q9" s="3907"/>
      <c r="R9" s="277"/>
      <c r="S9" s="1203"/>
      <c r="T9" s="202" t="s">
        <v>514</v>
      </c>
      <c r="U9" s="291"/>
      <c r="V9" s="291"/>
      <c r="W9" s="291"/>
      <c r="X9" s="291"/>
      <c r="Y9" s="291"/>
      <c r="Z9" s="291"/>
      <c r="AA9" s="291"/>
      <c r="AB9" s="291"/>
      <c r="AC9" s="291"/>
      <c r="AD9" s="291"/>
      <c r="AE9" s="291"/>
      <c r="AF9" s="291"/>
      <c r="AG9" s="291"/>
      <c r="AH9" s="291"/>
      <c r="AI9" s="291"/>
      <c r="AJ9" s="291"/>
      <c r="AK9" s="1182" t="s">
        <v>515</v>
      </c>
      <c r="AM9" s="424"/>
      <c r="AN9" s="424" t="str">
        <f t="shared" si="0"/>
        <v>Добавить значение признака дифференциации</v>
      </c>
      <c r="AO9" s="424"/>
      <c r="AP9" s="424"/>
    </row>
    <row r="10" spans="1:42" ht="21" hidden="1" customHeight="1">
      <c r="A10" s="1284"/>
      <c r="B10" s="1284"/>
      <c r="C10" s="1284"/>
      <c r="D10" s="1284"/>
      <c r="E10" s="3909"/>
      <c r="F10" s="3909"/>
      <c r="G10" s="3909"/>
      <c r="H10" s="3909"/>
      <c r="I10" s="3906"/>
      <c r="J10" s="1284"/>
      <c r="K10" s="1284"/>
      <c r="L10" s="1285"/>
      <c r="P10" s="3907"/>
      <c r="Q10" s="1368"/>
      <c r="R10" s="277"/>
      <c r="S10" s="1203"/>
      <c r="T10" s="288" t="s">
        <v>443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909"/>
      <c r="F11" s="3909"/>
      <c r="G11" s="3909"/>
      <c r="H11" s="3908"/>
      <c r="I11" s="1284"/>
      <c r="J11" s="1284"/>
      <c r="K11" s="1284"/>
      <c r="L11" s="1285"/>
      <c r="M11" s="1286"/>
      <c r="N11" s="1286"/>
      <c r="O11" s="460"/>
      <c r="P11" s="281"/>
      <c r="Q11" s="299"/>
      <c r="R11" s="276"/>
      <c r="S11" s="1203"/>
      <c r="T11" s="296" t="s">
        <v>516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909"/>
      <c r="F12" s="3908"/>
      <c r="G12" s="1237"/>
      <c r="H12" s="1237"/>
      <c r="I12" s="1237"/>
      <c r="J12" s="1237"/>
      <c r="K12" s="1237"/>
      <c r="L12" s="1376"/>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908"/>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913"/>
      <c r="AG15" s="3914" t="s">
        <v>60</v>
      </c>
      <c r="AH15" s="3913"/>
      <c r="AI15" s="3914" t="s">
        <v>60</v>
      </c>
    </row>
    <row r="16" spans="1:42" ht="14.25" hidden="1" customHeight="1">
      <c r="AC16" s="1281"/>
      <c r="AD16" s="1281"/>
      <c r="AE16" s="250" t="str">
        <f>AF15&amp;"-"&amp;AH15</f>
        <v>-</v>
      </c>
      <c r="AF16" s="3914"/>
      <c r="AG16" s="3914"/>
      <c r="AH16" s="3914"/>
      <c r="AI16" s="3914"/>
    </row>
    <row r="17" spans="1:42" ht="14.25" hidden="1" customHeight="1">
      <c r="AI17" s="249"/>
    </row>
    <row r="18" spans="1:42" s="1287" customFormat="1" ht="22.5" hidden="1" customHeight="1">
      <c r="L18" s="1365"/>
      <c r="M18" s="1283"/>
      <c r="N18" s="1283"/>
      <c r="O18" s="1288" t="s">
        <v>446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447</v>
      </c>
      <c r="P20" s="1283"/>
      <c r="Q20" s="1361"/>
      <c r="R20" s="1361"/>
      <c r="S20" s="646"/>
      <c r="T20" s="1065" t="s">
        <v>448</v>
      </c>
      <c r="Z20" s="104" t="s">
        <v>449</v>
      </c>
      <c r="AB20" s="104" t="s">
        <v>450</v>
      </c>
      <c r="AC20" s="1065" t="s">
        <v>448</v>
      </c>
      <c r="AG20" s="104" t="s">
        <v>451</v>
      </c>
      <c r="AI20" s="104" t="s">
        <v>450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8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892"/>
      <c r="U24" s="3892"/>
      <c r="V24" s="3892"/>
      <c r="W24" s="3892"/>
      <c r="X24" s="3892"/>
      <c r="Y24" s="3892"/>
      <c r="Z24" s="3892"/>
      <c r="AA24" s="3892"/>
      <c r="AB24" s="3892"/>
      <c r="AC24" s="3892"/>
      <c r="AD24" s="3892"/>
      <c r="AE24" s="3892"/>
      <c r="AF24" s="3892"/>
      <c r="AG24" s="3892"/>
      <c r="AH24" s="3892"/>
      <c r="AI24" s="1157"/>
    </row>
    <row r="25" spans="1:42" ht="14.25" customHeight="1">
      <c r="Q25" s="300"/>
      <c r="R25" s="300"/>
      <c r="S25" s="3839" t="str">
        <f>IF(org=0,"Не определено",org)</f>
        <v>ГУП СК "Ставрополькрайводоканал"</v>
      </c>
      <c r="T25" s="3839"/>
      <c r="U25" s="3839"/>
      <c r="V25" s="3839"/>
      <c r="W25" s="3839"/>
      <c r="X25" s="3839"/>
      <c r="Y25" s="3839"/>
      <c r="Z25" s="3839"/>
      <c r="AA25" s="3839"/>
      <c r="AB25" s="3839"/>
      <c r="AC25" s="3839"/>
      <c r="AD25" s="3839"/>
      <c r="AE25" s="3839"/>
      <c r="AF25" s="3839"/>
      <c r="AG25" s="3839"/>
      <c r="AH25" s="383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900" t="s">
        <v>38</v>
      </c>
      <c r="T27" s="3900"/>
      <c r="U27" s="1293"/>
      <c r="V27" s="3901" t="str">
        <f>IF(TITLE_NAME_OR_PR_CHANGE="",IF(TITLE_NAME_OR_PR="","",TITLE_NAME_OR_PR),TITLE_NAME_OR_PR_CHANGE)</f>
        <v>Региональная тарифная комиссия Ставропольского края</v>
      </c>
      <c r="W27" s="3901"/>
      <c r="X27" s="3901"/>
      <c r="Y27" s="3901"/>
      <c r="Z27" s="3901"/>
      <c r="AA27" s="3901"/>
      <c r="AB27" s="248"/>
      <c r="AC27" s="3901" t="str">
        <f>IF(TITLE_NAME_OR_PR_CHANGE="",IF(TITLE_NAME_OR_PR="","",TITLE_NAME_OR_PR),TITLE_NAME_OR_PR_CHANGE)</f>
        <v>Региональная тарифная комиссия Ставропольского края</v>
      </c>
      <c r="AD27" s="3901"/>
      <c r="AE27" s="3901"/>
      <c r="AF27" s="3901"/>
      <c r="AG27" s="3901"/>
      <c r="AH27" s="3901"/>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900" t="s">
        <v>452</v>
      </c>
      <c r="T28" s="3900"/>
      <c r="U28" s="1293"/>
      <c r="V28" s="3910">
        <f>IF(TITLE_DATE_PR_CHANGE="",IF(TITLE_DATE_PR="","",TITLE_DATE_PR),TITLE_DATE_PR_CHANGE)</f>
        <v>45278</v>
      </c>
      <c r="W28" s="3910"/>
      <c r="X28" s="3910"/>
      <c r="Y28" s="3910"/>
      <c r="Z28" s="3910"/>
      <c r="AA28" s="3910"/>
      <c r="AB28" s="248"/>
      <c r="AC28" s="3910">
        <f>IF(TITLE_DATE_PR_CHANGE="",IF(TITLE_DATE_PR="","",TITLE_DATE_PR),TITLE_DATE_PR_CHANGE)</f>
        <v>45278</v>
      </c>
      <c r="AD28" s="3910"/>
      <c r="AE28" s="3910"/>
      <c r="AF28" s="3910"/>
      <c r="AG28" s="3910"/>
      <c r="AH28" s="3910"/>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900" t="s">
        <v>453</v>
      </c>
      <c r="T29" s="3900"/>
      <c r="U29" s="1293"/>
      <c r="V29" s="3901" t="str">
        <f>IF(TITLE_NUMBER_PR_CHANGE="",IF(TITLE_NUMBER_PR="","",TITLE_NUMBER_PR),TITLE_NUMBER_PR_CHANGE)</f>
        <v>79/2</v>
      </c>
      <c r="W29" s="3901"/>
      <c r="X29" s="3901"/>
      <c r="Y29" s="3901"/>
      <c r="Z29" s="3901"/>
      <c r="AA29" s="3901"/>
      <c r="AB29" s="248"/>
      <c r="AC29" s="3901" t="str">
        <f>IF(TITLE_NUMBER_PR_CHANGE="",IF(TITLE_NUMBER_PR="","",TITLE_NUMBER_PR),TITLE_NUMBER_PR_CHANGE)</f>
        <v>79/2</v>
      </c>
      <c r="AD29" s="3901"/>
      <c r="AE29" s="3901"/>
      <c r="AF29" s="3901"/>
      <c r="AG29" s="3901"/>
      <c r="AH29" s="3901"/>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900" t="s">
        <v>40</v>
      </c>
      <c r="T30" s="3900"/>
      <c r="U30" s="1293"/>
      <c r="V30" s="3901" t="str">
        <f>IF(TITLE_IST_PUB_CHANGE="",IF(TITLE_IST_PUB="","",TITLE_IST_PUB),TITLE_IST_PUB_CHANGE)</f>
        <v>http://pravo.stavregion.ru/</v>
      </c>
      <c r="W30" s="3901"/>
      <c r="X30" s="3901"/>
      <c r="Y30" s="3901"/>
      <c r="Z30" s="3901"/>
      <c r="AA30" s="3901"/>
      <c r="AB30" s="248"/>
      <c r="AC30" s="3901" t="str">
        <f>IF(TITLE_IST_PUB_CHANGE="",IF(TITLE_IST_PUB="","",TITLE_IST_PUB),TITLE_IST_PUB_CHANGE)</f>
        <v>http://pravo.stavregion.ru/</v>
      </c>
      <c r="AD30" s="3901"/>
      <c r="AE30" s="3901"/>
      <c r="AF30" s="3901"/>
      <c r="AG30" s="3901"/>
      <c r="AH30" s="3901"/>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900" t="s">
        <v>454</v>
      </c>
      <c r="T32" s="3900"/>
      <c r="U32" s="1293"/>
      <c r="V32" s="3910">
        <f>IF(TITLE_DATE_PR_CHANGE="",IF(TITLE_DATE_PR="","",TITLE_DATE_PR),TITLE_DATE_PR_CHANGE)</f>
        <v>45278</v>
      </c>
      <c r="W32" s="3910"/>
      <c r="X32" s="3910"/>
      <c r="Y32" s="3910"/>
      <c r="Z32" s="3910"/>
      <c r="AA32" s="3910"/>
      <c r="AB32" s="248"/>
      <c r="AC32" s="3910">
        <f>IF(TITLE_DATE_PR_CHANGE="",IF(TITLE_DATE_PR="","",TITLE_DATE_PR),TITLE_DATE_PR_CHANGE)</f>
        <v>45278</v>
      </c>
      <c r="AD32" s="3910"/>
      <c r="AE32" s="3910"/>
      <c r="AF32" s="3910"/>
      <c r="AG32" s="3910"/>
      <c r="AH32" s="3910"/>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900" t="s">
        <v>455</v>
      </c>
      <c r="T33" s="3900"/>
      <c r="U33" s="1293"/>
      <c r="V33" s="3901" t="str">
        <f>IF(TITLE_NUMBER_PR_CHANGE="",IF(TITLE_NUMBER_PR="","",TITLE_NUMBER_PR),TITLE_NUMBER_PR_CHANGE)</f>
        <v>79/2</v>
      </c>
      <c r="W33" s="3901"/>
      <c r="X33" s="3901"/>
      <c r="Y33" s="3901"/>
      <c r="Z33" s="3901"/>
      <c r="AA33" s="3901"/>
      <c r="AB33" s="248"/>
      <c r="AC33" s="3901" t="str">
        <f>IF(TITLE_NUMBER_PR_CHANGE="",IF(TITLE_NUMBER_PR="","",TITLE_NUMBER_PR),TITLE_NUMBER_PR_CHANGE)</f>
        <v>79/2</v>
      </c>
      <c r="AD33" s="3901"/>
      <c r="AE33" s="3901"/>
      <c r="AF33" s="3901"/>
      <c r="AG33" s="3901"/>
      <c r="AH33" s="3901"/>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456</v>
      </c>
      <c r="AC34" s="248"/>
      <c r="AD34" s="248"/>
      <c r="AE34" s="248"/>
      <c r="AF34" s="248"/>
      <c r="AG34" s="248"/>
      <c r="AH34" s="248"/>
      <c r="AI34" s="194" t="s">
        <v>456</v>
      </c>
      <c r="AL34" s="292"/>
      <c r="AM34" s="292"/>
      <c r="AN34" s="292"/>
      <c r="AO34" s="292"/>
      <c r="AP34" s="292"/>
    </row>
    <row r="35" spans="1:42" ht="14.25" customHeight="1">
      <c r="Q35" s="300"/>
      <c r="R35" s="300"/>
      <c r="S35" s="1200"/>
      <c r="T35" s="286"/>
      <c r="U35" s="1158"/>
      <c r="V35" s="3902"/>
      <c r="W35" s="3902"/>
      <c r="X35" s="3902"/>
      <c r="Y35" s="3902"/>
      <c r="Z35" s="3902"/>
      <c r="AA35" s="3902"/>
      <c r="AB35" s="3902"/>
      <c r="AC35" s="3902"/>
      <c r="AD35" s="3902"/>
      <c r="AE35" s="3902"/>
      <c r="AF35" s="3902"/>
      <c r="AG35" s="3902"/>
      <c r="AH35" s="3902"/>
      <c r="AI35" s="3902"/>
    </row>
    <row r="36" spans="1:42" ht="14.25" customHeight="1">
      <c r="Q36" s="300"/>
      <c r="R36" s="300"/>
      <c r="S36" s="3778" t="s">
        <v>329</v>
      </c>
      <c r="T36" s="3778"/>
      <c r="U36" s="3778"/>
      <c r="V36" s="3778"/>
      <c r="W36" s="3778"/>
      <c r="X36" s="3778"/>
      <c r="Y36" s="3778"/>
      <c r="Z36" s="3778"/>
      <c r="AA36" s="3778"/>
      <c r="AB36" s="3778"/>
      <c r="AC36" s="3778"/>
      <c r="AD36" s="3778"/>
      <c r="AE36" s="3778"/>
      <c r="AF36" s="3778"/>
      <c r="AG36" s="3778"/>
      <c r="AH36" s="3778"/>
      <c r="AI36" s="3778"/>
      <c r="AJ36" s="3778"/>
      <c r="AK36" s="3778" t="s">
        <v>330</v>
      </c>
    </row>
    <row r="37" spans="1:42" ht="14.25" customHeight="1">
      <c r="Q37" s="300"/>
      <c r="R37" s="300"/>
      <c r="S37" s="3916" t="s">
        <v>86</v>
      </c>
      <c r="T37" s="3868" t="s">
        <v>457</v>
      </c>
      <c r="U37" s="215"/>
      <c r="V37" s="3917" t="s">
        <v>458</v>
      </c>
      <c r="W37" s="3918"/>
      <c r="X37" s="3918"/>
      <c r="Y37" s="3918"/>
      <c r="Z37" s="3918"/>
      <c r="AA37" s="3919"/>
      <c r="AB37" s="3920" t="s">
        <v>459</v>
      </c>
      <c r="AC37" s="3917" t="s">
        <v>458</v>
      </c>
      <c r="AD37" s="3918"/>
      <c r="AE37" s="3918"/>
      <c r="AF37" s="3918"/>
      <c r="AG37" s="3918"/>
      <c r="AH37" s="3919"/>
      <c r="AI37" s="3920" t="s">
        <v>460</v>
      </c>
      <c r="AJ37" s="3923" t="s">
        <v>461</v>
      </c>
      <c r="AK37" s="3778"/>
    </row>
    <row r="38" spans="1:42" ht="33.75" customHeight="1">
      <c r="Q38" s="300"/>
      <c r="R38" s="300"/>
      <c r="S38" s="3916"/>
      <c r="T38" s="3868"/>
      <c r="U38" s="942"/>
      <c r="V38" s="1370" t="s">
        <v>517</v>
      </c>
      <c r="W38" s="3749" t="s">
        <v>464</v>
      </c>
      <c r="X38" s="3748"/>
      <c r="Y38" s="3749" t="s">
        <v>465</v>
      </c>
      <c r="Z38" s="3754"/>
      <c r="AA38" s="3748"/>
      <c r="AB38" s="3921"/>
      <c r="AC38" s="1370" t="s">
        <v>517</v>
      </c>
      <c r="AD38" s="3749" t="s">
        <v>464</v>
      </c>
      <c r="AE38" s="3748"/>
      <c r="AF38" s="3749" t="s">
        <v>465</v>
      </c>
      <c r="AG38" s="3754"/>
      <c r="AH38" s="3748"/>
      <c r="AI38" s="3921"/>
      <c r="AJ38" s="3924"/>
      <c r="AK38" s="3778"/>
    </row>
    <row r="39" spans="1:42" ht="33.75" customHeight="1">
      <c r="A39" s="1291"/>
      <c r="B39" s="1291" t="s">
        <v>153</v>
      </c>
      <c r="C39" s="1291" t="s">
        <v>154</v>
      </c>
      <c r="D39" s="1291" t="s">
        <v>155</v>
      </c>
      <c r="E39" s="1285" t="s">
        <v>466</v>
      </c>
      <c r="F39" s="1285" t="s">
        <v>467</v>
      </c>
      <c r="G39" s="1285" t="s">
        <v>468</v>
      </c>
      <c r="H39" s="1285"/>
      <c r="I39" s="1285" t="s">
        <v>518</v>
      </c>
      <c r="J39" s="1285" t="s">
        <v>471</v>
      </c>
      <c r="K39" s="1285" t="s">
        <v>519</v>
      </c>
      <c r="L39" s="1285" t="s">
        <v>447</v>
      </c>
      <c r="Q39" s="300"/>
      <c r="R39" s="300"/>
      <c r="S39" s="3916"/>
      <c r="T39" s="3868"/>
      <c r="U39" s="216"/>
      <c r="V39" s="1370" t="s">
        <v>520</v>
      </c>
      <c r="W39" s="1133" t="s">
        <v>521</v>
      </c>
      <c r="X39" s="1133" t="s">
        <v>522</v>
      </c>
      <c r="Y39" s="1373" t="s">
        <v>475</v>
      </c>
      <c r="Z39" s="3876" t="s">
        <v>476</v>
      </c>
      <c r="AA39" s="3878"/>
      <c r="AB39" s="3922"/>
      <c r="AC39" s="1370" t="s">
        <v>520</v>
      </c>
      <c r="AD39" s="1133" t="s">
        <v>521</v>
      </c>
      <c r="AE39" s="1133" t="s">
        <v>522</v>
      </c>
      <c r="AF39" s="1373" t="s">
        <v>475</v>
      </c>
      <c r="AG39" s="3876" t="s">
        <v>476</v>
      </c>
      <c r="AH39" s="3878"/>
      <c r="AI39" s="3922"/>
      <c r="AJ39" s="3925"/>
      <c r="AK39" s="377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129</v>
      </c>
      <c r="T40" s="1177" t="s">
        <v>102</v>
      </c>
      <c r="U40" s="1159" t="str">
        <f ca="1">OFFSET(U40,0,-1)</f>
        <v>2</v>
      </c>
      <c r="V40" s="1369">
        <f ca="1">OFFSET(V40,0,-1)+1</f>
        <v>3</v>
      </c>
      <c r="W40" s="1369">
        <f ca="1">OFFSET(W40,0,-1)+1</f>
        <v>4</v>
      </c>
      <c r="X40" s="1369">
        <f ca="1">OFFSET(X40,0,-1)+1</f>
        <v>5</v>
      </c>
      <c r="Y40" s="1369">
        <f ca="1">OFFSET(Y40,0,-1)+1</f>
        <v>6</v>
      </c>
      <c r="Z40" s="3915">
        <f ca="1">OFFSET(Z40,0,-1)+1</f>
        <v>7</v>
      </c>
      <c r="AA40" s="3915"/>
      <c r="AB40" s="1369">
        <f ca="1">OFFSET(AB40,0,-2)+1</f>
        <v>8</v>
      </c>
      <c r="AC40" s="1369">
        <f ca="1">OFFSET(AC40,0,-1)+1</f>
        <v>9</v>
      </c>
      <c r="AD40" s="1369">
        <f ca="1">OFFSET(AD40,0,-1)+1</f>
        <v>10</v>
      </c>
      <c r="AE40" s="1369">
        <f ca="1">OFFSET(AE40,0,-1)+1</f>
        <v>11</v>
      </c>
      <c r="AF40" s="1369">
        <f ca="1">OFFSET(AF40,0,-1)+1</f>
        <v>12</v>
      </c>
      <c r="AG40" s="3915">
        <f ca="1">OFFSET(AG40,0,-1)+1</f>
        <v>13</v>
      </c>
      <c r="AH40" s="3915"/>
      <c r="AI40" s="1369">
        <f ca="1">OFFSET(AI40,0,-2)+1</f>
        <v>14</v>
      </c>
      <c r="AJ40" s="1159">
        <f ca="1">OFFSET(AJ40,0,-1)</f>
        <v>14</v>
      </c>
      <c r="AK40" s="1369">
        <f ca="1">OFFSET(AK40,0,-1)+1</f>
        <v>15</v>
      </c>
      <c r="AL40" s="435"/>
      <c r="AM40" s="435"/>
      <c r="AN40" s="435"/>
      <c r="AO40" s="435"/>
      <c r="AP40" s="435"/>
    </row>
    <row r="41" spans="1:42" ht="23.25" customHeight="1">
      <c r="A41" s="1284" t="s">
        <v>270</v>
      </c>
      <c r="B41" s="1284"/>
      <c r="C41" s="1284"/>
      <c r="D41" s="1284"/>
      <c r="E41" s="3908">
        <v>1</v>
      </c>
      <c r="F41" s="1284"/>
      <c r="G41" s="1284"/>
      <c r="H41" s="1284"/>
      <c r="I41" s="1284"/>
      <c r="J41" s="1284"/>
      <c r="K41" s="1284"/>
      <c r="L41" s="1285"/>
      <c r="M41" s="1286"/>
      <c r="N41" s="1286"/>
      <c r="O41" s="1286"/>
      <c r="P41" s="282"/>
      <c r="Q41" s="281"/>
      <c r="R41" s="276"/>
      <c r="S41" s="1375">
        <f>INDEX(PT_DIFFERENTIATION_NUM_NTAR,MATCH(A41,PT_DIFFERENTIATION_NTAR_ID,0))</f>
        <v>0</v>
      </c>
      <c r="T41" s="212" t="s">
        <v>141</v>
      </c>
      <c r="U41" s="214"/>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270</v>
      </c>
      <c r="B42" s="1284" t="s">
        <v>271</v>
      </c>
      <c r="C42" s="1284"/>
      <c r="D42" s="1284"/>
      <c r="E42" s="3909"/>
      <c r="F42" s="3908">
        <v>1</v>
      </c>
      <c r="G42" s="1284"/>
      <c r="H42" s="1284"/>
      <c r="I42" s="1284"/>
      <c r="J42" s="1284"/>
      <c r="K42" s="1284"/>
      <c r="L42" s="1285"/>
      <c r="M42" s="1286"/>
      <c r="N42" s="1286"/>
      <c r="O42" s="1286"/>
      <c r="P42" s="1371"/>
      <c r="Q42" s="273"/>
      <c r="R42" s="274"/>
      <c r="S42" s="1375" t="str">
        <f>INDEX(PT_DIFFERENTIATION_NUM_TER,MATCH(B42,PT_DIFFERENTIATION_TER_ID,0))</f>
        <v>.</v>
      </c>
      <c r="T42" s="224" t="s">
        <v>428</v>
      </c>
      <c r="U42" s="214"/>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182" t="s">
        <v>429</v>
      </c>
      <c r="AM42" s="424"/>
      <c r="AN42" s="424" t="str">
        <f t="shared" si="1"/>
        <v>Территория действия тарифа</v>
      </c>
      <c r="AO42" s="424"/>
      <c r="AP42" s="424"/>
    </row>
    <row r="43" spans="1:42" ht="23.25" customHeight="1">
      <c r="A43" s="1284" t="s">
        <v>270</v>
      </c>
      <c r="B43" s="1284" t="s">
        <v>271</v>
      </c>
      <c r="C43" s="1284" t="s">
        <v>272</v>
      </c>
      <c r="D43" s="1284"/>
      <c r="E43" s="3909"/>
      <c r="F43" s="3909"/>
      <c r="G43" s="3908">
        <v>1</v>
      </c>
      <c r="H43" s="1284"/>
      <c r="I43" s="1284"/>
      <c r="J43" s="1284"/>
      <c r="K43" s="1284"/>
      <c r="L43" s="1285"/>
      <c r="M43" s="1286"/>
      <c r="N43" s="1286"/>
      <c r="O43" s="1286"/>
      <c r="P43" s="275"/>
      <c r="Q43" s="273"/>
      <c r="R43" s="274"/>
      <c r="S43" s="1375" t="str">
        <f>INDEX(PT_DIFFERENTIATION_NUM_CS,MATCH(C43,PT_DIFFERENTIATION_CS_ID,0))</f>
        <v>..</v>
      </c>
      <c r="T43" s="225" t="s">
        <v>509</v>
      </c>
      <c r="U43" s="214"/>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182" t="s">
        <v>510</v>
      </c>
      <c r="AM43" s="424"/>
      <c r="AN43" s="424" t="str">
        <f t="shared" si="1"/>
        <v>Наименование централизованной системы холодного водоснабжения</v>
      </c>
      <c r="AO43" s="424"/>
      <c r="AP43" s="424"/>
    </row>
    <row r="44" spans="1:42" ht="23.25" customHeight="1">
      <c r="A44" s="1284" t="s">
        <v>270</v>
      </c>
      <c r="B44" s="1284" t="s">
        <v>271</v>
      </c>
      <c r="C44" s="1284" t="s">
        <v>272</v>
      </c>
      <c r="D44" s="1284" t="s">
        <v>530</v>
      </c>
      <c r="E44" s="3909"/>
      <c r="F44" s="3909"/>
      <c r="G44" s="3909"/>
      <c r="H44" s="3909"/>
      <c r="I44" s="3906" t="str">
        <f>S43&amp;".1"</f>
        <v>...1</v>
      </c>
      <c r="J44" s="1284"/>
      <c r="K44" s="1284"/>
      <c r="L44" s="1285"/>
      <c r="P44" s="3907">
        <v>1</v>
      </c>
      <c r="Q44" s="1368"/>
      <c r="R44" s="277"/>
      <c r="S44" s="1375" t="str">
        <f>$I44</f>
        <v>...1</v>
      </c>
      <c r="T44" s="200" t="s">
        <v>511</v>
      </c>
      <c r="U44" s="214"/>
      <c r="V44" s="3967"/>
      <c r="W44" s="3968"/>
      <c r="X44" s="3968"/>
      <c r="Y44" s="3968"/>
      <c r="Z44" s="3968"/>
      <c r="AA44" s="3968"/>
      <c r="AB44" s="3969"/>
      <c r="AC44" s="3970"/>
      <c r="AD44" s="3971"/>
      <c r="AE44" s="3971"/>
      <c r="AF44" s="3971"/>
      <c r="AG44" s="3971"/>
      <c r="AH44" s="3971"/>
      <c r="AI44" s="3971"/>
      <c r="AJ44" s="3972"/>
      <c r="AK44" s="1182" t="s">
        <v>512</v>
      </c>
      <c r="AM44" s="424"/>
      <c r="AN44" s="424" t="str">
        <f t="shared" si="1"/>
        <v>Наименование признака дифференциации</v>
      </c>
      <c r="AO44" s="424"/>
      <c r="AP44" s="424"/>
    </row>
    <row r="45" spans="1:42" ht="23.25" customHeight="1">
      <c r="A45" s="1284" t="s">
        <v>270</v>
      </c>
      <c r="B45" s="1284" t="s">
        <v>271</v>
      </c>
      <c r="C45" s="1284" t="s">
        <v>272</v>
      </c>
      <c r="D45" s="1284" t="s">
        <v>530</v>
      </c>
      <c r="E45" s="3909"/>
      <c r="F45" s="3909"/>
      <c r="G45" s="3909"/>
      <c r="H45" s="3909"/>
      <c r="I45" s="3929"/>
      <c r="J45" s="3906" t="str">
        <f>I44&amp;".1"</f>
        <v>...1.1</v>
      </c>
      <c r="K45" s="1284"/>
      <c r="L45" s="1285" t="s">
        <v>437</v>
      </c>
      <c r="P45" s="3907"/>
      <c r="Q45" s="3907">
        <v>1</v>
      </c>
      <c r="R45" s="278"/>
      <c r="S45" s="1375" t="str">
        <f>$J45</f>
        <v>...1.1</v>
      </c>
      <c r="T45" s="201" t="s">
        <v>438</v>
      </c>
      <c r="U45" s="214"/>
      <c r="V45" s="3897"/>
      <c r="W45" s="3898"/>
      <c r="X45" s="3898"/>
      <c r="Y45" s="3898"/>
      <c r="Z45" s="3898"/>
      <c r="AA45" s="3898"/>
      <c r="AB45" s="3899"/>
      <c r="AC45" s="3897"/>
      <c r="AD45" s="3898"/>
      <c r="AE45" s="3898"/>
      <c r="AF45" s="3898"/>
      <c r="AG45" s="3898"/>
      <c r="AH45" s="3898"/>
      <c r="AI45" s="3898"/>
      <c r="AJ45" s="3899"/>
      <c r="AK45" s="1231" t="s">
        <v>513</v>
      </c>
      <c r="AM45" s="424"/>
      <c r="AN45" s="424" t="str">
        <f t="shared" si="1"/>
        <v>Группа потребителей</v>
      </c>
      <c r="AO45" s="424"/>
      <c r="AP45" s="424"/>
    </row>
    <row r="46" spans="1:42" ht="23.25" customHeight="1">
      <c r="A46" s="1284" t="s">
        <v>270</v>
      </c>
      <c r="B46" s="1284" t="s">
        <v>271</v>
      </c>
      <c r="C46" s="1284" t="s">
        <v>272</v>
      </c>
      <c r="D46" s="1284" t="s">
        <v>530</v>
      </c>
      <c r="E46" s="3909"/>
      <c r="F46" s="3909"/>
      <c r="G46" s="3909"/>
      <c r="H46" s="3909"/>
      <c r="I46" s="3929"/>
      <c r="J46" s="3929"/>
      <c r="K46" s="3906" t="str">
        <f>J45&amp;".1"</f>
        <v>...1.1.1</v>
      </c>
      <c r="L46" s="1285"/>
      <c r="P46" s="3907"/>
      <c r="Q46" s="3907"/>
      <c r="R46" s="278">
        <v>1</v>
      </c>
      <c r="S46" s="1375" t="str">
        <f>$K46</f>
        <v>...1.1.1</v>
      </c>
      <c r="T46" s="1357"/>
      <c r="U46" s="214"/>
      <c r="V46" s="666"/>
      <c r="W46" s="666"/>
      <c r="X46" s="1181"/>
      <c r="Y46" s="3911"/>
      <c r="Z46" s="3759" t="s">
        <v>60</v>
      </c>
      <c r="AA46" s="3911"/>
      <c r="AB46" s="3759" t="s">
        <v>60</v>
      </c>
      <c r="AC46" s="666"/>
      <c r="AD46" s="666"/>
      <c r="AE46" s="1181"/>
      <c r="AF46" s="3911"/>
      <c r="AG46" s="3759" t="s">
        <v>60</v>
      </c>
      <c r="AH46" s="3930"/>
      <c r="AI46" s="3759" t="s">
        <v>60</v>
      </c>
      <c r="AJ46" s="1358"/>
      <c r="AK4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270</v>
      </c>
      <c r="B47" s="1284" t="s">
        <v>271</v>
      </c>
      <c r="C47" s="1284" t="s">
        <v>272</v>
      </c>
      <c r="D47" s="1284" t="s">
        <v>530</v>
      </c>
      <c r="E47" s="3909"/>
      <c r="F47" s="3909"/>
      <c r="G47" s="3909"/>
      <c r="H47" s="3909"/>
      <c r="I47" s="3929"/>
      <c r="J47" s="3929"/>
      <c r="K47" s="3906"/>
      <c r="L47" s="1285"/>
      <c r="P47" s="3907"/>
      <c r="Q47" s="3907"/>
      <c r="R47" s="278"/>
      <c r="S47" s="1374"/>
      <c r="T47" s="214"/>
      <c r="U47" s="214"/>
      <c r="V47" s="246"/>
      <c r="W47" s="246"/>
      <c r="X47" s="250" t="str">
        <f>Y46&amp;"-"&amp;AA46</f>
        <v>-</v>
      </c>
      <c r="Y47" s="3912"/>
      <c r="Z47" s="3759"/>
      <c r="AA47" s="3912"/>
      <c r="AB47" s="3759"/>
      <c r="AC47" s="246"/>
      <c r="AD47" s="246"/>
      <c r="AE47" s="250" t="str">
        <f>AF46&amp;"-"&amp;AH46</f>
        <v>-</v>
      </c>
      <c r="AF47" s="3912"/>
      <c r="AG47" s="3759"/>
      <c r="AH47" s="3931"/>
      <c r="AI47" s="3759"/>
      <c r="AJ47" s="1359"/>
      <c r="AK47" s="3966"/>
      <c r="AM47" s="424"/>
      <c r="AN47" s="424" t="str">
        <f t="shared" si="1"/>
        <v/>
      </c>
      <c r="AO47" s="424"/>
      <c r="AP47" s="424"/>
    </row>
    <row r="48" spans="1:42" ht="21" customHeight="1">
      <c r="A48" s="1284" t="s">
        <v>270</v>
      </c>
      <c r="B48" s="1284" t="s">
        <v>271</v>
      </c>
      <c r="C48" s="1284" t="s">
        <v>272</v>
      </c>
      <c r="D48" s="1284" t="s">
        <v>530</v>
      </c>
      <c r="E48" s="3909"/>
      <c r="F48" s="3909"/>
      <c r="G48" s="3909"/>
      <c r="H48" s="3909"/>
      <c r="I48" s="3929"/>
      <c r="J48" s="3906"/>
      <c r="K48" s="1284"/>
      <c r="L48" s="1285"/>
      <c r="P48" s="3907"/>
      <c r="Q48" s="3907"/>
      <c r="R48" s="277"/>
      <c r="S48" s="1203"/>
      <c r="T48" s="202" t="s">
        <v>514</v>
      </c>
      <c r="U48" s="291"/>
      <c r="V48" s="291"/>
      <c r="W48" s="291"/>
      <c r="X48" s="291"/>
      <c r="Y48" s="291"/>
      <c r="Z48" s="291"/>
      <c r="AA48" s="291"/>
      <c r="AB48" s="291"/>
      <c r="AC48" s="291"/>
      <c r="AD48" s="291"/>
      <c r="AE48" s="291"/>
      <c r="AF48" s="291"/>
      <c r="AG48" s="291"/>
      <c r="AH48" s="291"/>
      <c r="AI48" s="291"/>
      <c r="AJ48" s="291"/>
      <c r="AK48" s="1182" t="s">
        <v>515</v>
      </c>
      <c r="AM48" s="424"/>
      <c r="AN48" s="424" t="str">
        <f t="shared" si="1"/>
        <v>Добавить значение признака дифференциации</v>
      </c>
      <c r="AO48" s="424"/>
      <c r="AP48" s="424"/>
    </row>
    <row r="49" spans="1:42" ht="21" customHeight="1">
      <c r="A49" s="1284" t="s">
        <v>270</v>
      </c>
      <c r="B49" s="1284" t="s">
        <v>271</v>
      </c>
      <c r="C49" s="1284" t="s">
        <v>272</v>
      </c>
      <c r="D49" s="1284" t="s">
        <v>530</v>
      </c>
      <c r="E49" s="3909"/>
      <c r="F49" s="3909"/>
      <c r="G49" s="3909"/>
      <c r="H49" s="3909"/>
      <c r="I49" s="3906"/>
      <c r="J49" s="1284"/>
      <c r="K49" s="1284"/>
      <c r="L49" s="1285"/>
      <c r="P49" s="3907"/>
      <c r="Q49" s="1368"/>
      <c r="R49" s="277"/>
      <c r="S49" s="1203"/>
      <c r="T49" s="288" t="s">
        <v>443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270</v>
      </c>
      <c r="B50" s="1284" t="s">
        <v>271</v>
      </c>
      <c r="C50" s="1284" t="s">
        <v>272</v>
      </c>
      <c r="D50" s="1284" t="s">
        <v>530</v>
      </c>
      <c r="E50" s="3909"/>
      <c r="F50" s="3909"/>
      <c r="G50" s="3909"/>
      <c r="H50" s="3908"/>
      <c r="I50" s="1284"/>
      <c r="J50" s="1284"/>
      <c r="K50" s="1284"/>
      <c r="L50" s="1285"/>
      <c r="M50" s="1286"/>
      <c r="N50" s="1286"/>
      <c r="O50" s="460"/>
      <c r="P50" s="281"/>
      <c r="Q50" s="299"/>
      <c r="R50" s="276"/>
      <c r="S50" s="1203"/>
      <c r="T50" s="296" t="s">
        <v>516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270</v>
      </c>
      <c r="B51" s="1265" t="s">
        <v>271</v>
      </c>
      <c r="C51" s="1237"/>
      <c r="D51" s="1237"/>
      <c r="E51" s="3909"/>
      <c r="F51" s="3908"/>
      <c r="G51" s="1237"/>
      <c r="H51" s="1237"/>
      <c r="I51" s="1237"/>
      <c r="J51" s="1237"/>
      <c r="K51" s="1237"/>
      <c r="L51" s="1376"/>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270</v>
      </c>
      <c r="B52" s="1265"/>
      <c r="C52" s="1265"/>
      <c r="D52" s="1265"/>
      <c r="E52" s="3908"/>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262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928"/>
      <c r="U55" s="3928"/>
      <c r="V55" s="3928"/>
      <c r="W55" s="3928"/>
      <c r="X55" s="3928"/>
      <c r="Y55" s="3928"/>
      <c r="Z55" s="3928"/>
      <c r="AA55" s="3928"/>
      <c r="AB55" s="3928"/>
      <c r="AC55" s="3928"/>
      <c r="AD55" s="3928"/>
      <c r="AE55" s="3928"/>
      <c r="AF55" s="3928"/>
      <c r="AG55" s="3928"/>
      <c r="AH55" s="3928"/>
      <c r="AI55" s="3928"/>
      <c r="AJ55" s="3928"/>
      <c r="AK55" s="3928"/>
    </row>
    <row r="56" spans="1:42" ht="14.25" customHeight="1">
      <c r="O56" s="460"/>
    </row>
    <row r="57" spans="1:42" ht="14.25" customHeight="1">
      <c r="O57" s="460"/>
      <c r="S57" s="1169"/>
      <c r="T57" s="3928"/>
      <c r="U57" s="3928"/>
      <c r="V57" s="3928"/>
      <c r="W57" s="3928"/>
      <c r="X57" s="3928"/>
      <c r="Y57" s="3928"/>
      <c r="Z57" s="3928"/>
      <c r="AA57" s="3928"/>
      <c r="AB57" s="3928"/>
      <c r="AC57" s="3928"/>
      <c r="AD57" s="3928"/>
      <c r="AE57" s="3928"/>
      <c r="AF57" s="3928"/>
      <c r="AG57" s="3928"/>
      <c r="AH57" s="3928"/>
      <c r="AI57" s="3928"/>
      <c r="AJ57" s="3928"/>
      <c r="AK57" s="39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908">
        <v>1</v>
      </c>
      <c r="F2" s="1284"/>
      <c r="G2" s="1284"/>
      <c r="H2" s="1284"/>
      <c r="I2" s="1284"/>
      <c r="J2" s="1284"/>
      <c r="K2" s="1284"/>
      <c r="L2" s="1285"/>
      <c r="M2" s="1286"/>
      <c r="N2" s="1286"/>
      <c r="O2" s="1286"/>
      <c r="P2" s="1330"/>
      <c r="Q2" s="787"/>
      <c r="R2" s="276"/>
      <c r="S2" s="1382" t="e">
        <f>INDEX(PT_DIFFERENTIATION_NUM_NTAR,MATCH(A2,PT_DIFFERENTIATION_NTAR_ID,0))</f>
        <v>#N/A</v>
      </c>
      <c r="T2" s="212" t="s">
        <v>141</v>
      </c>
      <c r="U2" s="214"/>
      <c r="V2" s="3895"/>
      <c r="W2" s="3895"/>
      <c r="X2" s="3895"/>
      <c r="Y2" s="3895"/>
      <c r="Z2" s="3895"/>
      <c r="AA2" s="3895"/>
      <c r="AB2" s="3895"/>
      <c r="AC2" s="3896"/>
      <c r="AD2" s="3894" t="e">
        <f>INDEX(PT_DIFFERENTIATION_NTAR,MATCH(A2,PT_DIFFERENTIATION_NTAR_ID,0))</f>
        <v>#N/A</v>
      </c>
      <c r="AE2" s="3895"/>
      <c r="AF2" s="3895"/>
      <c r="AG2" s="3895"/>
      <c r="AH2" s="3895"/>
      <c r="AI2" s="3895"/>
      <c r="AJ2" s="3895"/>
      <c r="AK2" s="3895"/>
      <c r="AL2" s="3895"/>
      <c r="AM2" s="3895"/>
      <c r="AN2" s="3895"/>
      <c r="AO2" s="3895"/>
      <c r="AP2" s="3895"/>
      <c r="AQ2" s="3895"/>
      <c r="AR2" s="3895"/>
      <c r="AS2" s="3895"/>
      <c r="AT2" s="3895"/>
      <c r="AU2" s="3895"/>
      <c r="AV2" s="3895"/>
      <c r="AW2" s="3895"/>
      <c r="AX2" s="3895"/>
      <c r="AY2" s="3895"/>
      <c r="AZ2" s="3895"/>
      <c r="BA2" s="3895"/>
      <c r="BB2" s="389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909"/>
      <c r="F3" s="3908">
        <v>1</v>
      </c>
      <c r="G3" s="1284"/>
      <c r="H3" s="1284"/>
      <c r="I3" s="1284"/>
      <c r="J3" s="1284"/>
      <c r="K3" s="1284"/>
      <c r="L3" s="1285"/>
      <c r="M3" s="1286"/>
      <c r="N3" s="1286"/>
      <c r="O3" s="1286"/>
      <c r="P3" s="1331"/>
      <c r="Q3" s="1332"/>
      <c r="R3" s="274"/>
      <c r="S3" s="1382" t="e">
        <f>INDEX(PT_DIFFERENTIATION_NUM_TER,MATCH(B3,PT_DIFFERENTIATION_TER_ID,0))</f>
        <v>#N/A</v>
      </c>
      <c r="T3" s="224" t="s">
        <v>428</v>
      </c>
      <c r="U3" s="214"/>
      <c r="V3" s="3895"/>
      <c r="W3" s="3895"/>
      <c r="X3" s="3895"/>
      <c r="Y3" s="3895"/>
      <c r="Z3" s="3895"/>
      <c r="AA3" s="3895"/>
      <c r="AB3" s="3895"/>
      <c r="AC3" s="3896"/>
      <c r="AD3" s="3894" t="e">
        <f>INDEX(PT_DIFFERENTIATION_TER,MATCH(B3,PT_DIFFERENTIATION_TER_ID,0))</f>
        <v>#N/A</v>
      </c>
      <c r="AE3" s="3895"/>
      <c r="AF3" s="3895"/>
      <c r="AG3" s="3895"/>
      <c r="AH3" s="3895"/>
      <c r="AI3" s="3895"/>
      <c r="AJ3" s="3895"/>
      <c r="AK3" s="3895"/>
      <c r="AL3" s="3895"/>
      <c r="AM3" s="3895"/>
      <c r="AN3" s="3895"/>
      <c r="AO3" s="3895"/>
      <c r="AP3" s="3895"/>
      <c r="AQ3" s="3895"/>
      <c r="AR3" s="3895"/>
      <c r="AS3" s="3895"/>
      <c r="AT3" s="3895"/>
      <c r="AU3" s="3895"/>
      <c r="AV3" s="3895"/>
      <c r="AW3" s="3895"/>
      <c r="AX3" s="3895"/>
      <c r="AY3" s="3895"/>
      <c r="AZ3" s="3895"/>
      <c r="BA3" s="3895"/>
      <c r="BB3" s="3896"/>
      <c r="BC3" s="1182" t="s">
        <v>429</v>
      </c>
      <c r="BE3" s="424"/>
      <c r="BF3" s="424" t="str">
        <f t="shared" si="0"/>
        <v>Территория действия тарифа</v>
      </c>
      <c r="BG3" s="424"/>
      <c r="BH3" s="424"/>
    </row>
    <row r="4" spans="1:60" ht="42" hidden="1" customHeight="1">
      <c r="A4" s="1284"/>
      <c r="B4" s="1284"/>
      <c r="C4" s="1284"/>
      <c r="D4" s="1284"/>
      <c r="E4" s="3909"/>
      <c r="F4" s="3909"/>
      <c r="G4" s="3908">
        <v>1</v>
      </c>
      <c r="H4" s="1284"/>
      <c r="I4" s="1284"/>
      <c r="J4" s="1284"/>
      <c r="K4" s="1284"/>
      <c r="L4" s="1285"/>
      <c r="M4" s="1286"/>
      <c r="N4" s="1286"/>
      <c r="O4" s="1286"/>
      <c r="P4" s="1333"/>
      <c r="Q4" s="1332"/>
      <c r="R4" s="274"/>
      <c r="S4" s="1382" t="e">
        <f>INDEX(PT_DIFFERENTIATION_NUM_CS,MATCH(C4,PT_DIFFERENTIATION_CS_ID,0))</f>
        <v>#N/A</v>
      </c>
      <c r="T4" s="225" t="s">
        <v>509</v>
      </c>
      <c r="U4" s="214"/>
      <c r="V4" s="3895"/>
      <c r="W4" s="3895"/>
      <c r="X4" s="3895"/>
      <c r="Y4" s="3895"/>
      <c r="Z4" s="3895"/>
      <c r="AA4" s="3895"/>
      <c r="AB4" s="3895"/>
      <c r="AC4" s="3896"/>
      <c r="AD4" s="3894" t="e">
        <f>INDEX(PT_DIFFERENTIATION_CS,MATCH(C4,PT_DIFFERENTIATION_CS_ID,0))</f>
        <v>#N/A</v>
      </c>
      <c r="AE4" s="3895"/>
      <c r="AF4" s="3895"/>
      <c r="AG4" s="3895"/>
      <c r="AH4" s="3895"/>
      <c r="AI4" s="3895"/>
      <c r="AJ4" s="3895"/>
      <c r="AK4" s="3895"/>
      <c r="AL4" s="3895"/>
      <c r="AM4" s="3895"/>
      <c r="AN4" s="3895"/>
      <c r="AO4" s="3895"/>
      <c r="AP4" s="3895"/>
      <c r="AQ4" s="3895"/>
      <c r="AR4" s="3895"/>
      <c r="AS4" s="3895"/>
      <c r="AT4" s="3895"/>
      <c r="AU4" s="3895"/>
      <c r="AV4" s="3895"/>
      <c r="AW4" s="3895"/>
      <c r="AX4" s="3895"/>
      <c r="AY4" s="3895"/>
      <c r="AZ4" s="3895"/>
      <c r="BA4" s="3895"/>
      <c r="BB4" s="3896"/>
      <c r="BC4" s="1182" t="s">
        <v>510</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3909"/>
      <c r="F5" s="3909"/>
      <c r="G5" s="3909"/>
      <c r="H5" s="3908">
        <v>1</v>
      </c>
      <c r="I5" s="1265"/>
      <c r="J5" s="1265"/>
      <c r="K5" s="1265"/>
      <c r="L5" s="1268"/>
      <c r="M5" s="1238"/>
      <c r="N5" s="1238"/>
      <c r="O5" s="1238"/>
      <c r="P5" s="1412"/>
      <c r="Q5" s="1413"/>
      <c r="R5" s="278"/>
      <c r="S5" s="953"/>
      <c r="T5" s="1414"/>
      <c r="U5" s="1305"/>
      <c r="V5" s="3936"/>
      <c r="W5" s="3936"/>
      <c r="X5" s="3936"/>
      <c r="Y5" s="3936"/>
      <c r="Z5" s="3936"/>
      <c r="AA5" s="3936"/>
      <c r="AB5" s="3936"/>
      <c r="AC5" s="3937"/>
      <c r="AD5" s="3935"/>
      <c r="AE5" s="3936"/>
      <c r="AF5" s="3936"/>
      <c r="AG5" s="3936"/>
      <c r="AH5" s="3936"/>
      <c r="AI5" s="3936"/>
      <c r="AJ5" s="3936"/>
      <c r="AK5" s="3936"/>
      <c r="AL5" s="3936"/>
      <c r="AM5" s="3936"/>
      <c r="AN5" s="3936"/>
      <c r="AO5" s="3936"/>
      <c r="AP5" s="3936"/>
      <c r="AQ5" s="3936"/>
      <c r="AR5" s="3936"/>
      <c r="AS5" s="3936"/>
      <c r="AT5" s="3936"/>
      <c r="AU5" s="3936"/>
      <c r="AV5" s="3936"/>
      <c r="AW5" s="3936"/>
      <c r="AX5" s="3936"/>
      <c r="AY5" s="3936"/>
      <c r="AZ5" s="3936"/>
      <c r="BA5" s="3936"/>
      <c r="BB5" s="3937"/>
      <c r="BC5" s="1306" t="s">
        <v>433</v>
      </c>
      <c r="BE5" s="424"/>
      <c r="BF5" s="424" t="str">
        <f t="shared" si="0"/>
        <v/>
      </c>
      <c r="BG5" s="424"/>
      <c r="BH5" s="424"/>
    </row>
    <row r="6" spans="1:60" s="1562" customFormat="1" ht="14.25" hidden="1" customHeight="1">
      <c r="A6" s="1265"/>
      <c r="B6" s="1265"/>
      <c r="C6" s="1265"/>
      <c r="D6" s="1265"/>
      <c r="E6" s="3909"/>
      <c r="F6" s="3909"/>
      <c r="G6" s="3909"/>
      <c r="H6" s="3909"/>
      <c r="I6" s="3906" t="str">
        <f>S5&amp;".1"</f>
        <v>.1</v>
      </c>
      <c r="J6" s="1265"/>
      <c r="K6" s="1265"/>
      <c r="L6" s="1268" t="s">
        <v>434</v>
      </c>
      <c r="M6" s="434"/>
      <c r="N6" s="434"/>
      <c r="O6" s="434"/>
      <c r="P6" s="3907">
        <v>1</v>
      </c>
      <c r="Q6" s="1379"/>
      <c r="R6" s="277"/>
      <c r="S6" s="953"/>
      <c r="T6" s="1304"/>
      <c r="U6" s="1305"/>
      <c r="V6" s="3936"/>
      <c r="W6" s="3936"/>
      <c r="X6" s="3936"/>
      <c r="Y6" s="3936"/>
      <c r="Z6" s="3936"/>
      <c r="AA6" s="3936"/>
      <c r="AB6" s="3936"/>
      <c r="AC6" s="3937"/>
      <c r="AD6" s="3935"/>
      <c r="AE6" s="3936"/>
      <c r="AF6" s="3936"/>
      <c r="AG6" s="3936"/>
      <c r="AH6" s="3936"/>
      <c r="AI6" s="3936"/>
      <c r="AJ6" s="3936"/>
      <c r="AK6" s="3936"/>
      <c r="AL6" s="3936"/>
      <c r="AM6" s="3936"/>
      <c r="AN6" s="3936"/>
      <c r="AO6" s="3936"/>
      <c r="AP6" s="3936"/>
      <c r="AQ6" s="3936"/>
      <c r="AR6" s="3936"/>
      <c r="AS6" s="3936"/>
      <c r="AT6" s="3936"/>
      <c r="AU6" s="3936"/>
      <c r="AV6" s="3936"/>
      <c r="AW6" s="3936"/>
      <c r="AX6" s="3936"/>
      <c r="AY6" s="3936"/>
      <c r="AZ6" s="3936"/>
      <c r="BA6" s="3936"/>
      <c r="BB6" s="3937"/>
      <c r="BC6" s="1306"/>
      <c r="BE6" s="424"/>
      <c r="BF6" s="424" t="str">
        <f t="shared" si="0"/>
        <v/>
      </c>
      <c r="BG6" s="424"/>
      <c r="BH6" s="424"/>
    </row>
    <row r="7" spans="1:60" s="1562" customFormat="1" ht="14.25" hidden="1" customHeight="1">
      <c r="A7" s="1265"/>
      <c r="B7" s="1265"/>
      <c r="C7" s="1265"/>
      <c r="D7" s="1265"/>
      <c r="E7" s="3909"/>
      <c r="F7" s="3909"/>
      <c r="G7" s="3909"/>
      <c r="H7" s="3909"/>
      <c r="I7" s="3929"/>
      <c r="J7" s="3906" t="str">
        <f>S5&amp;".1"</f>
        <v>.1</v>
      </c>
      <c r="K7" s="1265"/>
      <c r="L7" s="1268"/>
      <c r="M7" s="434"/>
      <c r="N7" s="434"/>
      <c r="O7" s="434"/>
      <c r="P7" s="3907"/>
      <c r="Q7" s="3907">
        <v>1</v>
      </c>
      <c r="R7" s="278"/>
      <c r="S7" s="953"/>
      <c r="T7" s="1320"/>
      <c r="U7" s="1305"/>
      <c r="V7" s="3936"/>
      <c r="W7" s="3936"/>
      <c r="X7" s="3936"/>
      <c r="Y7" s="3936"/>
      <c r="Z7" s="3936"/>
      <c r="AA7" s="3936"/>
      <c r="AB7" s="3936"/>
      <c r="AC7" s="3937"/>
      <c r="AD7" s="3935"/>
      <c r="AE7" s="3936"/>
      <c r="AF7" s="3936"/>
      <c r="AG7" s="3936"/>
      <c r="AH7" s="3936"/>
      <c r="AI7" s="3936"/>
      <c r="AJ7" s="3936"/>
      <c r="AK7" s="3936"/>
      <c r="AL7" s="3936"/>
      <c r="AM7" s="3936"/>
      <c r="AN7" s="3936"/>
      <c r="AO7" s="3936"/>
      <c r="AP7" s="3936"/>
      <c r="AQ7" s="3936"/>
      <c r="AR7" s="3936"/>
      <c r="AS7" s="3936"/>
      <c r="AT7" s="3936"/>
      <c r="AU7" s="3936"/>
      <c r="AV7" s="3936"/>
      <c r="AW7" s="3936"/>
      <c r="AX7" s="3936"/>
      <c r="AY7" s="3936"/>
      <c r="AZ7" s="3936"/>
      <c r="BA7" s="3936"/>
      <c r="BB7" s="3937"/>
      <c r="BC7" s="1306"/>
      <c r="BE7" s="424"/>
      <c r="BF7" s="424" t="str">
        <f t="shared" si="0"/>
        <v/>
      </c>
      <c r="BG7" s="424"/>
      <c r="BH7" s="424"/>
    </row>
    <row r="8" spans="1:60" ht="11.25" hidden="1" customHeight="1">
      <c r="A8" s="1284"/>
      <c r="B8" s="1284"/>
      <c r="C8" s="1284"/>
      <c r="D8" s="1284"/>
      <c r="E8" s="3909"/>
      <c r="F8" s="3909"/>
      <c r="G8" s="3909"/>
      <c r="H8" s="3909"/>
      <c r="I8" s="3929"/>
      <c r="J8" s="3929"/>
      <c r="K8" s="3906" t="e">
        <f>S4&amp;".1"</f>
        <v>#N/A</v>
      </c>
      <c r="L8" s="1285"/>
      <c r="P8" s="3907"/>
      <c r="Q8" s="3907"/>
      <c r="R8" s="3964">
        <v>1</v>
      </c>
      <c r="S8" s="3958" t="e">
        <f>$K8</f>
        <v>#N/A</v>
      </c>
      <c r="T8" s="3977"/>
      <c r="U8" s="214"/>
      <c r="V8" s="666"/>
      <c r="W8" s="1181"/>
      <c r="X8" s="666"/>
      <c r="Y8" s="1181"/>
      <c r="Z8" s="1653"/>
      <c r="AA8" s="1377" t="s">
        <v>60</v>
      </c>
      <c r="AB8" s="1653"/>
      <c r="AC8" s="1377" t="s">
        <v>60</v>
      </c>
      <c r="AD8" s="3833" t="s">
        <v>60</v>
      </c>
      <c r="AE8" s="3944"/>
      <c r="AF8" s="3863">
        <v>1</v>
      </c>
      <c r="AG8" s="3981"/>
      <c r="AH8" s="3759" t="s">
        <v>60</v>
      </c>
      <c r="AI8" s="3944"/>
      <c r="AJ8" s="3863">
        <v>1</v>
      </c>
      <c r="AK8" s="3980" t="s">
        <v>24</v>
      </c>
      <c r="AL8" s="3759" t="s">
        <v>60</v>
      </c>
      <c r="AM8" s="3853"/>
      <c r="AN8" s="3863">
        <v>1</v>
      </c>
      <c r="AO8" s="3974"/>
      <c r="AP8" s="3975" t="s">
        <v>60</v>
      </c>
      <c r="AQ8" s="227"/>
      <c r="AR8" s="1380">
        <v>1</v>
      </c>
      <c r="AS8" s="1383" t="s">
        <v>24</v>
      </c>
      <c r="AT8" s="666"/>
      <c r="AU8" s="1181"/>
      <c r="AV8" s="666"/>
      <c r="AW8" s="1181"/>
      <c r="AX8" s="1653"/>
      <c r="AY8" s="1377" t="s">
        <v>60</v>
      </c>
      <c r="AZ8" s="1653"/>
      <c r="BA8" s="1377" t="s">
        <v>60</v>
      </c>
      <c r="BB8" s="1270"/>
      <c r="BC8" s="3903" t="s">
        <v>531</v>
      </c>
      <c r="BE8" s="424"/>
      <c r="BF8" s="424" t="str">
        <f t="shared" si="0"/>
        <v/>
      </c>
      <c r="BG8" s="424"/>
      <c r="BH8" s="424"/>
    </row>
    <row r="9" spans="1:60" ht="11.25" hidden="1" customHeight="1">
      <c r="A9" s="1284"/>
      <c r="B9" s="1284"/>
      <c r="C9" s="1284"/>
      <c r="D9" s="1284"/>
      <c r="E9" s="3909"/>
      <c r="F9" s="3909"/>
      <c r="G9" s="3909"/>
      <c r="H9" s="3909"/>
      <c r="I9" s="3929"/>
      <c r="J9" s="3929"/>
      <c r="K9" s="3906"/>
      <c r="L9" s="1285"/>
      <c r="P9" s="3907"/>
      <c r="Q9" s="3907"/>
      <c r="R9" s="3964"/>
      <c r="S9" s="3959"/>
      <c r="T9" s="3978"/>
      <c r="U9" s="214"/>
      <c r="V9" s="1314"/>
      <c r="W9" s="1411"/>
      <c r="X9" s="1314"/>
      <c r="Y9" s="1411"/>
      <c r="Z9" s="1314"/>
      <c r="AA9" s="1314"/>
      <c r="AB9" s="1314"/>
      <c r="AC9" s="1314"/>
      <c r="AD9" s="3834"/>
      <c r="AE9" s="3944"/>
      <c r="AF9" s="3863"/>
      <c r="AG9" s="3981"/>
      <c r="AH9" s="3759"/>
      <c r="AI9" s="3944"/>
      <c r="AJ9" s="3863"/>
      <c r="AK9" s="3980"/>
      <c r="AL9" s="3759"/>
      <c r="AM9" s="3858"/>
      <c r="AN9" s="3863"/>
      <c r="AO9" s="3974"/>
      <c r="AP9" s="3976"/>
      <c r="AQ9" s="234"/>
      <c r="AR9" s="345"/>
      <c r="AS9" s="345" t="s">
        <v>532</v>
      </c>
      <c r="AT9" s="1314"/>
      <c r="AU9" s="1411"/>
      <c r="AV9" s="1314"/>
      <c r="AW9" s="1411"/>
      <c r="AX9" s="1314"/>
      <c r="AY9" s="1314"/>
      <c r="AZ9" s="1314"/>
      <c r="BA9" s="1314"/>
      <c r="BB9" s="1318"/>
      <c r="BC9" s="3904"/>
      <c r="BE9" s="424"/>
      <c r="BF9" s="424"/>
      <c r="BG9" s="424"/>
      <c r="BH9" s="424"/>
    </row>
    <row r="10" spans="1:60" ht="11.25" hidden="1" customHeight="1">
      <c r="A10" s="1284"/>
      <c r="B10" s="1284"/>
      <c r="C10" s="1284"/>
      <c r="D10" s="1284"/>
      <c r="E10" s="3909"/>
      <c r="F10" s="3909"/>
      <c r="G10" s="3909"/>
      <c r="H10" s="3909"/>
      <c r="I10" s="3929"/>
      <c r="J10" s="3929"/>
      <c r="K10" s="3906"/>
      <c r="L10" s="1285"/>
      <c r="P10" s="3907"/>
      <c r="Q10" s="3907"/>
      <c r="R10" s="3964"/>
      <c r="S10" s="3959"/>
      <c r="T10" s="3978"/>
      <c r="U10" s="214"/>
      <c r="V10" s="1314"/>
      <c r="W10" s="1411"/>
      <c r="X10" s="1314"/>
      <c r="Y10" s="1411"/>
      <c r="Z10" s="1314"/>
      <c r="AA10" s="1314"/>
      <c r="AB10" s="1314"/>
      <c r="AC10" s="1314"/>
      <c r="AD10" s="3834"/>
      <c r="AE10" s="3944"/>
      <c r="AF10" s="3863"/>
      <c r="AG10" s="3981"/>
      <c r="AH10" s="3759"/>
      <c r="AI10" s="3944"/>
      <c r="AJ10" s="3863"/>
      <c r="AK10" s="3980"/>
      <c r="AL10" s="3759"/>
      <c r="AM10" s="234"/>
      <c r="AN10" s="1415"/>
      <c r="AO10" s="1415" t="s">
        <v>533</v>
      </c>
      <c r="AP10" s="345"/>
      <c r="AQ10" s="345"/>
      <c r="AR10" s="345"/>
      <c r="AS10" s="1314"/>
      <c r="AT10" s="1314"/>
      <c r="AU10" s="1411"/>
      <c r="AV10" s="1314"/>
      <c r="AW10" s="1411"/>
      <c r="AX10" s="1314"/>
      <c r="AY10" s="1314"/>
      <c r="AZ10" s="1314"/>
      <c r="BA10" s="1314"/>
      <c r="BB10" s="1318"/>
      <c r="BC10" s="3904"/>
      <c r="BE10" s="424"/>
      <c r="BF10" s="424"/>
      <c r="BG10" s="424"/>
      <c r="BH10" s="424"/>
    </row>
    <row r="11" spans="1:60" ht="11.25" hidden="1" customHeight="1">
      <c r="A11" s="1284"/>
      <c r="B11" s="1284"/>
      <c r="C11" s="1284"/>
      <c r="D11" s="1284"/>
      <c r="E11" s="3909"/>
      <c r="F11" s="3909"/>
      <c r="G11" s="3909"/>
      <c r="H11" s="3909"/>
      <c r="I11" s="3929"/>
      <c r="J11" s="3929"/>
      <c r="K11" s="3906"/>
      <c r="L11" s="1285"/>
      <c r="P11" s="3907"/>
      <c r="Q11" s="3907"/>
      <c r="R11" s="3964"/>
      <c r="S11" s="3959"/>
      <c r="T11" s="3978"/>
      <c r="U11" s="214"/>
      <c r="V11" s="1314"/>
      <c r="W11" s="1411"/>
      <c r="X11" s="1314"/>
      <c r="Y11" s="1411"/>
      <c r="Z11" s="1314"/>
      <c r="AA11" s="1314"/>
      <c r="AB11" s="1314"/>
      <c r="AC11" s="1314"/>
      <c r="AD11" s="3834"/>
      <c r="AE11" s="3944"/>
      <c r="AF11" s="3863"/>
      <c r="AG11" s="3981"/>
      <c r="AH11" s="3759"/>
      <c r="AI11" s="208"/>
      <c r="AJ11" s="344"/>
      <c r="AK11" s="229" t="s">
        <v>534</v>
      </c>
      <c r="AL11" s="1314"/>
      <c r="AM11" s="1314"/>
      <c r="AN11" s="1314"/>
      <c r="AO11" s="1314"/>
      <c r="AP11" s="1314"/>
      <c r="AQ11" s="1314"/>
      <c r="AR11" s="1314"/>
      <c r="AS11" s="1314"/>
      <c r="AT11" s="1314"/>
      <c r="AU11" s="1411"/>
      <c r="AV11" s="1314"/>
      <c r="AW11" s="1411"/>
      <c r="AX11" s="1314"/>
      <c r="AY11" s="1314"/>
      <c r="AZ11" s="1314"/>
      <c r="BA11" s="1314"/>
      <c r="BB11" s="1318"/>
      <c r="BC11" s="3904"/>
      <c r="BE11" s="424"/>
      <c r="BF11" s="424"/>
      <c r="BG11" s="424"/>
      <c r="BH11" s="424"/>
    </row>
    <row r="12" spans="1:60" ht="11.25" hidden="1" customHeight="1">
      <c r="A12" s="1284"/>
      <c r="B12" s="1284"/>
      <c r="C12" s="1284"/>
      <c r="D12" s="1284"/>
      <c r="E12" s="3909"/>
      <c r="F12" s="3909"/>
      <c r="G12" s="3909"/>
      <c r="H12" s="3909"/>
      <c r="I12" s="3929"/>
      <c r="J12" s="3929"/>
      <c r="K12" s="3906"/>
      <c r="L12" s="1285"/>
      <c r="P12" s="3907"/>
      <c r="Q12" s="3907"/>
      <c r="R12" s="3964"/>
      <c r="S12" s="3960"/>
      <c r="T12" s="3979"/>
      <c r="U12" s="214"/>
      <c r="V12" s="1314"/>
      <c r="W12" s="1315" t="str">
        <f>Z8&amp;"-"&amp;AB8</f>
        <v>-</v>
      </c>
      <c r="X12" s="1314"/>
      <c r="Y12" s="1315" t="str">
        <f>AB8&amp;"-"&amp;AD8</f>
        <v>-да</v>
      </c>
      <c r="Z12" s="1314"/>
      <c r="AA12" s="1314"/>
      <c r="AB12" s="1314"/>
      <c r="AC12" s="1314"/>
      <c r="AD12" s="3764"/>
      <c r="AE12" s="228"/>
      <c r="AF12" s="230"/>
      <c r="AG12" s="345" t="s">
        <v>535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904"/>
      <c r="BE12" s="424"/>
      <c r="BF12" s="424" t="str">
        <f t="shared" ref="BF12:BF18" si="1">IF(T12="","",T12)</f>
        <v/>
      </c>
      <c r="BG12" s="424"/>
      <c r="BH12" s="424"/>
    </row>
    <row r="13" spans="1:60" ht="11.25" hidden="1" customHeight="1">
      <c r="A13" s="1284"/>
      <c r="B13" s="1284"/>
      <c r="C13" s="1284"/>
      <c r="D13" s="1284"/>
      <c r="E13" s="3909"/>
      <c r="F13" s="3909"/>
      <c r="G13" s="3909"/>
      <c r="H13" s="3909"/>
      <c r="I13" s="3929"/>
      <c r="J13" s="3906"/>
      <c r="K13" s="1284"/>
      <c r="L13" s="1285"/>
      <c r="P13" s="3907"/>
      <c r="Q13" s="3907"/>
      <c r="R13" s="277"/>
      <c r="S13" s="1203"/>
      <c r="T13" s="202" t="s">
        <v>495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905"/>
      <c r="BE13" s="424"/>
      <c r="BF13" s="424" t="str">
        <f t="shared" si="1"/>
        <v>Добавить строку</v>
      </c>
      <c r="BG13" s="424"/>
      <c r="BH13" s="424"/>
    </row>
    <row r="14" spans="1:60" s="1562" customFormat="1" ht="14.25" hidden="1" customHeight="1">
      <c r="A14" s="1265"/>
      <c r="B14" s="1265"/>
      <c r="C14" s="1265"/>
      <c r="D14" s="1265"/>
      <c r="E14" s="3909"/>
      <c r="F14" s="3909"/>
      <c r="G14" s="3909"/>
      <c r="H14" s="3909"/>
      <c r="I14" s="3906"/>
      <c r="J14" s="1265"/>
      <c r="K14" s="1265"/>
      <c r="L14" s="1268"/>
      <c r="M14" s="434"/>
      <c r="N14" s="434"/>
      <c r="O14" s="434"/>
      <c r="P14" s="3907"/>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909"/>
      <c r="F15" s="3909"/>
      <c r="G15" s="3909"/>
      <c r="H15" s="3908"/>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909"/>
      <c r="F16" s="3909"/>
      <c r="G16" s="3908"/>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909"/>
      <c r="F17" s="3908"/>
      <c r="G17" s="1237"/>
      <c r="H17" s="1237"/>
      <c r="I17" s="1237"/>
      <c r="J17" s="1237"/>
      <c r="K17" s="1237"/>
      <c r="L17" s="1381"/>
      <c r="M17" s="1244"/>
      <c r="N17" s="1244"/>
      <c r="P17" s="1239"/>
      <c r="Q17" s="1240"/>
      <c r="R17" s="1239"/>
      <c r="S17" s="1245"/>
      <c r="T17" s="1248" t="s">
        <v>240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908"/>
      <c r="F18" s="1265"/>
      <c r="G18" s="1265"/>
      <c r="H18" s="1265"/>
      <c r="I18" s="1265"/>
      <c r="J18" s="1265"/>
      <c r="K18" s="1265"/>
      <c r="L18" s="1268"/>
      <c r="M18" s="1244"/>
      <c r="N18" s="1244"/>
      <c r="O18" s="442"/>
      <c r="P18" s="308"/>
      <c r="Q18" s="1266"/>
      <c r="R18" s="308"/>
      <c r="S18" s="1245"/>
      <c r="T18" s="1248" t="s">
        <v>241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446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447</v>
      </c>
      <c r="P24" s="1423"/>
      <c r="Q24" s="1425"/>
      <c r="R24" s="1425"/>
      <c r="AA24" s="1422" t="s">
        <v>449</v>
      </c>
      <c r="AC24" s="1422" t="s">
        <v>450</v>
      </c>
      <c r="AD24" s="1422" t="s">
        <v>496</v>
      </c>
      <c r="AH24" s="1422" t="s">
        <v>496</v>
      </c>
      <c r="AK24" s="1422" t="s">
        <v>536</v>
      </c>
      <c r="AL24" s="1422" t="s">
        <v>496</v>
      </c>
      <c r="AP24" s="1422" t="s">
        <v>496</v>
      </c>
      <c r="AY24" s="1422" t="s">
        <v>449</v>
      </c>
      <c r="BA24" s="1422" t="s">
        <v>450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8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892"/>
      <c r="U28" s="3892"/>
      <c r="V28" s="3892"/>
      <c r="W28" s="3892"/>
      <c r="X28" s="3892"/>
      <c r="Y28" s="3892"/>
      <c r="Z28" s="3892"/>
      <c r="AA28" s="3892"/>
      <c r="AB28" s="3892"/>
      <c r="AC28" s="3892"/>
      <c r="AD28" s="3892"/>
      <c r="AE28" s="3892"/>
      <c r="AF28" s="3892"/>
      <c r="AG28" s="3892"/>
      <c r="AH28" s="3892"/>
      <c r="AI28" s="3892"/>
      <c r="AJ28" s="3892"/>
      <c r="AK28" s="3892"/>
      <c r="AL28" s="3892"/>
      <c r="AM28" s="3892"/>
      <c r="AN28" s="3892"/>
      <c r="AO28" s="3892"/>
      <c r="AP28" s="3892"/>
      <c r="AQ28" s="3892"/>
      <c r="AR28" s="3892"/>
      <c r="AS28" s="3892"/>
      <c r="AT28" s="3892"/>
      <c r="AU28" s="3892"/>
      <c r="AV28" s="3892"/>
      <c r="AW28" s="3892"/>
      <c r="AX28" s="3892"/>
      <c r="AY28" s="3892"/>
      <c r="AZ28" s="3892"/>
      <c r="BA28" s="1157"/>
    </row>
    <row r="29" spans="1:60" ht="14.25" customHeight="1">
      <c r="Q29" s="206"/>
      <c r="R29" s="300"/>
      <c r="S29" s="3839" t="str">
        <f>IF(org=0,"Не определено",org)</f>
        <v>ГУП СК "Ставрополькрайводоканал"</v>
      </c>
      <c r="T29" s="3839"/>
      <c r="U29" s="3839"/>
      <c r="V29" s="3839"/>
      <c r="W29" s="3839"/>
      <c r="X29" s="3839"/>
      <c r="Y29" s="3839"/>
      <c r="Z29" s="3839"/>
      <c r="AA29" s="3839"/>
      <c r="AB29" s="3839"/>
      <c r="AC29" s="3839"/>
      <c r="AD29" s="3839"/>
      <c r="AE29" s="3839"/>
      <c r="AF29" s="3839"/>
      <c r="AG29" s="3839"/>
      <c r="AH29" s="3839"/>
      <c r="AI29" s="3839"/>
      <c r="AJ29" s="3839"/>
      <c r="AK29" s="3839"/>
      <c r="AL29" s="3839"/>
      <c r="AM29" s="3839"/>
      <c r="AN29" s="3839"/>
      <c r="AO29" s="3839"/>
      <c r="AP29" s="3839"/>
      <c r="AQ29" s="3839"/>
      <c r="AR29" s="3839"/>
      <c r="AS29" s="3839"/>
      <c r="AT29" s="3839"/>
      <c r="AU29" s="3839"/>
      <c r="AV29" s="3839"/>
      <c r="AW29" s="3839"/>
      <c r="AX29" s="3839"/>
      <c r="AY29" s="3839"/>
      <c r="AZ29" s="383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900" t="s">
        <v>38</v>
      </c>
      <c r="T31" s="3900"/>
      <c r="U31" s="1293"/>
      <c r="V31" s="3901" t="str">
        <f>IF(TITLE_NAME_OR_PR_CHANGE="",IF(TITLE_NAME_OR_PR="","",TITLE_NAME_OR_PR),TITLE_NAME_OR_PR_CHANGE)</f>
        <v>Региональная тарифная комиссия Ставропольского края</v>
      </c>
      <c r="W31" s="3901"/>
      <c r="X31" s="3901"/>
      <c r="Y31" s="3901"/>
      <c r="Z31" s="3901"/>
      <c r="AA31" s="3901"/>
      <c r="AB31" s="3901"/>
      <c r="AC31" s="248"/>
      <c r="AD31" s="3901" t="str">
        <f>IF(TITLE_NAME_OR_PR_CHANGE="",IF(TITLE_NAME_OR_PR="","",TITLE_NAME_OR_PR),TITLE_NAME_OR_PR_CHANGE)</f>
        <v>Региональная тарифная комиссия Ставропольского края</v>
      </c>
      <c r="AE31" s="3901"/>
      <c r="AF31" s="3901"/>
      <c r="AG31" s="3901"/>
      <c r="AH31" s="3901"/>
      <c r="AI31" s="3901"/>
      <c r="AJ31" s="3901"/>
      <c r="AK31" s="3901"/>
      <c r="AL31" s="3901"/>
      <c r="AM31" s="3901"/>
      <c r="AN31" s="3901"/>
      <c r="AO31" s="3901"/>
      <c r="AP31" s="3901"/>
      <c r="AQ31" s="3901"/>
      <c r="AR31" s="3901"/>
      <c r="AS31" s="3901"/>
      <c r="AT31" s="3901"/>
      <c r="AU31" s="3901"/>
      <c r="AV31" s="3901"/>
      <c r="AW31" s="3901"/>
      <c r="AX31" s="3901"/>
      <c r="AY31" s="3901"/>
      <c r="AZ31" s="3901"/>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900" t="s">
        <v>452</v>
      </c>
      <c r="T32" s="3900"/>
      <c r="U32" s="1293"/>
      <c r="V32" s="3910">
        <f>IF(TITLE_DATE_PR_CHANGE="",IF(TITLE_DATE_PR="","",TITLE_DATE_PR),TITLE_DATE_PR_CHANGE)</f>
        <v>45278</v>
      </c>
      <c r="W32" s="3910"/>
      <c r="X32" s="3910"/>
      <c r="Y32" s="3910"/>
      <c r="Z32" s="3910"/>
      <c r="AA32" s="3910"/>
      <c r="AB32" s="3910"/>
      <c r="AC32" s="248"/>
      <c r="AD32" s="3910">
        <f>IF(TITLE_DATE_PR_CHANGE="",IF(TITLE_DATE_PR="","",TITLE_DATE_PR),TITLE_DATE_PR_CHANGE)</f>
        <v>45278</v>
      </c>
      <c r="AE32" s="3910"/>
      <c r="AF32" s="3910"/>
      <c r="AG32" s="3910"/>
      <c r="AH32" s="3910"/>
      <c r="AI32" s="3910"/>
      <c r="AJ32" s="3910"/>
      <c r="AK32" s="3910"/>
      <c r="AL32" s="3910"/>
      <c r="AM32" s="3910"/>
      <c r="AN32" s="3910"/>
      <c r="AO32" s="3910"/>
      <c r="AP32" s="3910"/>
      <c r="AQ32" s="3910"/>
      <c r="AR32" s="3910"/>
      <c r="AS32" s="3910"/>
      <c r="AT32" s="3910"/>
      <c r="AU32" s="3910"/>
      <c r="AV32" s="3910"/>
      <c r="AW32" s="3910"/>
      <c r="AX32" s="3910"/>
      <c r="AY32" s="3910"/>
      <c r="AZ32" s="3910"/>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900" t="s">
        <v>453</v>
      </c>
      <c r="T33" s="3900"/>
      <c r="U33" s="1293"/>
      <c r="V33" s="3901" t="str">
        <f>IF(TITLE_NUMBER_PR_CHANGE="",IF(TITLE_NUMBER_PR="","",TITLE_NUMBER_PR),TITLE_NUMBER_PR_CHANGE)</f>
        <v>79/2</v>
      </c>
      <c r="W33" s="3901"/>
      <c r="X33" s="3901"/>
      <c r="Y33" s="3901"/>
      <c r="Z33" s="3901"/>
      <c r="AA33" s="3901"/>
      <c r="AB33" s="3901"/>
      <c r="AC33" s="248"/>
      <c r="AD33" s="3901" t="str">
        <f>IF(TITLE_NUMBER_PR_CHANGE="",IF(TITLE_NUMBER_PR="","",TITLE_NUMBER_PR),TITLE_NUMBER_PR_CHANGE)</f>
        <v>79/2</v>
      </c>
      <c r="AE33" s="3901"/>
      <c r="AF33" s="3901"/>
      <c r="AG33" s="3901"/>
      <c r="AH33" s="3901"/>
      <c r="AI33" s="3901"/>
      <c r="AJ33" s="3901"/>
      <c r="AK33" s="3901"/>
      <c r="AL33" s="3901"/>
      <c r="AM33" s="3901"/>
      <c r="AN33" s="3901"/>
      <c r="AO33" s="3901"/>
      <c r="AP33" s="3901"/>
      <c r="AQ33" s="3901"/>
      <c r="AR33" s="3901"/>
      <c r="AS33" s="3901"/>
      <c r="AT33" s="3901"/>
      <c r="AU33" s="3901"/>
      <c r="AV33" s="3901"/>
      <c r="AW33" s="3901"/>
      <c r="AX33" s="3901"/>
      <c r="AY33" s="3901"/>
      <c r="AZ33" s="3901"/>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900" t="s">
        <v>40</v>
      </c>
      <c r="T34" s="3900"/>
      <c r="U34" s="1293"/>
      <c r="V34" s="3901" t="str">
        <f>IF(TITLE_IST_PUB_CHANGE="",IF(TITLE_IST_PUB="","",TITLE_IST_PUB),TITLE_IST_PUB_CHANGE)</f>
        <v>http://pravo.stavregion.ru/</v>
      </c>
      <c r="W34" s="3901"/>
      <c r="X34" s="3901"/>
      <c r="Y34" s="3901"/>
      <c r="Z34" s="3901"/>
      <c r="AA34" s="3901"/>
      <c r="AB34" s="3901"/>
      <c r="AC34" s="248"/>
      <c r="AD34" s="3901" t="str">
        <f>IF(TITLE_IST_PUB_CHANGE="",IF(TITLE_IST_PUB="","",TITLE_IST_PUB),TITLE_IST_PUB_CHANGE)</f>
        <v>http://pravo.stavregion.ru/</v>
      </c>
      <c r="AE34" s="3901"/>
      <c r="AF34" s="3901"/>
      <c r="AG34" s="3901"/>
      <c r="AH34" s="3901"/>
      <c r="AI34" s="3901"/>
      <c r="AJ34" s="3901"/>
      <c r="AK34" s="3901"/>
      <c r="AL34" s="3901"/>
      <c r="AM34" s="3901"/>
      <c r="AN34" s="3901"/>
      <c r="AO34" s="3901"/>
      <c r="AP34" s="3901"/>
      <c r="AQ34" s="3901"/>
      <c r="AR34" s="3901"/>
      <c r="AS34" s="3901"/>
      <c r="AT34" s="3901"/>
      <c r="AU34" s="3901"/>
      <c r="AV34" s="3901"/>
      <c r="AW34" s="3901"/>
      <c r="AX34" s="3901"/>
      <c r="AY34" s="3901"/>
      <c r="AZ34" s="3901"/>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900" t="s">
        <v>452</v>
      </c>
      <c r="T36" s="3900"/>
      <c r="U36" s="1293"/>
      <c r="V36" s="3910">
        <f>IF(TITLE_DATE_PR_CHANGE="",IF(TITLE_DATE_PR="","",TITLE_DATE_PR),TITLE_DATE_PR_CHANGE)</f>
        <v>45278</v>
      </c>
      <c r="W36" s="3910"/>
      <c r="X36" s="3910"/>
      <c r="Y36" s="3910"/>
      <c r="Z36" s="3910"/>
      <c r="AA36" s="3910"/>
      <c r="AB36" s="3910"/>
      <c r="AC36" s="248"/>
      <c r="AD36" s="3910">
        <f>IF(TITLE_DATE_PR_CHANGE="",IF(TITLE_DATE_PR="","",TITLE_DATE_PR),TITLE_DATE_PR_CHANGE)</f>
        <v>45278</v>
      </c>
      <c r="AE36" s="3910"/>
      <c r="AF36" s="3910"/>
      <c r="AG36" s="3910"/>
      <c r="AH36" s="3910"/>
      <c r="AI36" s="3910"/>
      <c r="AJ36" s="3910"/>
      <c r="AK36" s="3910"/>
      <c r="AL36" s="3910"/>
      <c r="AM36" s="3910"/>
      <c r="AN36" s="3910"/>
      <c r="AO36" s="3910"/>
      <c r="AP36" s="3910"/>
      <c r="AQ36" s="3910"/>
      <c r="AR36" s="3910"/>
      <c r="AS36" s="3910"/>
      <c r="AT36" s="3910"/>
      <c r="AU36" s="3910"/>
      <c r="AV36" s="3910"/>
      <c r="AW36" s="3910"/>
      <c r="AX36" s="3910"/>
      <c r="AY36" s="3910"/>
      <c r="AZ36" s="3910"/>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900" t="s">
        <v>453</v>
      </c>
      <c r="T37" s="3900"/>
      <c r="U37" s="1293"/>
      <c r="V37" s="3901" t="str">
        <f>IF(TITLE_NUMBER_PR_CHANGE="",IF(TITLE_NUMBER_PR="","",TITLE_NUMBER_PR),TITLE_NUMBER_PR_CHANGE)</f>
        <v>79/2</v>
      </c>
      <c r="W37" s="3901"/>
      <c r="X37" s="3901"/>
      <c r="Y37" s="3901"/>
      <c r="Z37" s="3901"/>
      <c r="AA37" s="3901"/>
      <c r="AB37" s="3901"/>
      <c r="AC37" s="248"/>
      <c r="AD37" s="3901" t="str">
        <f>IF(TITLE_NUMBER_PR_CHANGE="",IF(TITLE_NUMBER_PR="","",TITLE_NUMBER_PR),TITLE_NUMBER_PR_CHANGE)</f>
        <v>79/2</v>
      </c>
      <c r="AE37" s="3901"/>
      <c r="AF37" s="3901"/>
      <c r="AG37" s="3901"/>
      <c r="AH37" s="3901"/>
      <c r="AI37" s="3901"/>
      <c r="AJ37" s="3901"/>
      <c r="AK37" s="3901"/>
      <c r="AL37" s="3901"/>
      <c r="AM37" s="3901"/>
      <c r="AN37" s="3901"/>
      <c r="AO37" s="3901"/>
      <c r="AP37" s="3901"/>
      <c r="AQ37" s="3901"/>
      <c r="AR37" s="3901"/>
      <c r="AS37" s="3901"/>
      <c r="AT37" s="3901"/>
      <c r="AU37" s="3901"/>
      <c r="AV37" s="3901"/>
      <c r="AW37" s="3901"/>
      <c r="AX37" s="3901"/>
      <c r="AY37" s="3901"/>
      <c r="AZ37" s="3901"/>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456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456</v>
      </c>
      <c r="BD38" s="292"/>
      <c r="BE38" s="292"/>
      <c r="BF38" s="292"/>
      <c r="BG38" s="292"/>
      <c r="BH38" s="292"/>
    </row>
    <row r="39" spans="1:60" ht="14.25" customHeight="1">
      <c r="Q39" s="206"/>
      <c r="R39" s="300"/>
      <c r="S39" s="1200"/>
      <c r="T39" s="286"/>
      <c r="U39" s="1158"/>
      <c r="V39" s="3902"/>
      <c r="W39" s="3902"/>
      <c r="X39" s="3902"/>
      <c r="Y39" s="3902"/>
      <c r="Z39" s="3902"/>
      <c r="AA39" s="3902"/>
      <c r="AB39" s="3902"/>
      <c r="AC39" s="3902"/>
      <c r="AD39" s="3902"/>
      <c r="AE39" s="3902"/>
      <c r="AF39" s="3902"/>
      <c r="AG39" s="3902"/>
      <c r="AH39" s="3902"/>
      <c r="AI39" s="3902"/>
      <c r="AJ39" s="3902"/>
      <c r="AK39" s="3902"/>
      <c r="AL39" s="3902"/>
      <c r="AM39" s="3902"/>
      <c r="AN39" s="3902"/>
      <c r="AO39" s="3902"/>
      <c r="AP39" s="3902"/>
      <c r="AQ39" s="3902"/>
      <c r="AR39" s="3902"/>
      <c r="AS39" s="3902"/>
      <c r="AT39" s="3902"/>
      <c r="AU39" s="3902"/>
      <c r="AV39" s="3902"/>
      <c r="AW39" s="3902"/>
      <c r="AX39" s="3902"/>
      <c r="AY39" s="3902"/>
      <c r="AZ39" s="3902"/>
      <c r="BA39" s="3902"/>
    </row>
    <row r="40" spans="1:60" ht="14.25" customHeight="1">
      <c r="Q40" s="206"/>
      <c r="R40" s="300"/>
      <c r="S40" s="3778" t="s">
        <v>329</v>
      </c>
      <c r="T40" s="3778"/>
      <c r="U40" s="3778"/>
      <c r="V40" s="3778"/>
      <c r="W40" s="3778"/>
      <c r="X40" s="3778"/>
      <c r="Y40" s="3778"/>
      <c r="Z40" s="3778"/>
      <c r="AA40" s="3778"/>
      <c r="AB40" s="3778"/>
      <c r="AC40" s="3778"/>
      <c r="AD40" s="3778"/>
      <c r="AE40" s="3778"/>
      <c r="AF40" s="3778"/>
      <c r="AG40" s="3778"/>
      <c r="AH40" s="3778"/>
      <c r="AI40" s="3778"/>
      <c r="AJ40" s="3778"/>
      <c r="AK40" s="3778"/>
      <c r="AL40" s="3778"/>
      <c r="AM40" s="3778"/>
      <c r="AN40" s="3778"/>
      <c r="AO40" s="3778"/>
      <c r="AP40" s="3778"/>
      <c r="AQ40" s="3778"/>
      <c r="AR40" s="3778"/>
      <c r="AS40" s="3778"/>
      <c r="AT40" s="3778"/>
      <c r="AU40" s="3778"/>
      <c r="AV40" s="3778"/>
      <c r="AW40" s="3778"/>
      <c r="AX40" s="3778"/>
      <c r="AY40" s="3778"/>
      <c r="AZ40" s="3778"/>
      <c r="BA40" s="3778"/>
      <c r="BB40" s="3778"/>
      <c r="BC40" s="3778" t="s">
        <v>330</v>
      </c>
    </row>
    <row r="41" spans="1:60" ht="14.25" customHeight="1">
      <c r="Q41" s="206"/>
      <c r="R41" s="300"/>
      <c r="S41" s="3916" t="s">
        <v>86</v>
      </c>
      <c r="T41" s="3868" t="s">
        <v>537</v>
      </c>
      <c r="U41" s="215"/>
      <c r="V41" s="3917" t="s">
        <v>458</v>
      </c>
      <c r="W41" s="3918"/>
      <c r="X41" s="3918"/>
      <c r="Y41" s="3918"/>
      <c r="Z41" s="3918"/>
      <c r="AA41" s="3918"/>
      <c r="AB41" s="3919"/>
      <c r="AC41" s="3920" t="s">
        <v>459</v>
      </c>
      <c r="AD41" s="3946" t="s">
        <v>538</v>
      </c>
      <c r="AE41" s="3932"/>
      <c r="AF41" s="3932"/>
      <c r="AG41" s="3947"/>
      <c r="AH41" s="3946" t="s">
        <v>539</v>
      </c>
      <c r="AI41" s="3932"/>
      <c r="AJ41" s="3932"/>
      <c r="AK41" s="3947"/>
      <c r="AL41" s="3946" t="s">
        <v>540</v>
      </c>
      <c r="AM41" s="3932"/>
      <c r="AN41" s="3932"/>
      <c r="AO41" s="3947"/>
      <c r="AP41" s="3946" t="s">
        <v>541</v>
      </c>
      <c r="AQ41" s="3932"/>
      <c r="AR41" s="3932"/>
      <c r="AS41" s="3947"/>
      <c r="AT41" s="3917" t="s">
        <v>458</v>
      </c>
      <c r="AU41" s="3918"/>
      <c r="AV41" s="3918"/>
      <c r="AW41" s="3918"/>
      <c r="AX41" s="3918"/>
      <c r="AY41" s="3918"/>
      <c r="AZ41" s="3919"/>
      <c r="BA41" s="3920" t="s">
        <v>459</v>
      </c>
      <c r="BB41" s="3923" t="s">
        <v>461</v>
      </c>
      <c r="BC41" s="3778"/>
    </row>
    <row r="42" spans="1:60" ht="33.75" customHeight="1">
      <c r="Q42" s="206"/>
      <c r="R42" s="300"/>
      <c r="S42" s="3916"/>
      <c r="T42" s="3868"/>
      <c r="U42" s="942"/>
      <c r="V42" s="3853" t="s">
        <v>542</v>
      </c>
      <c r="W42" s="3854"/>
      <c r="X42" s="3853" t="s">
        <v>543</v>
      </c>
      <c r="Y42" s="3854"/>
      <c r="Z42" s="3853" t="s">
        <v>544</v>
      </c>
      <c r="AA42" s="3941"/>
      <c r="AB42" s="3854"/>
      <c r="AC42" s="3921"/>
      <c r="AD42" s="3948"/>
      <c r="AE42" s="3949"/>
      <c r="AF42" s="3949"/>
      <c r="AG42" s="3950"/>
      <c r="AH42" s="3948"/>
      <c r="AI42" s="3949"/>
      <c r="AJ42" s="3949"/>
      <c r="AK42" s="3950"/>
      <c r="AL42" s="3948"/>
      <c r="AM42" s="3949"/>
      <c r="AN42" s="3949"/>
      <c r="AO42" s="3950"/>
      <c r="AP42" s="3948"/>
      <c r="AQ42" s="3949"/>
      <c r="AR42" s="3949"/>
      <c r="AS42" s="3950"/>
      <c r="AT42" s="3853" t="s">
        <v>542</v>
      </c>
      <c r="AU42" s="3854"/>
      <c r="AV42" s="3853" t="s">
        <v>543</v>
      </c>
      <c r="AW42" s="3854"/>
      <c r="AX42" s="3853" t="s">
        <v>544</v>
      </c>
      <c r="AY42" s="3941"/>
      <c r="AZ42" s="3854"/>
      <c r="BA42" s="3921"/>
      <c r="BB42" s="3924"/>
      <c r="BC42" s="3778"/>
    </row>
    <row r="43" spans="1:60" ht="14.25" customHeight="1">
      <c r="Q43" s="206"/>
      <c r="R43" s="300"/>
      <c r="S43" s="3916"/>
      <c r="T43" s="3868"/>
      <c r="U43" s="942"/>
      <c r="V43" s="3858"/>
      <c r="W43" s="3859"/>
      <c r="X43" s="3858"/>
      <c r="Y43" s="3859"/>
      <c r="Z43" s="3858"/>
      <c r="AA43" s="3942"/>
      <c r="AB43" s="3859"/>
      <c r="AC43" s="3921"/>
      <c r="AD43" s="3948"/>
      <c r="AE43" s="3949"/>
      <c r="AF43" s="3949"/>
      <c r="AG43" s="3950"/>
      <c r="AH43" s="3948"/>
      <c r="AI43" s="3949"/>
      <c r="AJ43" s="3949"/>
      <c r="AK43" s="3950"/>
      <c r="AL43" s="3948"/>
      <c r="AM43" s="3949"/>
      <c r="AN43" s="3949"/>
      <c r="AO43" s="3950"/>
      <c r="AP43" s="3948"/>
      <c r="AQ43" s="3949"/>
      <c r="AR43" s="3949"/>
      <c r="AS43" s="3950"/>
      <c r="AT43" s="3858"/>
      <c r="AU43" s="3859"/>
      <c r="AV43" s="3858"/>
      <c r="AW43" s="3859"/>
      <c r="AX43" s="3858"/>
      <c r="AY43" s="3942"/>
      <c r="AZ43" s="3859"/>
      <c r="BA43" s="3921"/>
      <c r="BB43" s="3924"/>
      <c r="BC43" s="3778"/>
    </row>
    <row r="44" spans="1:60" ht="14.25" customHeight="1">
      <c r="A44" s="1291"/>
      <c r="B44" s="1291" t="s">
        <v>153</v>
      </c>
      <c r="C44" s="1291" t="s">
        <v>154</v>
      </c>
      <c r="D44" s="1291" t="s">
        <v>155</v>
      </c>
      <c r="E44" s="1285" t="s">
        <v>466</v>
      </c>
      <c r="F44" s="1285" t="s">
        <v>467</v>
      </c>
      <c r="G44" s="1285" t="s">
        <v>468</v>
      </c>
      <c r="H44" s="1285" t="s">
        <v>469</v>
      </c>
      <c r="I44" s="1285" t="s">
        <v>470</v>
      </c>
      <c r="J44" s="1285" t="s">
        <v>471</v>
      </c>
      <c r="K44" s="1285" t="s">
        <v>472</v>
      </c>
      <c r="L44" s="1285" t="s">
        <v>447</v>
      </c>
      <c r="Q44" s="206"/>
      <c r="R44" s="300"/>
      <c r="S44" s="3916"/>
      <c r="T44" s="3868"/>
      <c r="U44" s="216"/>
      <c r="V44" s="1366" t="s">
        <v>506</v>
      </c>
      <c r="W44" s="1366" t="s">
        <v>507</v>
      </c>
      <c r="X44" s="1366" t="s">
        <v>506</v>
      </c>
      <c r="Y44" s="1366" t="s">
        <v>507</v>
      </c>
      <c r="Z44" s="1373" t="s">
        <v>475</v>
      </c>
      <c r="AA44" s="3876" t="s">
        <v>476</v>
      </c>
      <c r="AB44" s="3878"/>
      <c r="AC44" s="3922"/>
      <c r="AD44" s="3951"/>
      <c r="AE44" s="3952"/>
      <c r="AF44" s="3952"/>
      <c r="AG44" s="3953"/>
      <c r="AH44" s="3951"/>
      <c r="AI44" s="3952"/>
      <c r="AJ44" s="3952"/>
      <c r="AK44" s="3953"/>
      <c r="AL44" s="3951"/>
      <c r="AM44" s="3952"/>
      <c r="AN44" s="3952"/>
      <c r="AO44" s="3953"/>
      <c r="AP44" s="3951"/>
      <c r="AQ44" s="3952"/>
      <c r="AR44" s="3952"/>
      <c r="AS44" s="3953"/>
      <c r="AT44" s="1366" t="s">
        <v>506</v>
      </c>
      <c r="AU44" s="1366" t="s">
        <v>507</v>
      </c>
      <c r="AV44" s="1366" t="s">
        <v>506</v>
      </c>
      <c r="AW44" s="1366" t="s">
        <v>507</v>
      </c>
      <c r="AX44" s="1373" t="s">
        <v>475</v>
      </c>
      <c r="AY44" s="3876" t="s">
        <v>476</v>
      </c>
      <c r="AZ44" s="3878"/>
      <c r="BA44" s="3922"/>
      <c r="BB44" s="3925"/>
      <c r="BC44" s="3778"/>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129</v>
      </c>
      <c r="T45" s="1177" t="s">
        <v>102</v>
      </c>
      <c r="U45" s="1159" t="str">
        <f ca="1">OFFSET(U45,0,-1)</f>
        <v>2</v>
      </c>
      <c r="V45" s="1369">
        <f t="shared" ref="V45:AA45" ca="1" si="2">OFFSET(V45,0,-1)+1</f>
        <v>3</v>
      </c>
      <c r="W45" s="1369">
        <f t="shared" ca="1" si="2"/>
        <v>4</v>
      </c>
      <c r="X45" s="1369">
        <f t="shared" ca="1" si="2"/>
        <v>5</v>
      </c>
      <c r="Y45" s="1369">
        <f t="shared" ca="1" si="2"/>
        <v>6</v>
      </c>
      <c r="Z45" s="1369">
        <f t="shared" ca="1" si="2"/>
        <v>7</v>
      </c>
      <c r="AA45" s="3915">
        <f t="shared" ca="1" si="2"/>
        <v>8</v>
      </c>
      <c r="AB45" s="3915"/>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3915">
        <f ca="1">OFFSET(AY45,0,-1)+1</f>
        <v>3</v>
      </c>
      <c r="AZ45" s="3915"/>
      <c r="BA45" s="1369">
        <f ca="1">OFFSET(BA45,0,-2)+1</f>
        <v>4</v>
      </c>
      <c r="BB45" s="1159">
        <f ca="1">OFFSET(BB45,0,-1)</f>
        <v>4</v>
      </c>
      <c r="BC45" s="1369">
        <f ca="1">OFFSET(BC45,0,-1)+1</f>
        <v>5</v>
      </c>
      <c r="BD45" s="435"/>
      <c r="BE45" s="435"/>
      <c r="BF45" s="435"/>
      <c r="BG45" s="435"/>
      <c r="BH45" s="435"/>
    </row>
    <row r="46" spans="1:60" ht="21" customHeight="1">
      <c r="A46" s="1284" t="s">
        <v>275</v>
      </c>
      <c r="B46" s="1284"/>
      <c r="C46" s="1284"/>
      <c r="D46" s="1284"/>
      <c r="E46" s="3908">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141</v>
      </c>
      <c r="U46" s="214"/>
      <c r="V46" s="3895"/>
      <c r="W46" s="3895"/>
      <c r="X46" s="3895"/>
      <c r="Y46" s="3895"/>
      <c r="Z46" s="3895"/>
      <c r="AA46" s="3895"/>
      <c r="AB46" s="3895"/>
      <c r="AC46" s="3896"/>
      <c r="AD46" s="3894" t="str">
        <f>INDEX(PT_DIFFERENTIATION_NTAR,MATCH(A46,PT_DIFFERENTIATION_NTAR_ID,0))</f>
        <v/>
      </c>
      <c r="AE46" s="3895"/>
      <c r="AF46" s="3895"/>
      <c r="AG46" s="3895"/>
      <c r="AH46" s="3895"/>
      <c r="AI46" s="3895"/>
      <c r="AJ46" s="3895"/>
      <c r="AK46" s="3895"/>
      <c r="AL46" s="3895"/>
      <c r="AM46" s="3895"/>
      <c r="AN46" s="3895"/>
      <c r="AO46" s="3895"/>
      <c r="AP46" s="3895"/>
      <c r="AQ46" s="3895"/>
      <c r="AR46" s="3895"/>
      <c r="AS46" s="3895"/>
      <c r="AT46" s="3895"/>
      <c r="AU46" s="3895"/>
      <c r="AV46" s="3895"/>
      <c r="AW46" s="3895"/>
      <c r="AX46" s="3895"/>
      <c r="AY46" s="3895"/>
      <c r="AZ46" s="3895"/>
      <c r="BA46" s="3895"/>
      <c r="BB46" s="389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275</v>
      </c>
      <c r="B47" s="1284" t="s">
        <v>276</v>
      </c>
      <c r="C47" s="1284"/>
      <c r="D47" s="1284"/>
      <c r="E47" s="3909"/>
      <c r="F47" s="3908">
        <v>1</v>
      </c>
      <c r="G47" s="1284"/>
      <c r="H47" s="1284"/>
      <c r="I47" s="1284"/>
      <c r="J47" s="1284"/>
      <c r="K47" s="1284"/>
      <c r="L47" s="1285"/>
      <c r="M47" s="1286"/>
      <c r="N47" s="1286"/>
      <c r="O47" s="1286"/>
      <c r="P47" s="1331"/>
      <c r="Q47" s="1332"/>
      <c r="R47" s="274"/>
      <c r="S47" s="1375" t="str">
        <f>INDEX(PT_DIFFERENTIATION_NUM_TER,MATCH(B47,PT_DIFFERENTIATION_TER_ID,0))</f>
        <v>.</v>
      </c>
      <c r="T47" s="224" t="s">
        <v>428</v>
      </c>
      <c r="U47" s="214"/>
      <c r="V47" s="3895"/>
      <c r="W47" s="3895"/>
      <c r="X47" s="3895"/>
      <c r="Y47" s="3895"/>
      <c r="Z47" s="3895"/>
      <c r="AA47" s="3895"/>
      <c r="AB47" s="3895"/>
      <c r="AC47" s="3896"/>
      <c r="AD47" s="3894" t="str">
        <f>INDEX(PT_DIFFERENTIATION_TER,MATCH(B47,PT_DIFFERENTIATION_TER_ID,0))</f>
        <v/>
      </c>
      <c r="AE47" s="3895"/>
      <c r="AF47" s="3895"/>
      <c r="AG47" s="3895"/>
      <c r="AH47" s="3895"/>
      <c r="AI47" s="3895"/>
      <c r="AJ47" s="3895"/>
      <c r="AK47" s="3895"/>
      <c r="AL47" s="3895"/>
      <c r="AM47" s="3895"/>
      <c r="AN47" s="3895"/>
      <c r="AO47" s="3895"/>
      <c r="AP47" s="3895"/>
      <c r="AQ47" s="3895"/>
      <c r="AR47" s="3895"/>
      <c r="AS47" s="3895"/>
      <c r="AT47" s="3895"/>
      <c r="AU47" s="3895"/>
      <c r="AV47" s="3895"/>
      <c r="AW47" s="3895"/>
      <c r="AX47" s="3895"/>
      <c r="AY47" s="3895"/>
      <c r="AZ47" s="3895"/>
      <c r="BA47" s="3895"/>
      <c r="BB47" s="3896"/>
      <c r="BC47" s="1182" t="s">
        <v>429</v>
      </c>
      <c r="BE47" s="424"/>
      <c r="BF47" s="424" t="str">
        <f t="shared" si="3"/>
        <v>Территория действия тарифа</v>
      </c>
      <c r="BG47" s="424"/>
      <c r="BH47" s="424"/>
    </row>
    <row r="48" spans="1:60" ht="42" customHeight="1">
      <c r="A48" s="1284" t="s">
        <v>275</v>
      </c>
      <c r="B48" s="1284" t="s">
        <v>276</v>
      </c>
      <c r="C48" s="1284" t="s">
        <v>277</v>
      </c>
      <c r="D48" s="1284"/>
      <c r="E48" s="3909"/>
      <c r="F48" s="3909"/>
      <c r="G48" s="3908">
        <v>1</v>
      </c>
      <c r="H48" s="1284"/>
      <c r="I48" s="1284"/>
      <c r="J48" s="1284"/>
      <c r="K48" s="1284"/>
      <c r="L48" s="1285"/>
      <c r="M48" s="1286"/>
      <c r="N48" s="1286"/>
      <c r="O48" s="1286"/>
      <c r="P48" s="1333"/>
      <c r="Q48" s="1332"/>
      <c r="R48" s="274"/>
      <c r="S48" s="1375" t="str">
        <f>INDEX(PT_DIFFERENTIATION_NUM_CS,MATCH(C48,PT_DIFFERENTIATION_CS_ID,0))</f>
        <v>..</v>
      </c>
      <c r="T48" s="225" t="s">
        <v>509</v>
      </c>
      <c r="U48" s="214"/>
      <c r="V48" s="3895"/>
      <c r="W48" s="3895"/>
      <c r="X48" s="3895"/>
      <c r="Y48" s="3895"/>
      <c r="Z48" s="3895"/>
      <c r="AA48" s="3895"/>
      <c r="AB48" s="3895"/>
      <c r="AC48" s="3896"/>
      <c r="AD48" s="3894" t="str">
        <f>INDEX(PT_DIFFERENTIATION_CS,MATCH(C48,PT_DIFFERENTIATION_CS_ID,0))</f>
        <v/>
      </c>
      <c r="AE48" s="3895"/>
      <c r="AF48" s="3895"/>
      <c r="AG48" s="3895"/>
      <c r="AH48" s="3895"/>
      <c r="AI48" s="3895"/>
      <c r="AJ48" s="3895"/>
      <c r="AK48" s="3895"/>
      <c r="AL48" s="3895"/>
      <c r="AM48" s="3895"/>
      <c r="AN48" s="3895"/>
      <c r="AO48" s="3895"/>
      <c r="AP48" s="3895"/>
      <c r="AQ48" s="3895"/>
      <c r="AR48" s="3895"/>
      <c r="AS48" s="3895"/>
      <c r="AT48" s="3895"/>
      <c r="AU48" s="3895"/>
      <c r="AV48" s="3895"/>
      <c r="AW48" s="3895"/>
      <c r="AX48" s="3895"/>
      <c r="AY48" s="3895"/>
      <c r="AZ48" s="3895"/>
      <c r="BA48" s="3895"/>
      <c r="BB48" s="3896"/>
      <c r="BC48" s="1182" t="s">
        <v>510</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275</v>
      </c>
      <c r="B49" s="1265" t="s">
        <v>276</v>
      </c>
      <c r="C49" s="1265" t="s">
        <v>277</v>
      </c>
      <c r="D49" s="1265" t="s">
        <v>545</v>
      </c>
      <c r="E49" s="3909"/>
      <c r="F49" s="3909"/>
      <c r="G49" s="3909"/>
      <c r="H49" s="3908">
        <v>1</v>
      </c>
      <c r="I49" s="1265"/>
      <c r="J49" s="1265"/>
      <c r="K49" s="1265"/>
      <c r="L49" s="1268"/>
      <c r="M49" s="1238"/>
      <c r="N49" s="1238"/>
      <c r="O49" s="1238"/>
      <c r="P49" s="1412"/>
      <c r="Q49" s="1413"/>
      <c r="R49" s="278"/>
      <c r="S49" s="953"/>
      <c r="T49" s="1414"/>
      <c r="U49" s="1305"/>
      <c r="V49" s="3936"/>
      <c r="W49" s="3936"/>
      <c r="X49" s="3936"/>
      <c r="Y49" s="3936"/>
      <c r="Z49" s="3936"/>
      <c r="AA49" s="3936"/>
      <c r="AB49" s="3936"/>
      <c r="AC49" s="3937"/>
      <c r="AD49" s="3935"/>
      <c r="AE49" s="3936"/>
      <c r="AF49" s="3936"/>
      <c r="AG49" s="3936"/>
      <c r="AH49" s="3936"/>
      <c r="AI49" s="3936"/>
      <c r="AJ49" s="3936"/>
      <c r="AK49" s="3936"/>
      <c r="AL49" s="3936"/>
      <c r="AM49" s="3936"/>
      <c r="AN49" s="3936"/>
      <c r="AO49" s="3936"/>
      <c r="AP49" s="3936"/>
      <c r="AQ49" s="3936"/>
      <c r="AR49" s="3936"/>
      <c r="AS49" s="3936"/>
      <c r="AT49" s="3936"/>
      <c r="AU49" s="3936"/>
      <c r="AV49" s="3936"/>
      <c r="AW49" s="3936"/>
      <c r="AX49" s="3936"/>
      <c r="AY49" s="3936"/>
      <c r="AZ49" s="3936"/>
      <c r="BA49" s="3936"/>
      <c r="BB49" s="3937"/>
      <c r="BC49" s="1306" t="s">
        <v>433</v>
      </c>
      <c r="BE49" s="424"/>
      <c r="BF49" s="424" t="str">
        <f t="shared" si="3"/>
        <v/>
      </c>
      <c r="BG49" s="424"/>
      <c r="BH49" s="424"/>
    </row>
    <row r="50" spans="1:60" s="1562" customFormat="1" ht="0" hidden="1" customHeight="1">
      <c r="A50" s="1265" t="s">
        <v>275</v>
      </c>
      <c r="B50" s="1265" t="s">
        <v>276</v>
      </c>
      <c r="C50" s="1265" t="s">
        <v>277</v>
      </c>
      <c r="D50" s="1265" t="s">
        <v>545</v>
      </c>
      <c r="E50" s="3909"/>
      <c r="F50" s="3909"/>
      <c r="G50" s="3909"/>
      <c r="H50" s="3909"/>
      <c r="I50" s="3906" t="str">
        <f>S49&amp;".1"</f>
        <v>.1</v>
      </c>
      <c r="J50" s="1265"/>
      <c r="K50" s="1265"/>
      <c r="L50" s="1268" t="s">
        <v>434</v>
      </c>
      <c r="M50" s="434"/>
      <c r="N50" s="434"/>
      <c r="O50" s="434"/>
      <c r="P50" s="3907">
        <v>1</v>
      </c>
      <c r="Q50" s="1379"/>
      <c r="R50" s="277"/>
      <c r="S50" s="953"/>
      <c r="T50" s="1304"/>
      <c r="U50" s="1305"/>
      <c r="V50" s="3936"/>
      <c r="W50" s="3936"/>
      <c r="X50" s="3936"/>
      <c r="Y50" s="3936"/>
      <c r="Z50" s="3936"/>
      <c r="AA50" s="3936"/>
      <c r="AB50" s="3936"/>
      <c r="AC50" s="3937"/>
      <c r="AD50" s="3935"/>
      <c r="AE50" s="3936"/>
      <c r="AF50" s="3936"/>
      <c r="AG50" s="3936"/>
      <c r="AH50" s="3936"/>
      <c r="AI50" s="3936"/>
      <c r="AJ50" s="3936"/>
      <c r="AK50" s="3936"/>
      <c r="AL50" s="3936"/>
      <c r="AM50" s="3936"/>
      <c r="AN50" s="3936"/>
      <c r="AO50" s="3936"/>
      <c r="AP50" s="3936"/>
      <c r="AQ50" s="3936"/>
      <c r="AR50" s="3936"/>
      <c r="AS50" s="3936"/>
      <c r="AT50" s="3936"/>
      <c r="AU50" s="3936"/>
      <c r="AV50" s="3936"/>
      <c r="AW50" s="3936"/>
      <c r="AX50" s="3936"/>
      <c r="AY50" s="3936"/>
      <c r="AZ50" s="3936"/>
      <c r="BA50" s="3936"/>
      <c r="BB50" s="3937"/>
      <c r="BC50" s="1306"/>
      <c r="BE50" s="424"/>
      <c r="BF50" s="424" t="str">
        <f t="shared" si="3"/>
        <v/>
      </c>
      <c r="BG50" s="424"/>
      <c r="BH50" s="424"/>
    </row>
    <row r="51" spans="1:60" s="1562" customFormat="1" ht="0" hidden="1" customHeight="1">
      <c r="A51" s="1265" t="s">
        <v>275</v>
      </c>
      <c r="B51" s="1265" t="s">
        <v>276</v>
      </c>
      <c r="C51" s="1265" t="s">
        <v>277</v>
      </c>
      <c r="D51" s="1265" t="s">
        <v>545</v>
      </c>
      <c r="E51" s="3909"/>
      <c r="F51" s="3909"/>
      <c r="G51" s="3909"/>
      <c r="H51" s="3909"/>
      <c r="I51" s="3929"/>
      <c r="J51" s="3906" t="str">
        <f>S49&amp;".1"</f>
        <v>.1</v>
      </c>
      <c r="K51" s="1265"/>
      <c r="L51" s="1268"/>
      <c r="M51" s="434"/>
      <c r="N51" s="434"/>
      <c r="O51" s="434"/>
      <c r="P51" s="3907"/>
      <c r="Q51" s="3907">
        <v>1</v>
      </c>
      <c r="R51" s="278"/>
      <c r="S51" s="953"/>
      <c r="T51" s="1320"/>
      <c r="U51" s="1305"/>
      <c r="V51" s="3936"/>
      <c r="W51" s="3936"/>
      <c r="X51" s="3936"/>
      <c r="Y51" s="3936"/>
      <c r="Z51" s="3936"/>
      <c r="AA51" s="3936"/>
      <c r="AB51" s="3936"/>
      <c r="AC51" s="3937"/>
      <c r="AD51" s="3935"/>
      <c r="AE51" s="3936"/>
      <c r="AF51" s="3936"/>
      <c r="AG51" s="3936"/>
      <c r="AH51" s="3936"/>
      <c r="AI51" s="3936"/>
      <c r="AJ51" s="3936"/>
      <c r="AK51" s="3936"/>
      <c r="AL51" s="3936"/>
      <c r="AM51" s="3936"/>
      <c r="AN51" s="3982"/>
      <c r="AO51" s="3982"/>
      <c r="AP51" s="3936"/>
      <c r="AQ51" s="3936"/>
      <c r="AR51" s="3936"/>
      <c r="AS51" s="3936"/>
      <c r="AT51" s="3936"/>
      <c r="AU51" s="3936"/>
      <c r="AV51" s="3936"/>
      <c r="AW51" s="3936"/>
      <c r="AX51" s="3936"/>
      <c r="AY51" s="3936"/>
      <c r="AZ51" s="3936"/>
      <c r="BA51" s="3936"/>
      <c r="BB51" s="3937"/>
      <c r="BC51" s="1306"/>
      <c r="BE51" s="424"/>
      <c r="BF51" s="424" t="str">
        <f t="shared" si="3"/>
        <v/>
      </c>
      <c r="BG51" s="424"/>
      <c r="BH51" s="424"/>
    </row>
    <row r="52" spans="1:60" ht="11.25" customHeight="1">
      <c r="A52" s="1284" t="s">
        <v>275</v>
      </c>
      <c r="B52" s="1284" t="s">
        <v>276</v>
      </c>
      <c r="C52" s="1284" t="s">
        <v>277</v>
      </c>
      <c r="D52" s="1284" t="s">
        <v>545</v>
      </c>
      <c r="E52" s="3909"/>
      <c r="F52" s="3909"/>
      <c r="G52" s="3909"/>
      <c r="H52" s="3909"/>
      <c r="I52" s="3929"/>
      <c r="J52" s="3929"/>
      <c r="K52" s="3906" t="str">
        <f>S48&amp;".1"</f>
        <v>...1</v>
      </c>
      <c r="L52" s="1285"/>
      <c r="P52" s="3907"/>
      <c r="Q52" s="3907"/>
      <c r="R52" s="278">
        <v>1</v>
      </c>
      <c r="S52" s="3958" t="str">
        <f>$K52</f>
        <v>...1</v>
      </c>
      <c r="T52" s="3977"/>
      <c r="U52" s="214"/>
      <c r="V52" s="666"/>
      <c r="W52" s="1181"/>
      <c r="X52" s="666"/>
      <c r="Y52" s="1181"/>
      <c r="Z52" s="1653"/>
      <c r="AA52" s="1377" t="s">
        <v>60</v>
      </c>
      <c r="AB52" s="1653"/>
      <c r="AC52" s="1377" t="s">
        <v>60</v>
      </c>
      <c r="AD52" s="3833" t="s">
        <v>60</v>
      </c>
      <c r="AE52" s="3944"/>
      <c r="AF52" s="3863">
        <v>1</v>
      </c>
      <c r="AG52" s="3981"/>
      <c r="AH52" s="3759" t="s">
        <v>60</v>
      </c>
      <c r="AI52" s="3944"/>
      <c r="AJ52" s="3863">
        <v>1</v>
      </c>
      <c r="AK52" s="3980" t="s">
        <v>24</v>
      </c>
      <c r="AL52" s="3759" t="s">
        <v>60</v>
      </c>
      <c r="AM52" s="3853"/>
      <c r="AN52" s="3863">
        <v>1</v>
      </c>
      <c r="AO52" s="3974"/>
      <c r="AP52" s="3975" t="s">
        <v>60</v>
      </c>
      <c r="AQ52" s="227"/>
      <c r="AR52" s="1380">
        <v>1</v>
      </c>
      <c r="AS52" s="1383" t="s">
        <v>24</v>
      </c>
      <c r="AT52" s="666"/>
      <c r="AU52" s="1181"/>
      <c r="AV52" s="666"/>
      <c r="AW52" s="1181"/>
      <c r="AX52" s="1653"/>
      <c r="AY52" s="1377" t="s">
        <v>60</v>
      </c>
      <c r="AZ52" s="1653"/>
      <c r="BA52" s="1377" t="s">
        <v>60</v>
      </c>
      <c r="BB52" s="1270"/>
      <c r="BC52" s="3903" t="s">
        <v>531</v>
      </c>
      <c r="BE52" s="424"/>
      <c r="BF52" s="424" t="str">
        <f t="shared" si="3"/>
        <v/>
      </c>
      <c r="BG52" s="424"/>
      <c r="BH52" s="424"/>
    </row>
    <row r="53" spans="1:60" ht="11.25" customHeight="1">
      <c r="A53" s="1284"/>
      <c r="B53" s="1284"/>
      <c r="C53" s="1284"/>
      <c r="D53" s="1284"/>
      <c r="E53" s="3909"/>
      <c r="F53" s="3909"/>
      <c r="G53" s="3909"/>
      <c r="H53" s="3909"/>
      <c r="I53" s="3929"/>
      <c r="J53" s="3929"/>
      <c r="K53" s="3906"/>
      <c r="L53" s="1285"/>
      <c r="P53" s="3907"/>
      <c r="Q53" s="3907"/>
      <c r="R53" s="278"/>
      <c r="S53" s="3959"/>
      <c r="T53" s="3978"/>
      <c r="U53" s="214"/>
      <c r="V53" s="1314"/>
      <c r="W53" s="1411"/>
      <c r="X53" s="1314"/>
      <c r="Y53" s="1411"/>
      <c r="Z53" s="1314"/>
      <c r="AA53" s="1314"/>
      <c r="AB53" s="1314"/>
      <c r="AC53" s="1314"/>
      <c r="AD53" s="3834"/>
      <c r="AE53" s="3944"/>
      <c r="AF53" s="3863"/>
      <c r="AG53" s="3981"/>
      <c r="AH53" s="3759"/>
      <c r="AI53" s="3944"/>
      <c r="AJ53" s="3863"/>
      <c r="AK53" s="3980"/>
      <c r="AL53" s="3759"/>
      <c r="AM53" s="3858"/>
      <c r="AN53" s="3863"/>
      <c r="AO53" s="3974"/>
      <c r="AP53" s="3976"/>
      <c r="AQ53" s="234"/>
      <c r="AR53" s="345"/>
      <c r="AS53" s="345" t="s">
        <v>532</v>
      </c>
      <c r="AT53" s="1314"/>
      <c r="AU53" s="1411"/>
      <c r="AV53" s="1314"/>
      <c r="AW53" s="1411"/>
      <c r="AX53" s="1314"/>
      <c r="AY53" s="1314"/>
      <c r="AZ53" s="1314"/>
      <c r="BA53" s="1314"/>
      <c r="BB53" s="1318"/>
      <c r="BC53" s="3904"/>
      <c r="BE53" s="424"/>
      <c r="BF53" s="424"/>
      <c r="BG53" s="424"/>
      <c r="BH53" s="424"/>
    </row>
    <row r="54" spans="1:60" ht="11.25" customHeight="1">
      <c r="A54" s="1284" t="s">
        <v>275</v>
      </c>
      <c r="B54" s="1284"/>
      <c r="C54" s="1284"/>
      <c r="D54" s="1284"/>
      <c r="E54" s="3909"/>
      <c r="F54" s="3909"/>
      <c r="G54" s="3909"/>
      <c r="H54" s="3909"/>
      <c r="I54" s="3929"/>
      <c r="J54" s="3929"/>
      <c r="K54" s="3906"/>
      <c r="L54" s="1285"/>
      <c r="P54" s="3907"/>
      <c r="Q54" s="3907"/>
      <c r="R54" s="278"/>
      <c r="S54" s="3959"/>
      <c r="T54" s="3978"/>
      <c r="U54" s="214"/>
      <c r="V54" s="1314"/>
      <c r="W54" s="1411"/>
      <c r="X54" s="1314"/>
      <c r="Y54" s="1411"/>
      <c r="Z54" s="1314"/>
      <c r="AA54" s="1314"/>
      <c r="AB54" s="1314"/>
      <c r="AC54" s="1314"/>
      <c r="AD54" s="3834"/>
      <c r="AE54" s="3944"/>
      <c r="AF54" s="3863"/>
      <c r="AG54" s="3981"/>
      <c r="AH54" s="3759"/>
      <c r="AI54" s="3944"/>
      <c r="AJ54" s="3863"/>
      <c r="AK54" s="3980"/>
      <c r="AL54" s="3759"/>
      <c r="AM54" s="234"/>
      <c r="AN54" s="1415"/>
      <c r="AO54" s="1415" t="s">
        <v>533</v>
      </c>
      <c r="AP54" s="345"/>
      <c r="AQ54" s="345"/>
      <c r="AR54" s="345"/>
      <c r="AS54" s="1314"/>
      <c r="AT54" s="1314"/>
      <c r="AU54" s="1411"/>
      <c r="AV54" s="1314"/>
      <c r="AW54" s="1411"/>
      <c r="AX54" s="1314"/>
      <c r="AY54" s="1314"/>
      <c r="AZ54" s="1314"/>
      <c r="BA54" s="1314"/>
      <c r="BB54" s="1318"/>
      <c r="BC54" s="3904"/>
      <c r="BE54" s="424"/>
      <c r="BF54" s="424"/>
      <c r="BG54" s="424"/>
      <c r="BH54" s="424"/>
    </row>
    <row r="55" spans="1:60" ht="11.25" customHeight="1">
      <c r="A55" s="1284" t="s">
        <v>275</v>
      </c>
      <c r="B55" s="1284"/>
      <c r="C55" s="1284"/>
      <c r="D55" s="1284"/>
      <c r="E55" s="3909"/>
      <c r="F55" s="3909"/>
      <c r="G55" s="3909"/>
      <c r="H55" s="3909"/>
      <c r="I55" s="3929"/>
      <c r="J55" s="3929"/>
      <c r="K55" s="3906"/>
      <c r="L55" s="1285"/>
      <c r="P55" s="3907"/>
      <c r="Q55" s="3907"/>
      <c r="R55" s="278"/>
      <c r="S55" s="3959"/>
      <c r="T55" s="3978"/>
      <c r="U55" s="214"/>
      <c r="V55" s="1314"/>
      <c r="W55" s="1411"/>
      <c r="X55" s="1314"/>
      <c r="Y55" s="1411"/>
      <c r="Z55" s="1314"/>
      <c r="AA55" s="1314"/>
      <c r="AB55" s="1314"/>
      <c r="AC55" s="1314"/>
      <c r="AD55" s="3834"/>
      <c r="AE55" s="3944"/>
      <c r="AF55" s="3863"/>
      <c r="AG55" s="3981"/>
      <c r="AH55" s="3759"/>
      <c r="AI55" s="208"/>
      <c r="AJ55" s="344"/>
      <c r="AK55" s="229" t="s">
        <v>534</v>
      </c>
      <c r="AL55" s="1314"/>
      <c r="AM55" s="1314"/>
      <c r="AN55" s="1314"/>
      <c r="AO55" s="1314"/>
      <c r="AP55" s="1314"/>
      <c r="AQ55" s="1314"/>
      <c r="AR55" s="1314"/>
      <c r="AS55" s="1314"/>
      <c r="AT55" s="1314"/>
      <c r="AU55" s="1411"/>
      <c r="AV55" s="1314"/>
      <c r="AW55" s="1411"/>
      <c r="AX55" s="1314"/>
      <c r="AY55" s="1314"/>
      <c r="AZ55" s="1314"/>
      <c r="BA55" s="1314"/>
      <c r="BB55" s="1318"/>
      <c r="BC55" s="3904"/>
      <c r="BE55" s="424"/>
      <c r="BF55" s="424"/>
      <c r="BG55" s="424"/>
      <c r="BH55" s="424"/>
    </row>
    <row r="56" spans="1:60" ht="11.25" customHeight="1">
      <c r="A56" s="1284" t="s">
        <v>275</v>
      </c>
      <c r="B56" s="1284" t="s">
        <v>276</v>
      </c>
      <c r="C56" s="1284" t="s">
        <v>277</v>
      </c>
      <c r="D56" s="1284" t="s">
        <v>545</v>
      </c>
      <c r="E56" s="3909"/>
      <c r="F56" s="3909"/>
      <c r="G56" s="3909"/>
      <c r="H56" s="3909"/>
      <c r="I56" s="3929"/>
      <c r="J56" s="3929"/>
      <c r="K56" s="3906"/>
      <c r="L56" s="1285"/>
      <c r="P56" s="3907"/>
      <c r="Q56" s="3907"/>
      <c r="R56" s="278"/>
      <c r="S56" s="3960"/>
      <c r="T56" s="3979"/>
      <c r="U56" s="214"/>
      <c r="V56" s="1314"/>
      <c r="W56" s="1315" t="str">
        <f>Z52&amp;"-"&amp;AB52</f>
        <v>-</v>
      </c>
      <c r="X56" s="1314"/>
      <c r="Y56" s="1315" t="str">
        <f>AB52&amp;"-"&amp;AD52</f>
        <v>-да</v>
      </c>
      <c r="Z56" s="1314"/>
      <c r="AA56" s="1314"/>
      <c r="AB56" s="1314"/>
      <c r="AC56" s="1314"/>
      <c r="AD56" s="3764"/>
      <c r="AE56" s="228"/>
      <c r="AF56" s="230"/>
      <c r="AG56" s="345" t="s">
        <v>535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904"/>
      <c r="BE56" s="424"/>
      <c r="BF56" s="424" t="str">
        <f t="shared" ref="BF56:BF63" si="4">IF(T56="","",T56)</f>
        <v/>
      </c>
      <c r="BG56" s="424"/>
      <c r="BH56" s="424"/>
    </row>
    <row r="57" spans="1:60" ht="11.25" customHeight="1">
      <c r="A57" s="1284" t="s">
        <v>275</v>
      </c>
      <c r="B57" s="1284" t="s">
        <v>276</v>
      </c>
      <c r="C57" s="1284" t="s">
        <v>277</v>
      </c>
      <c r="D57" s="1284" t="s">
        <v>545</v>
      </c>
      <c r="E57" s="3909"/>
      <c r="F57" s="3909"/>
      <c r="G57" s="3909"/>
      <c r="H57" s="3909"/>
      <c r="I57" s="3929"/>
      <c r="J57" s="3906"/>
      <c r="K57" s="1284"/>
      <c r="L57" s="1285"/>
      <c r="P57" s="3907"/>
      <c r="Q57" s="3907"/>
      <c r="R57" s="277"/>
      <c r="S57" s="1203"/>
      <c r="T57" s="202" t="s">
        <v>495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905"/>
      <c r="BE57" s="424"/>
      <c r="BF57" s="424" t="str">
        <f t="shared" si="4"/>
        <v>Добавить строку</v>
      </c>
      <c r="BG57" s="424"/>
      <c r="BH57" s="424"/>
    </row>
    <row r="58" spans="1:60" s="1562" customFormat="1" ht="0" hidden="1" customHeight="1">
      <c r="A58" s="1265" t="s">
        <v>275</v>
      </c>
      <c r="B58" s="1265" t="s">
        <v>276</v>
      </c>
      <c r="C58" s="1265" t="s">
        <v>277</v>
      </c>
      <c r="D58" s="1265" t="s">
        <v>545</v>
      </c>
      <c r="E58" s="3909"/>
      <c r="F58" s="3909"/>
      <c r="G58" s="3909"/>
      <c r="H58" s="3909"/>
      <c r="I58" s="3906"/>
      <c r="J58" s="1265"/>
      <c r="K58" s="1265"/>
      <c r="L58" s="1268"/>
      <c r="M58" s="434"/>
      <c r="N58" s="434"/>
      <c r="O58" s="434"/>
      <c r="P58" s="3907"/>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275</v>
      </c>
      <c r="B59" s="1265" t="s">
        <v>276</v>
      </c>
      <c r="C59" s="1265" t="s">
        <v>277</v>
      </c>
      <c r="D59" s="1265" t="s">
        <v>545</v>
      </c>
      <c r="E59" s="3909"/>
      <c r="F59" s="3909"/>
      <c r="G59" s="3909"/>
      <c r="H59" s="3908"/>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275</v>
      </c>
      <c r="B60" s="1265" t="s">
        <v>276</v>
      </c>
      <c r="C60" s="1265" t="s">
        <v>277</v>
      </c>
      <c r="D60" s="1237"/>
      <c r="E60" s="3909"/>
      <c r="F60" s="3909"/>
      <c r="G60" s="3908"/>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275</v>
      </c>
      <c r="B61" s="1265" t="s">
        <v>276</v>
      </c>
      <c r="C61" s="1237"/>
      <c r="D61" s="1237"/>
      <c r="E61" s="3909"/>
      <c r="F61" s="3908"/>
      <c r="G61" s="1237"/>
      <c r="H61" s="1237"/>
      <c r="I61" s="1237"/>
      <c r="J61" s="1237"/>
      <c r="K61" s="1237"/>
      <c r="L61" s="1381"/>
      <c r="M61" s="1244"/>
      <c r="N61" s="1244"/>
      <c r="P61" s="1239"/>
      <c r="Q61" s="1240"/>
      <c r="R61" s="1239"/>
      <c r="S61" s="1245"/>
      <c r="T61" s="1248" t="s">
        <v>240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275</v>
      </c>
      <c r="B62" s="1265"/>
      <c r="C62" s="1265"/>
      <c r="D62" s="1265"/>
      <c r="E62" s="3908"/>
      <c r="F62" s="1265"/>
      <c r="G62" s="1265"/>
      <c r="H62" s="1265"/>
      <c r="I62" s="1265"/>
      <c r="J62" s="1265"/>
      <c r="K62" s="1265"/>
      <c r="L62" s="1268"/>
      <c r="M62" s="1244"/>
      <c r="N62" s="1244"/>
      <c r="O62" s="442"/>
      <c r="P62" s="308"/>
      <c r="Q62" s="1266"/>
      <c r="R62" s="308"/>
      <c r="S62" s="1245"/>
      <c r="T62" s="1248" t="s">
        <v>241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262</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3928"/>
      <c r="U65" s="3928"/>
      <c r="V65" s="3928"/>
      <c r="W65" s="3928"/>
      <c r="X65" s="3928"/>
      <c r="Y65" s="3928"/>
      <c r="Z65" s="3928"/>
      <c r="AA65" s="3928"/>
      <c r="AB65" s="3928"/>
      <c r="AC65" s="3928"/>
      <c r="AD65" s="3928"/>
      <c r="AE65" s="3928"/>
      <c r="AF65" s="3928"/>
      <c r="AG65" s="3928"/>
      <c r="AH65" s="3928"/>
      <c r="AI65" s="3928"/>
      <c r="AJ65" s="3928"/>
      <c r="AK65" s="3928"/>
      <c r="AL65" s="3928"/>
      <c r="AM65" s="3928"/>
      <c r="AN65" s="3928"/>
      <c r="AO65" s="3928"/>
      <c r="AP65" s="3928"/>
      <c r="AQ65" s="3928"/>
      <c r="AR65" s="3928"/>
      <c r="AS65" s="3928"/>
      <c r="AT65" s="3928"/>
      <c r="AU65" s="3928"/>
      <c r="AV65" s="3928"/>
      <c r="AW65" s="3928"/>
      <c r="AX65" s="3928"/>
      <c r="AY65" s="3928"/>
      <c r="AZ65" s="3928"/>
      <c r="BA65" s="3928"/>
      <c r="BB65" s="3928"/>
      <c r="BC65" s="3928"/>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3928"/>
      <c r="U67" s="3928"/>
      <c r="V67" s="3928"/>
      <c r="W67" s="3928"/>
      <c r="X67" s="3928"/>
      <c r="Y67" s="3928"/>
      <c r="Z67" s="3928"/>
      <c r="AA67" s="3928"/>
      <c r="AB67" s="3928"/>
      <c r="AC67" s="3928"/>
      <c r="AD67" s="3928"/>
      <c r="AE67" s="3928"/>
      <c r="AF67" s="3928"/>
      <c r="AG67" s="3928"/>
      <c r="AH67" s="3928"/>
      <c r="AI67" s="3928"/>
      <c r="AJ67" s="3928"/>
      <c r="AK67" s="3928"/>
      <c r="AL67" s="3928"/>
      <c r="AM67" s="3928"/>
      <c r="AN67" s="3928"/>
      <c r="AO67" s="3928"/>
      <c r="AP67" s="3928"/>
      <c r="AQ67" s="3928"/>
      <c r="AR67" s="3928"/>
      <c r="AS67" s="3928"/>
      <c r="AT67" s="3928"/>
      <c r="AU67" s="3928"/>
      <c r="AV67" s="3928"/>
      <c r="AW67" s="3928"/>
      <c r="AX67" s="3928"/>
      <c r="AY67" s="3928"/>
      <c r="AZ67" s="3928"/>
      <c r="BA67" s="3928"/>
      <c r="BB67" s="3928"/>
      <c r="BC67" s="3928"/>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908">
        <v>1</v>
      </c>
      <c r="F2" s="1284"/>
      <c r="G2" s="1284"/>
      <c r="H2" s="1284"/>
      <c r="I2" s="1284"/>
      <c r="J2" s="1284"/>
      <c r="K2" s="1284"/>
      <c r="L2" s="1285"/>
      <c r="M2" s="1286"/>
      <c r="N2" s="1286"/>
      <c r="O2" s="1286"/>
      <c r="P2" s="282"/>
      <c r="Q2" s="281"/>
      <c r="R2" s="276"/>
      <c r="S2" s="1408" t="e">
        <f>INDEX(PT_DIFFERENTIATION_NUM_NTAR,MATCH(A2,PT_DIFFERENTIATION_NTAR_ID,0))</f>
        <v>#N/A</v>
      </c>
      <c r="T2" s="212" t="s">
        <v>141</v>
      </c>
      <c r="U2" s="214"/>
      <c r="V2" s="3894"/>
      <c r="W2" s="3895"/>
      <c r="X2" s="3895"/>
      <c r="Y2" s="3895"/>
      <c r="Z2" s="3895"/>
      <c r="AA2" s="3895"/>
      <c r="AB2" s="3896"/>
      <c r="AC2" s="3894" t="e">
        <f>INDEX(PT_DIFFERENTIATION_NTAR,MATCH(A2,PT_DIFFERENTIATION_NTAR_ID,0))</f>
        <v>#N/A</v>
      </c>
      <c r="AD2" s="3895"/>
      <c r="AE2" s="3895"/>
      <c r="AF2" s="3895"/>
      <c r="AG2" s="3895"/>
      <c r="AH2" s="3895"/>
      <c r="AI2" s="3895"/>
      <c r="AJ2" s="38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909"/>
      <c r="F3" s="3908">
        <v>1</v>
      </c>
      <c r="G3" s="1284"/>
      <c r="H3" s="1284"/>
      <c r="I3" s="1284"/>
      <c r="J3" s="1284"/>
      <c r="K3" s="1284"/>
      <c r="L3" s="1285"/>
      <c r="M3" s="1286"/>
      <c r="N3" s="1286"/>
      <c r="O3" s="1286"/>
      <c r="P3" s="1402"/>
      <c r="Q3" s="273"/>
      <c r="R3" s="274"/>
      <c r="S3" s="1408" t="e">
        <f>INDEX(PT_DIFFERENTIATION_NUM_TER,MATCH(B3,PT_DIFFERENTIATION_TER_ID,0))</f>
        <v>#N/A</v>
      </c>
      <c r="T3" s="224" t="s">
        <v>428</v>
      </c>
      <c r="U3" s="214"/>
      <c r="V3" s="3894"/>
      <c r="W3" s="3895"/>
      <c r="X3" s="3895"/>
      <c r="Y3" s="3895"/>
      <c r="Z3" s="3895"/>
      <c r="AA3" s="3895"/>
      <c r="AB3" s="3896"/>
      <c r="AC3" s="3894" t="e">
        <f>INDEX(PT_DIFFERENTIATION_TER,MATCH(B3,PT_DIFFERENTIATION_TER_ID,0))</f>
        <v>#N/A</v>
      </c>
      <c r="AD3" s="3895"/>
      <c r="AE3" s="3895"/>
      <c r="AF3" s="3895"/>
      <c r="AG3" s="3895"/>
      <c r="AH3" s="3895"/>
      <c r="AI3" s="3895"/>
      <c r="AJ3" s="3896"/>
      <c r="AK3" s="1182" t="s">
        <v>429</v>
      </c>
      <c r="AM3" s="424"/>
      <c r="AN3" s="424" t="str">
        <f t="shared" si="0"/>
        <v>Территория действия тарифа</v>
      </c>
      <c r="AO3" s="424"/>
      <c r="AP3" s="424"/>
    </row>
    <row r="4" spans="1:42" ht="23.25" hidden="1" customHeight="1">
      <c r="A4" s="1284"/>
      <c r="B4" s="1284"/>
      <c r="C4" s="1284"/>
      <c r="D4" s="1284"/>
      <c r="E4" s="3909"/>
      <c r="F4" s="3909"/>
      <c r="G4" s="3908">
        <v>1</v>
      </c>
      <c r="H4" s="1284"/>
      <c r="I4" s="1284"/>
      <c r="J4" s="1284"/>
      <c r="K4" s="1284"/>
      <c r="L4" s="1285"/>
      <c r="M4" s="1286"/>
      <c r="N4" s="1286"/>
      <c r="O4" s="1286"/>
      <c r="P4" s="275"/>
      <c r="Q4" s="273"/>
      <c r="R4" s="274"/>
      <c r="S4" s="1408" t="e">
        <f>INDEX(PT_DIFFERENTIATION_NUM_CS,MATCH(C4,PT_DIFFERENTIATION_CS_ID,0))</f>
        <v>#N/A</v>
      </c>
      <c r="T4" s="225" t="s">
        <v>546</v>
      </c>
      <c r="U4" s="214"/>
      <c r="V4" s="3894"/>
      <c r="W4" s="3895"/>
      <c r="X4" s="3895"/>
      <c r="Y4" s="3895"/>
      <c r="Z4" s="3895"/>
      <c r="AA4" s="3895"/>
      <c r="AB4" s="3896"/>
      <c r="AC4" s="3894" t="e">
        <f>INDEX(PT_DIFFERENTIATION_CS,MATCH(C4,PT_DIFFERENTIATION_CS_ID,0))</f>
        <v>#N/A</v>
      </c>
      <c r="AD4" s="3895"/>
      <c r="AE4" s="3895"/>
      <c r="AF4" s="3895"/>
      <c r="AG4" s="3895"/>
      <c r="AH4" s="3895"/>
      <c r="AI4" s="3895"/>
      <c r="AJ4" s="3896"/>
      <c r="AK4" s="1182" t="s">
        <v>547</v>
      </c>
      <c r="AM4" s="424"/>
      <c r="AN4" s="424" t="str">
        <f t="shared" si="0"/>
        <v>Наименование централизованной системы водоотведения</v>
      </c>
      <c r="AO4" s="424"/>
      <c r="AP4" s="424"/>
    </row>
    <row r="5" spans="1:42" ht="23.25" hidden="1" customHeight="1">
      <c r="A5" s="1284"/>
      <c r="B5" s="1284"/>
      <c r="C5" s="1284"/>
      <c r="D5" s="1284"/>
      <c r="E5" s="3909"/>
      <c r="F5" s="3909"/>
      <c r="G5" s="3909"/>
      <c r="H5" s="3909"/>
      <c r="I5" s="3906" t="e">
        <f>S4&amp;".1"</f>
        <v>#N/A</v>
      </c>
      <c r="J5" s="1284"/>
      <c r="K5" s="1284"/>
      <c r="L5" s="1285"/>
      <c r="P5" s="3907">
        <v>1</v>
      </c>
      <c r="Q5" s="1396"/>
      <c r="R5" s="277"/>
      <c r="S5" s="1408" t="e">
        <f>$I5</f>
        <v>#N/A</v>
      </c>
      <c r="T5" s="200" t="s">
        <v>511</v>
      </c>
      <c r="U5" s="214"/>
      <c r="V5" s="3967"/>
      <c r="W5" s="3968"/>
      <c r="X5" s="3968"/>
      <c r="Y5" s="3968"/>
      <c r="Z5" s="3968"/>
      <c r="AA5" s="3968"/>
      <c r="AB5" s="3969"/>
      <c r="AC5" s="3970"/>
      <c r="AD5" s="3971"/>
      <c r="AE5" s="3971"/>
      <c r="AF5" s="3971"/>
      <c r="AG5" s="3971"/>
      <c r="AH5" s="3971"/>
      <c r="AI5" s="3971"/>
      <c r="AJ5" s="3972"/>
      <c r="AK5" s="1182" t="s">
        <v>512</v>
      </c>
      <c r="AM5" s="424"/>
      <c r="AN5" s="424" t="str">
        <f t="shared" si="0"/>
        <v>Наименование признака дифференциации</v>
      </c>
      <c r="AO5" s="424"/>
      <c r="AP5" s="424"/>
    </row>
    <row r="6" spans="1:42" ht="23.25" hidden="1" customHeight="1">
      <c r="A6" s="1284"/>
      <c r="B6" s="1284"/>
      <c r="C6" s="1284"/>
      <c r="D6" s="1284"/>
      <c r="E6" s="3909"/>
      <c r="F6" s="3909"/>
      <c r="G6" s="3909"/>
      <c r="H6" s="3909"/>
      <c r="I6" s="3929"/>
      <c r="J6" s="3906" t="e">
        <f>I5&amp;".1"</f>
        <v>#N/A</v>
      </c>
      <c r="K6" s="1284"/>
      <c r="L6" s="1285" t="s">
        <v>437</v>
      </c>
      <c r="P6" s="3907"/>
      <c r="Q6" s="3907">
        <v>1</v>
      </c>
      <c r="R6" s="278"/>
      <c r="S6" s="1408" t="e">
        <f>$J6</f>
        <v>#N/A</v>
      </c>
      <c r="T6" s="201" t="s">
        <v>438</v>
      </c>
      <c r="U6" s="214"/>
      <c r="V6" s="3897"/>
      <c r="W6" s="3898"/>
      <c r="X6" s="3898"/>
      <c r="Y6" s="3898"/>
      <c r="Z6" s="3898"/>
      <c r="AA6" s="3898"/>
      <c r="AB6" s="3899"/>
      <c r="AC6" s="3897"/>
      <c r="AD6" s="3898"/>
      <c r="AE6" s="3898"/>
      <c r="AF6" s="3898"/>
      <c r="AG6" s="3898"/>
      <c r="AH6" s="3898"/>
      <c r="AI6" s="3898"/>
      <c r="AJ6" s="3899"/>
      <c r="AK6" s="1231" t="s">
        <v>513</v>
      </c>
      <c r="AM6" s="424"/>
      <c r="AN6" s="424" t="str">
        <f t="shared" si="0"/>
        <v>Группа потребителей</v>
      </c>
      <c r="AO6" s="424"/>
      <c r="AP6" s="424"/>
    </row>
    <row r="7" spans="1:42" ht="23.25" hidden="1" customHeight="1">
      <c r="A7" s="1284"/>
      <c r="B7" s="1284"/>
      <c r="C7" s="1284"/>
      <c r="D7" s="1284"/>
      <c r="E7" s="3909"/>
      <c r="F7" s="3909"/>
      <c r="G7" s="3909"/>
      <c r="H7" s="3909"/>
      <c r="I7" s="3929"/>
      <c r="J7" s="3929"/>
      <c r="K7" s="3906" t="e">
        <f>J6&amp;".1"</f>
        <v>#N/A</v>
      </c>
      <c r="L7" s="1285"/>
      <c r="P7" s="3907"/>
      <c r="Q7" s="3907"/>
      <c r="R7" s="278">
        <v>1</v>
      </c>
      <c r="S7" s="1408" t="e">
        <f>$K7</f>
        <v>#N/A</v>
      </c>
      <c r="T7" s="1357"/>
      <c r="U7" s="214"/>
      <c r="V7" s="666"/>
      <c r="W7" s="666"/>
      <c r="X7" s="1181"/>
      <c r="Y7" s="3911"/>
      <c r="Z7" s="3759" t="s">
        <v>60</v>
      </c>
      <c r="AA7" s="3911"/>
      <c r="AB7" s="3759" t="s">
        <v>60</v>
      </c>
      <c r="AC7" s="666"/>
      <c r="AD7" s="666"/>
      <c r="AE7" s="1181"/>
      <c r="AF7" s="3911"/>
      <c r="AG7" s="3759" t="s">
        <v>60</v>
      </c>
      <c r="AH7" s="3930"/>
      <c r="AI7" s="3759" t="s">
        <v>60</v>
      </c>
      <c r="AJ7" s="1358"/>
      <c r="AK7"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909"/>
      <c r="F8" s="3909"/>
      <c r="G8" s="3909"/>
      <c r="H8" s="3909"/>
      <c r="I8" s="3929"/>
      <c r="J8" s="3929"/>
      <c r="K8" s="3906"/>
      <c r="L8" s="1285"/>
      <c r="P8" s="3907"/>
      <c r="Q8" s="3907"/>
      <c r="R8" s="278"/>
      <c r="S8" s="1405"/>
      <c r="T8" s="214"/>
      <c r="U8" s="214"/>
      <c r="V8" s="246"/>
      <c r="W8" s="246"/>
      <c r="X8" s="250" t="str">
        <f>Y7&amp;"-"&amp;AA7</f>
        <v>-</v>
      </c>
      <c r="Y8" s="3912"/>
      <c r="Z8" s="3759"/>
      <c r="AA8" s="3912"/>
      <c r="AB8" s="3759"/>
      <c r="AC8" s="246"/>
      <c r="AD8" s="246"/>
      <c r="AE8" s="250" t="str">
        <f>AF7&amp;"-"&amp;AH7</f>
        <v>-</v>
      </c>
      <c r="AF8" s="3912"/>
      <c r="AG8" s="3759"/>
      <c r="AH8" s="3931"/>
      <c r="AI8" s="3759"/>
      <c r="AJ8" s="1359"/>
      <c r="AK8" s="3966"/>
      <c r="AM8" s="424"/>
      <c r="AN8" s="424" t="str">
        <f t="shared" si="0"/>
        <v/>
      </c>
      <c r="AO8" s="424"/>
      <c r="AP8" s="424"/>
    </row>
    <row r="9" spans="1:42" ht="21" hidden="1" customHeight="1">
      <c r="A9" s="1284"/>
      <c r="B9" s="1284"/>
      <c r="C9" s="1284"/>
      <c r="D9" s="1284"/>
      <c r="E9" s="3909"/>
      <c r="F9" s="3909"/>
      <c r="G9" s="3909"/>
      <c r="H9" s="3909"/>
      <c r="I9" s="3929"/>
      <c r="J9" s="3906"/>
      <c r="K9" s="1284"/>
      <c r="L9" s="1285"/>
      <c r="P9" s="3907"/>
      <c r="Q9" s="3907"/>
      <c r="R9" s="277"/>
      <c r="S9" s="1203"/>
      <c r="T9" s="202" t="s">
        <v>514</v>
      </c>
      <c r="U9" s="291"/>
      <c r="V9" s="291"/>
      <c r="W9" s="291"/>
      <c r="X9" s="291"/>
      <c r="Y9" s="291"/>
      <c r="Z9" s="291"/>
      <c r="AA9" s="291"/>
      <c r="AB9" s="291"/>
      <c r="AC9" s="291"/>
      <c r="AD9" s="291"/>
      <c r="AE9" s="291"/>
      <c r="AF9" s="291"/>
      <c r="AG9" s="291"/>
      <c r="AH9" s="291"/>
      <c r="AI9" s="291"/>
      <c r="AJ9" s="291"/>
      <c r="AK9" s="1182" t="s">
        <v>515</v>
      </c>
      <c r="AM9" s="424"/>
      <c r="AN9" s="424" t="str">
        <f t="shared" si="0"/>
        <v>Добавить значение признака дифференциации</v>
      </c>
      <c r="AO9" s="424"/>
      <c r="AP9" s="424"/>
    </row>
    <row r="10" spans="1:42" ht="21" hidden="1" customHeight="1">
      <c r="A10" s="1284"/>
      <c r="B10" s="1284"/>
      <c r="C10" s="1284"/>
      <c r="D10" s="1284"/>
      <c r="E10" s="3909"/>
      <c r="F10" s="3909"/>
      <c r="G10" s="3909"/>
      <c r="H10" s="3909"/>
      <c r="I10" s="3906"/>
      <c r="J10" s="1284"/>
      <c r="K10" s="1284"/>
      <c r="L10" s="1285"/>
      <c r="P10" s="3907"/>
      <c r="Q10" s="1396"/>
      <c r="R10" s="277"/>
      <c r="S10" s="1203"/>
      <c r="T10" s="288" t="s">
        <v>443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909"/>
      <c r="F11" s="3909"/>
      <c r="G11" s="3909"/>
      <c r="H11" s="3908"/>
      <c r="I11" s="1284"/>
      <c r="J11" s="1284"/>
      <c r="K11" s="1284"/>
      <c r="L11" s="1285"/>
      <c r="M11" s="1286"/>
      <c r="N11" s="1286"/>
      <c r="O11" s="460"/>
      <c r="P11" s="281"/>
      <c r="Q11" s="299"/>
      <c r="R11" s="276"/>
      <c r="S11" s="1203"/>
      <c r="T11" s="296" t="s">
        <v>516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909"/>
      <c r="F12" s="3908"/>
      <c r="G12" s="1237"/>
      <c r="H12" s="1237"/>
      <c r="I12" s="1237"/>
      <c r="J12" s="1237"/>
      <c r="K12" s="1237"/>
      <c r="L12" s="1409"/>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908"/>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913"/>
      <c r="AG15" s="3914" t="s">
        <v>60</v>
      </c>
      <c r="AH15" s="3913"/>
      <c r="AI15" s="3914" t="s">
        <v>60</v>
      </c>
    </row>
    <row r="16" spans="1:42" ht="14.25" hidden="1" customHeight="1">
      <c r="AC16" s="1281"/>
      <c r="AD16" s="1281"/>
      <c r="AE16" s="250" t="str">
        <f>AF15&amp;"-"&amp;AH15</f>
        <v>-</v>
      </c>
      <c r="AF16" s="3914"/>
      <c r="AG16" s="3914"/>
      <c r="AH16" s="3914"/>
      <c r="AI16" s="3914"/>
    </row>
    <row r="17" spans="1:42" ht="14.25" hidden="1" customHeight="1">
      <c r="AI17" s="249"/>
    </row>
    <row r="18" spans="1:42" s="1287" customFormat="1" ht="22.5" hidden="1" customHeight="1">
      <c r="L18" s="1393"/>
      <c r="M18" s="1283"/>
      <c r="N18" s="1283"/>
      <c r="O18" s="1288" t="s">
        <v>446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447</v>
      </c>
      <c r="P20" s="1283"/>
      <c r="Q20" s="1361"/>
      <c r="R20" s="1361"/>
      <c r="S20" s="646"/>
      <c r="T20" s="1065" t="s">
        <v>448</v>
      </c>
      <c r="Z20" s="104" t="s">
        <v>449</v>
      </c>
      <c r="AB20" s="104" t="s">
        <v>450</v>
      </c>
      <c r="AC20" s="1065" t="s">
        <v>448</v>
      </c>
      <c r="AG20" s="104" t="s">
        <v>451</v>
      </c>
      <c r="AI20" s="104" t="s">
        <v>450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8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892"/>
      <c r="U24" s="3892"/>
      <c r="V24" s="3892"/>
      <c r="W24" s="3892"/>
      <c r="X24" s="3892"/>
      <c r="Y24" s="3892"/>
      <c r="Z24" s="3892"/>
      <c r="AA24" s="3892"/>
      <c r="AB24" s="3892"/>
      <c r="AC24" s="3892"/>
      <c r="AD24" s="3892"/>
      <c r="AE24" s="3892"/>
      <c r="AF24" s="3892"/>
      <c r="AG24" s="3892"/>
      <c r="AH24" s="3892"/>
      <c r="AI24" s="1157"/>
    </row>
    <row r="25" spans="1:42" ht="14.25" customHeight="1">
      <c r="Q25" s="300"/>
      <c r="R25" s="300"/>
      <c r="S25" s="3839" t="str">
        <f>IF(org=0,"Не определено",org)</f>
        <v>ГУП СК "Ставрополькрайводоканал"</v>
      </c>
      <c r="T25" s="3839"/>
      <c r="U25" s="3839"/>
      <c r="V25" s="3839"/>
      <c r="W25" s="3839"/>
      <c r="X25" s="3839"/>
      <c r="Y25" s="3839"/>
      <c r="Z25" s="3839"/>
      <c r="AA25" s="3839"/>
      <c r="AB25" s="3839"/>
      <c r="AC25" s="3839"/>
      <c r="AD25" s="3839"/>
      <c r="AE25" s="3839"/>
      <c r="AF25" s="3839"/>
      <c r="AG25" s="3839"/>
      <c r="AH25" s="383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900" t="s">
        <v>38</v>
      </c>
      <c r="T27" s="3900"/>
      <c r="U27" s="1293"/>
      <c r="V27" s="3901" t="str">
        <f>IF(TITLE_NAME_OR_PR_CHANGE="",IF(TITLE_NAME_OR_PR="","",TITLE_NAME_OR_PR),TITLE_NAME_OR_PR_CHANGE)</f>
        <v>Региональная тарифная комиссия Ставропольского края</v>
      </c>
      <c r="W27" s="3901"/>
      <c r="X27" s="3901"/>
      <c r="Y27" s="3901"/>
      <c r="Z27" s="3901"/>
      <c r="AA27" s="3901"/>
      <c r="AB27" s="248"/>
      <c r="AC27" s="3901" t="str">
        <f>IF(TITLE_NAME_OR_PR_CHANGE="",IF(TITLE_NAME_OR_PR="","",TITLE_NAME_OR_PR),TITLE_NAME_OR_PR_CHANGE)</f>
        <v>Региональная тарифная комиссия Ставропольского края</v>
      </c>
      <c r="AD27" s="3901"/>
      <c r="AE27" s="3901"/>
      <c r="AF27" s="3901"/>
      <c r="AG27" s="3901"/>
      <c r="AH27" s="3901"/>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900" t="s">
        <v>452</v>
      </c>
      <c r="T28" s="3900"/>
      <c r="U28" s="1293"/>
      <c r="V28" s="3910">
        <f>IF(TITLE_DATE_PR_CHANGE="",IF(TITLE_DATE_PR="","",TITLE_DATE_PR),TITLE_DATE_PR_CHANGE)</f>
        <v>45278</v>
      </c>
      <c r="W28" s="3910"/>
      <c r="X28" s="3910"/>
      <c r="Y28" s="3910"/>
      <c r="Z28" s="3910"/>
      <c r="AA28" s="3910"/>
      <c r="AB28" s="248"/>
      <c r="AC28" s="3910">
        <f>IF(TITLE_DATE_PR_CHANGE="",IF(TITLE_DATE_PR="","",TITLE_DATE_PR),TITLE_DATE_PR_CHANGE)</f>
        <v>45278</v>
      </c>
      <c r="AD28" s="3910"/>
      <c r="AE28" s="3910"/>
      <c r="AF28" s="3910"/>
      <c r="AG28" s="3910"/>
      <c r="AH28" s="3910"/>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900" t="s">
        <v>453</v>
      </c>
      <c r="T29" s="3900"/>
      <c r="U29" s="1293"/>
      <c r="V29" s="3901" t="str">
        <f>IF(TITLE_NUMBER_PR_CHANGE="",IF(TITLE_NUMBER_PR="","",TITLE_NUMBER_PR),TITLE_NUMBER_PR_CHANGE)</f>
        <v>79/2</v>
      </c>
      <c r="W29" s="3901"/>
      <c r="X29" s="3901"/>
      <c r="Y29" s="3901"/>
      <c r="Z29" s="3901"/>
      <c r="AA29" s="3901"/>
      <c r="AB29" s="248"/>
      <c r="AC29" s="3901" t="str">
        <f>IF(TITLE_NUMBER_PR_CHANGE="",IF(TITLE_NUMBER_PR="","",TITLE_NUMBER_PR),TITLE_NUMBER_PR_CHANGE)</f>
        <v>79/2</v>
      </c>
      <c r="AD29" s="3901"/>
      <c r="AE29" s="3901"/>
      <c r="AF29" s="3901"/>
      <c r="AG29" s="3901"/>
      <c r="AH29" s="3901"/>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900" t="s">
        <v>40</v>
      </c>
      <c r="T30" s="3900"/>
      <c r="U30" s="1293"/>
      <c r="V30" s="3901" t="str">
        <f>IF(TITLE_IST_PUB_CHANGE="",IF(TITLE_IST_PUB="","",TITLE_IST_PUB),TITLE_IST_PUB_CHANGE)</f>
        <v>http://pravo.stavregion.ru/</v>
      </c>
      <c r="W30" s="3901"/>
      <c r="X30" s="3901"/>
      <c r="Y30" s="3901"/>
      <c r="Z30" s="3901"/>
      <c r="AA30" s="3901"/>
      <c r="AB30" s="248"/>
      <c r="AC30" s="3901" t="str">
        <f>IF(TITLE_IST_PUB_CHANGE="",IF(TITLE_IST_PUB="","",TITLE_IST_PUB),TITLE_IST_PUB_CHANGE)</f>
        <v>http://pravo.stavregion.ru/</v>
      </c>
      <c r="AD30" s="3901"/>
      <c r="AE30" s="3901"/>
      <c r="AF30" s="3901"/>
      <c r="AG30" s="3901"/>
      <c r="AH30" s="3901"/>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900" t="s">
        <v>454</v>
      </c>
      <c r="T32" s="3900"/>
      <c r="U32" s="1293"/>
      <c r="V32" s="3910">
        <f>IF(TITLE_DATE_PR_CHANGE="",IF(TITLE_DATE_PR="","",TITLE_DATE_PR),TITLE_DATE_PR_CHANGE)</f>
        <v>45278</v>
      </c>
      <c r="W32" s="3910"/>
      <c r="X32" s="3910"/>
      <c r="Y32" s="3910"/>
      <c r="Z32" s="3910"/>
      <c r="AA32" s="3910"/>
      <c r="AB32" s="248"/>
      <c r="AC32" s="3910">
        <f>IF(TITLE_DATE_PR_CHANGE="",IF(TITLE_DATE_PR="","",TITLE_DATE_PR),TITLE_DATE_PR_CHANGE)</f>
        <v>45278</v>
      </c>
      <c r="AD32" s="3910"/>
      <c r="AE32" s="3910"/>
      <c r="AF32" s="3910"/>
      <c r="AG32" s="3910"/>
      <c r="AH32" s="3910"/>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900" t="s">
        <v>455</v>
      </c>
      <c r="T33" s="3900"/>
      <c r="U33" s="1293"/>
      <c r="V33" s="3901" t="str">
        <f>IF(TITLE_NUMBER_PR_CHANGE="",IF(TITLE_NUMBER_PR="","",TITLE_NUMBER_PR),TITLE_NUMBER_PR_CHANGE)</f>
        <v>79/2</v>
      </c>
      <c r="W33" s="3901"/>
      <c r="X33" s="3901"/>
      <c r="Y33" s="3901"/>
      <c r="Z33" s="3901"/>
      <c r="AA33" s="3901"/>
      <c r="AB33" s="248"/>
      <c r="AC33" s="3901" t="str">
        <f>IF(TITLE_NUMBER_PR_CHANGE="",IF(TITLE_NUMBER_PR="","",TITLE_NUMBER_PR),TITLE_NUMBER_PR_CHANGE)</f>
        <v>79/2</v>
      </c>
      <c r="AD33" s="3901"/>
      <c r="AE33" s="3901"/>
      <c r="AF33" s="3901"/>
      <c r="AG33" s="3901"/>
      <c r="AH33" s="3901"/>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456</v>
      </c>
      <c r="AC34" s="248"/>
      <c r="AD34" s="248"/>
      <c r="AE34" s="248"/>
      <c r="AF34" s="248"/>
      <c r="AG34" s="248"/>
      <c r="AH34" s="248"/>
      <c r="AI34" s="194" t="s">
        <v>456</v>
      </c>
      <c r="AL34" s="292"/>
      <c r="AM34" s="292"/>
      <c r="AN34" s="292"/>
      <c r="AO34" s="292"/>
      <c r="AP34" s="292"/>
    </row>
    <row r="35" spans="1:42" ht="14.25" customHeight="1">
      <c r="Q35" s="300"/>
      <c r="R35" s="300"/>
      <c r="S35" s="1200"/>
      <c r="T35" s="286"/>
      <c r="U35" s="1158"/>
      <c r="V35" s="3902"/>
      <c r="W35" s="3902"/>
      <c r="X35" s="3902"/>
      <c r="Y35" s="3902"/>
      <c r="Z35" s="3902"/>
      <c r="AA35" s="3902"/>
      <c r="AB35" s="3902"/>
      <c r="AC35" s="3902"/>
      <c r="AD35" s="3902"/>
      <c r="AE35" s="3902"/>
      <c r="AF35" s="3902"/>
      <c r="AG35" s="3902"/>
      <c r="AH35" s="3902"/>
      <c r="AI35" s="3902"/>
    </row>
    <row r="36" spans="1:42" ht="14.25" customHeight="1">
      <c r="Q36" s="300"/>
      <c r="R36" s="300"/>
      <c r="S36" s="3778" t="s">
        <v>329</v>
      </c>
      <c r="T36" s="3778"/>
      <c r="U36" s="3778"/>
      <c r="V36" s="3778"/>
      <c r="W36" s="3778"/>
      <c r="X36" s="3778"/>
      <c r="Y36" s="3778"/>
      <c r="Z36" s="3778"/>
      <c r="AA36" s="3778"/>
      <c r="AB36" s="3778"/>
      <c r="AC36" s="3778"/>
      <c r="AD36" s="3778"/>
      <c r="AE36" s="3778"/>
      <c r="AF36" s="3778"/>
      <c r="AG36" s="3778"/>
      <c r="AH36" s="3778"/>
      <c r="AI36" s="3778"/>
      <c r="AJ36" s="3778"/>
      <c r="AK36" s="3778" t="s">
        <v>330</v>
      </c>
    </row>
    <row r="37" spans="1:42" ht="14.25" customHeight="1">
      <c r="Q37" s="300"/>
      <c r="R37" s="300"/>
      <c r="S37" s="3916" t="s">
        <v>86</v>
      </c>
      <c r="T37" s="3868" t="s">
        <v>457</v>
      </c>
      <c r="U37" s="215"/>
      <c r="V37" s="3917" t="s">
        <v>458</v>
      </c>
      <c r="W37" s="3918"/>
      <c r="X37" s="3918"/>
      <c r="Y37" s="3918"/>
      <c r="Z37" s="3918"/>
      <c r="AA37" s="3919"/>
      <c r="AB37" s="3920" t="s">
        <v>459</v>
      </c>
      <c r="AC37" s="3917" t="s">
        <v>458</v>
      </c>
      <c r="AD37" s="3918"/>
      <c r="AE37" s="3918"/>
      <c r="AF37" s="3918"/>
      <c r="AG37" s="3918"/>
      <c r="AH37" s="3919"/>
      <c r="AI37" s="3920" t="s">
        <v>460</v>
      </c>
      <c r="AJ37" s="3923" t="s">
        <v>461</v>
      </c>
      <c r="AK37" s="3778"/>
    </row>
    <row r="38" spans="1:42" ht="33.75" customHeight="1">
      <c r="Q38" s="300"/>
      <c r="R38" s="300"/>
      <c r="S38" s="3916"/>
      <c r="T38" s="3868"/>
      <c r="U38" s="942"/>
      <c r="V38" s="1398" t="s">
        <v>517</v>
      </c>
      <c r="W38" s="3749" t="s">
        <v>464</v>
      </c>
      <c r="X38" s="3748"/>
      <c r="Y38" s="3749" t="s">
        <v>465</v>
      </c>
      <c r="Z38" s="3754"/>
      <c r="AA38" s="3748"/>
      <c r="AB38" s="3921"/>
      <c r="AC38" s="1398" t="s">
        <v>517</v>
      </c>
      <c r="AD38" s="3749" t="s">
        <v>464</v>
      </c>
      <c r="AE38" s="3748"/>
      <c r="AF38" s="3749" t="s">
        <v>465</v>
      </c>
      <c r="AG38" s="3754"/>
      <c r="AH38" s="3748"/>
      <c r="AI38" s="3921"/>
      <c r="AJ38" s="3924"/>
      <c r="AK38" s="3778"/>
    </row>
    <row r="39" spans="1:42" ht="86.25" customHeight="1">
      <c r="A39" s="1291"/>
      <c r="B39" s="1291" t="s">
        <v>153</v>
      </c>
      <c r="C39" s="1291" t="s">
        <v>154</v>
      </c>
      <c r="D39" s="1291" t="s">
        <v>155</v>
      </c>
      <c r="E39" s="1285" t="s">
        <v>466</v>
      </c>
      <c r="F39" s="1285" t="s">
        <v>467</v>
      </c>
      <c r="G39" s="1285" t="s">
        <v>468</v>
      </c>
      <c r="H39" s="1285"/>
      <c r="I39" s="1285" t="s">
        <v>518</v>
      </c>
      <c r="J39" s="1285" t="s">
        <v>471</v>
      </c>
      <c r="K39" s="1285" t="s">
        <v>519</v>
      </c>
      <c r="L39" s="1285" t="s">
        <v>447</v>
      </c>
      <c r="Q39" s="300"/>
      <c r="R39" s="300"/>
      <c r="S39" s="3916"/>
      <c r="T39" s="3868"/>
      <c r="U39" s="216"/>
      <c r="V39" s="1398" t="s">
        <v>548</v>
      </c>
      <c r="W39" s="1133" t="s">
        <v>549</v>
      </c>
      <c r="X39" s="1133" t="s">
        <v>522</v>
      </c>
      <c r="Y39" s="1404" t="s">
        <v>475</v>
      </c>
      <c r="Z39" s="3876" t="s">
        <v>476</v>
      </c>
      <c r="AA39" s="3878"/>
      <c r="AB39" s="3922"/>
      <c r="AC39" s="1398" t="s">
        <v>548</v>
      </c>
      <c r="AD39" s="1133" t="s">
        <v>549</v>
      </c>
      <c r="AE39" s="1133" t="s">
        <v>522</v>
      </c>
      <c r="AF39" s="1404" t="s">
        <v>475</v>
      </c>
      <c r="AG39" s="3876" t="s">
        <v>476</v>
      </c>
      <c r="AH39" s="3878"/>
      <c r="AI39" s="3922"/>
      <c r="AJ39" s="3925"/>
      <c r="AK39" s="377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129</v>
      </c>
      <c r="T40" s="1177" t="s">
        <v>102</v>
      </c>
      <c r="U40" s="1159" t="str">
        <f ca="1">OFFSET(U40,0,-1)</f>
        <v>2</v>
      </c>
      <c r="V40" s="1397">
        <f ca="1">OFFSET(V40,0,-1)+1</f>
        <v>3</v>
      </c>
      <c r="W40" s="1397">
        <f ca="1">OFFSET(W40,0,-1)+1</f>
        <v>4</v>
      </c>
      <c r="X40" s="1397">
        <f ca="1">OFFSET(X40,0,-1)+1</f>
        <v>5</v>
      </c>
      <c r="Y40" s="1397">
        <f ca="1">OFFSET(Y40,0,-1)+1</f>
        <v>6</v>
      </c>
      <c r="Z40" s="3915">
        <f ca="1">OFFSET(Z40,0,-1)+1</f>
        <v>7</v>
      </c>
      <c r="AA40" s="3915"/>
      <c r="AB40" s="1397">
        <f ca="1">OFFSET(AB40,0,-2)+1</f>
        <v>8</v>
      </c>
      <c r="AC40" s="1397">
        <f ca="1">OFFSET(AC40,0,-1)+1</f>
        <v>9</v>
      </c>
      <c r="AD40" s="1397">
        <f ca="1">OFFSET(AD40,0,-1)+1</f>
        <v>10</v>
      </c>
      <c r="AE40" s="1397">
        <f ca="1">OFFSET(AE40,0,-1)+1</f>
        <v>11</v>
      </c>
      <c r="AF40" s="1397">
        <f ca="1">OFFSET(AF40,0,-1)+1</f>
        <v>12</v>
      </c>
      <c r="AG40" s="3915">
        <f ca="1">OFFSET(AG40,0,-1)+1</f>
        <v>13</v>
      </c>
      <c r="AH40" s="3915"/>
      <c r="AI40" s="1397">
        <f ca="1">OFFSET(AI40,0,-2)+1</f>
        <v>14</v>
      </c>
      <c r="AJ40" s="1159">
        <f ca="1">OFFSET(AJ40,0,-1)</f>
        <v>14</v>
      </c>
      <c r="AK40" s="1397">
        <f ca="1">OFFSET(AK40,0,-1)+1</f>
        <v>15</v>
      </c>
      <c r="AL40" s="435"/>
      <c r="AM40" s="435"/>
      <c r="AN40" s="435"/>
      <c r="AO40" s="435"/>
      <c r="AP40" s="435"/>
    </row>
    <row r="41" spans="1:42" ht="23.25" customHeight="1">
      <c r="A41" s="1284" t="s">
        <v>295</v>
      </c>
      <c r="B41" s="1284"/>
      <c r="C41" s="1284"/>
      <c r="D41" s="1284"/>
      <c r="E41" s="3908">
        <v>1</v>
      </c>
      <c r="F41" s="1284"/>
      <c r="G41" s="1284"/>
      <c r="H41" s="1284"/>
      <c r="I41" s="1284"/>
      <c r="J41" s="1284"/>
      <c r="K41" s="1284"/>
      <c r="L41" s="1285"/>
      <c r="M41" s="1286"/>
      <c r="N41" s="1286"/>
      <c r="O41" s="1286"/>
      <c r="P41" s="282"/>
      <c r="Q41" s="281"/>
      <c r="R41" s="276"/>
      <c r="S41" s="1408">
        <f>INDEX(PT_DIFFERENTIATION_NUM_NTAR,MATCH(A41,PT_DIFFERENTIATION_NTAR_ID,0))</f>
        <v>0</v>
      </c>
      <c r="T41" s="212" t="s">
        <v>141</v>
      </c>
      <c r="U41" s="214"/>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295</v>
      </c>
      <c r="B42" s="1284" t="s">
        <v>296</v>
      </c>
      <c r="C42" s="1284"/>
      <c r="D42" s="1284"/>
      <c r="E42" s="3909"/>
      <c r="F42" s="3908">
        <v>1</v>
      </c>
      <c r="G42" s="1284"/>
      <c r="H42" s="1284"/>
      <c r="I42" s="1284"/>
      <c r="J42" s="1284"/>
      <c r="K42" s="1284"/>
      <c r="L42" s="1285"/>
      <c r="M42" s="1286"/>
      <c r="N42" s="1286"/>
      <c r="O42" s="1286"/>
      <c r="P42" s="1402"/>
      <c r="Q42" s="273"/>
      <c r="R42" s="274"/>
      <c r="S42" s="1408" t="str">
        <f>INDEX(PT_DIFFERENTIATION_NUM_TER,MATCH(B42,PT_DIFFERENTIATION_TER_ID,0))</f>
        <v>.</v>
      </c>
      <c r="T42" s="224" t="s">
        <v>428</v>
      </c>
      <c r="U42" s="214"/>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182" t="s">
        <v>429</v>
      </c>
      <c r="AM42" s="424"/>
      <c r="AN42" s="424" t="str">
        <f t="shared" si="1"/>
        <v>Территория действия тарифа</v>
      </c>
      <c r="AO42" s="424"/>
      <c r="AP42" s="424"/>
    </row>
    <row r="43" spans="1:42" ht="23.25" customHeight="1">
      <c r="A43" s="1284" t="s">
        <v>295</v>
      </c>
      <c r="B43" s="1284" t="s">
        <v>296</v>
      </c>
      <c r="C43" s="1284" t="s">
        <v>297</v>
      </c>
      <c r="D43" s="1284"/>
      <c r="E43" s="3909"/>
      <c r="F43" s="3909"/>
      <c r="G43" s="3908">
        <v>1</v>
      </c>
      <c r="H43" s="1284"/>
      <c r="I43" s="1284"/>
      <c r="J43" s="1284"/>
      <c r="K43" s="1284"/>
      <c r="L43" s="1285"/>
      <c r="M43" s="1286"/>
      <c r="N43" s="1286"/>
      <c r="O43" s="1286"/>
      <c r="P43" s="275"/>
      <c r="Q43" s="273"/>
      <c r="R43" s="274"/>
      <c r="S43" s="1408" t="str">
        <f>INDEX(PT_DIFFERENTIATION_NUM_CS,MATCH(C43,PT_DIFFERENTIATION_CS_ID,0))</f>
        <v>..</v>
      </c>
      <c r="T43" s="225" t="s">
        <v>546</v>
      </c>
      <c r="U43" s="214"/>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182" t="s">
        <v>547</v>
      </c>
      <c r="AM43" s="424"/>
      <c r="AN43" s="424" t="str">
        <f t="shared" si="1"/>
        <v>Наименование централизованной системы водоотведения</v>
      </c>
      <c r="AO43" s="424"/>
      <c r="AP43" s="424"/>
    </row>
    <row r="44" spans="1:42" ht="23.25" customHeight="1">
      <c r="A44" s="1284" t="s">
        <v>295</v>
      </c>
      <c r="B44" s="1284" t="s">
        <v>296</v>
      </c>
      <c r="C44" s="1284" t="s">
        <v>297</v>
      </c>
      <c r="D44" s="1284" t="s">
        <v>550</v>
      </c>
      <c r="E44" s="3909"/>
      <c r="F44" s="3909"/>
      <c r="G44" s="3909"/>
      <c r="H44" s="3909"/>
      <c r="I44" s="3906" t="str">
        <f>S43&amp;".1"</f>
        <v>...1</v>
      </c>
      <c r="J44" s="1284"/>
      <c r="K44" s="1284"/>
      <c r="L44" s="1285"/>
      <c r="P44" s="3907">
        <v>1</v>
      </c>
      <c r="Q44" s="1396"/>
      <c r="R44" s="277"/>
      <c r="S44" s="1408" t="str">
        <f>$I44</f>
        <v>...1</v>
      </c>
      <c r="T44" s="200" t="s">
        <v>511</v>
      </c>
      <c r="U44" s="214"/>
      <c r="V44" s="3967"/>
      <c r="W44" s="3968"/>
      <c r="X44" s="3968"/>
      <c r="Y44" s="3968"/>
      <c r="Z44" s="3968"/>
      <c r="AA44" s="3968"/>
      <c r="AB44" s="3969"/>
      <c r="AC44" s="3970"/>
      <c r="AD44" s="3971"/>
      <c r="AE44" s="3971"/>
      <c r="AF44" s="3971"/>
      <c r="AG44" s="3971"/>
      <c r="AH44" s="3971"/>
      <c r="AI44" s="3971"/>
      <c r="AJ44" s="3972"/>
      <c r="AK44" s="1182" t="s">
        <v>512</v>
      </c>
      <c r="AM44" s="424"/>
      <c r="AN44" s="424" t="str">
        <f t="shared" si="1"/>
        <v>Наименование признака дифференциации</v>
      </c>
      <c r="AO44" s="424"/>
      <c r="AP44" s="424"/>
    </row>
    <row r="45" spans="1:42" ht="23.25" customHeight="1">
      <c r="A45" s="1284" t="s">
        <v>295</v>
      </c>
      <c r="B45" s="1284" t="s">
        <v>296</v>
      </c>
      <c r="C45" s="1284" t="s">
        <v>297</v>
      </c>
      <c r="D45" s="1284" t="s">
        <v>550</v>
      </c>
      <c r="E45" s="3909"/>
      <c r="F45" s="3909"/>
      <c r="G45" s="3909"/>
      <c r="H45" s="3909"/>
      <c r="I45" s="3929"/>
      <c r="J45" s="3906" t="str">
        <f>I44&amp;".1"</f>
        <v>...1.1</v>
      </c>
      <c r="K45" s="1284"/>
      <c r="L45" s="1285" t="s">
        <v>437</v>
      </c>
      <c r="P45" s="3907"/>
      <c r="Q45" s="3907">
        <v>1</v>
      </c>
      <c r="R45" s="278"/>
      <c r="S45" s="1408" t="str">
        <f>$J45</f>
        <v>...1.1</v>
      </c>
      <c r="T45" s="201" t="s">
        <v>438</v>
      </c>
      <c r="U45" s="214"/>
      <c r="V45" s="3897"/>
      <c r="W45" s="3898"/>
      <c r="X45" s="3898"/>
      <c r="Y45" s="3898"/>
      <c r="Z45" s="3898"/>
      <c r="AA45" s="3898"/>
      <c r="AB45" s="3899"/>
      <c r="AC45" s="3897"/>
      <c r="AD45" s="3898"/>
      <c r="AE45" s="3898"/>
      <c r="AF45" s="3898"/>
      <c r="AG45" s="3898"/>
      <c r="AH45" s="3898"/>
      <c r="AI45" s="3898"/>
      <c r="AJ45" s="3899"/>
      <c r="AK45" s="1231" t="s">
        <v>513</v>
      </c>
      <c r="AM45" s="424"/>
      <c r="AN45" s="424" t="str">
        <f t="shared" si="1"/>
        <v>Группа потребителей</v>
      </c>
      <c r="AO45" s="424"/>
      <c r="AP45" s="424"/>
    </row>
    <row r="46" spans="1:42" ht="23.25" customHeight="1">
      <c r="A46" s="1284" t="s">
        <v>295</v>
      </c>
      <c r="B46" s="1284" t="s">
        <v>296</v>
      </c>
      <c r="C46" s="1284" t="s">
        <v>297</v>
      </c>
      <c r="D46" s="1284" t="s">
        <v>550</v>
      </c>
      <c r="E46" s="3909"/>
      <c r="F46" s="3909"/>
      <c r="G46" s="3909"/>
      <c r="H46" s="3909"/>
      <c r="I46" s="3929"/>
      <c r="J46" s="3929"/>
      <c r="K46" s="3906" t="str">
        <f>J45&amp;".1"</f>
        <v>...1.1.1</v>
      </c>
      <c r="L46" s="1285"/>
      <c r="P46" s="3907"/>
      <c r="Q46" s="3907"/>
      <c r="R46" s="278">
        <v>1</v>
      </c>
      <c r="S46" s="1408" t="str">
        <f>$K46</f>
        <v>...1.1.1</v>
      </c>
      <c r="T46" s="1357"/>
      <c r="U46" s="214"/>
      <c r="V46" s="1281"/>
      <c r="W46" s="1281"/>
      <c r="X46" s="1282"/>
      <c r="Y46" s="3913"/>
      <c r="Z46" s="3914" t="s">
        <v>60</v>
      </c>
      <c r="AA46" s="3913"/>
      <c r="AB46" s="3914" t="s">
        <v>60</v>
      </c>
      <c r="AC46" s="666"/>
      <c r="AD46" s="666"/>
      <c r="AE46" s="1181"/>
      <c r="AF46" s="3911"/>
      <c r="AG46" s="3759" t="s">
        <v>60</v>
      </c>
      <c r="AH46" s="3930"/>
      <c r="AI46" s="3759" t="s">
        <v>55</v>
      </c>
      <c r="AJ46" s="1358"/>
      <c r="AK4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295</v>
      </c>
      <c r="B47" s="1284" t="s">
        <v>296</v>
      </c>
      <c r="C47" s="1284" t="s">
        <v>297</v>
      </c>
      <c r="D47" s="1284" t="s">
        <v>550</v>
      </c>
      <c r="E47" s="3909"/>
      <c r="F47" s="3909"/>
      <c r="G47" s="3909"/>
      <c r="H47" s="3909"/>
      <c r="I47" s="3929"/>
      <c r="J47" s="3929"/>
      <c r="K47" s="3906"/>
      <c r="L47" s="1285"/>
      <c r="P47" s="3907"/>
      <c r="Q47" s="3907"/>
      <c r="R47" s="278"/>
      <c r="S47" s="1405"/>
      <c r="T47" s="214"/>
      <c r="U47" s="214"/>
      <c r="V47" s="1281"/>
      <c r="W47" s="1281"/>
      <c r="X47" s="250" t="str">
        <f>Y46&amp;"-"&amp;AA46</f>
        <v>-</v>
      </c>
      <c r="Y47" s="3914"/>
      <c r="Z47" s="3914"/>
      <c r="AA47" s="3914"/>
      <c r="AB47" s="3914"/>
      <c r="AC47" s="246"/>
      <c r="AD47" s="246"/>
      <c r="AE47" s="250" t="str">
        <f>AF46&amp;"-"&amp;AH46</f>
        <v>-</v>
      </c>
      <c r="AF47" s="3912"/>
      <c r="AG47" s="3759"/>
      <c r="AH47" s="3931"/>
      <c r="AI47" s="3759"/>
      <c r="AJ47" s="1359"/>
      <c r="AK47" s="3966"/>
      <c r="AM47" s="424"/>
      <c r="AN47" s="424" t="str">
        <f t="shared" si="1"/>
        <v/>
      </c>
      <c r="AO47" s="424"/>
      <c r="AP47" s="424"/>
    </row>
    <row r="48" spans="1:42" ht="21" customHeight="1">
      <c r="A48" s="1284" t="s">
        <v>295</v>
      </c>
      <c r="B48" s="1284" t="s">
        <v>296</v>
      </c>
      <c r="C48" s="1284" t="s">
        <v>297</v>
      </c>
      <c r="D48" s="1284" t="s">
        <v>550</v>
      </c>
      <c r="E48" s="3909"/>
      <c r="F48" s="3909"/>
      <c r="G48" s="3909"/>
      <c r="H48" s="3909"/>
      <c r="I48" s="3929"/>
      <c r="J48" s="3906"/>
      <c r="K48" s="1284"/>
      <c r="L48" s="1285"/>
      <c r="P48" s="3907"/>
      <c r="Q48" s="3907"/>
      <c r="R48" s="277"/>
      <c r="S48" s="1203"/>
      <c r="T48" s="202" t="s">
        <v>514</v>
      </c>
      <c r="U48" s="291"/>
      <c r="V48" s="291"/>
      <c r="W48" s="291"/>
      <c r="X48" s="291"/>
      <c r="Y48" s="291"/>
      <c r="Z48" s="291"/>
      <c r="AA48" s="291"/>
      <c r="AB48" s="291"/>
      <c r="AC48" s="291"/>
      <c r="AD48" s="291"/>
      <c r="AE48" s="291"/>
      <c r="AF48" s="291"/>
      <c r="AG48" s="291"/>
      <c r="AH48" s="291"/>
      <c r="AI48" s="291"/>
      <c r="AJ48" s="291"/>
      <c r="AK48" s="1182" t="s">
        <v>515</v>
      </c>
      <c r="AM48" s="424"/>
      <c r="AN48" s="424" t="str">
        <f t="shared" si="1"/>
        <v>Добавить значение признака дифференциации</v>
      </c>
      <c r="AO48" s="424"/>
      <c r="AP48" s="424"/>
    </row>
    <row r="49" spans="1:42" ht="21" customHeight="1">
      <c r="A49" s="1284" t="s">
        <v>295</v>
      </c>
      <c r="B49" s="1284" t="s">
        <v>296</v>
      </c>
      <c r="C49" s="1284" t="s">
        <v>297</v>
      </c>
      <c r="D49" s="1284" t="s">
        <v>550</v>
      </c>
      <c r="E49" s="3909"/>
      <c r="F49" s="3909"/>
      <c r="G49" s="3909"/>
      <c r="H49" s="3909"/>
      <c r="I49" s="3906"/>
      <c r="J49" s="1284"/>
      <c r="K49" s="1284"/>
      <c r="L49" s="1285"/>
      <c r="P49" s="3907"/>
      <c r="Q49" s="1396"/>
      <c r="R49" s="277"/>
      <c r="S49" s="1203"/>
      <c r="T49" s="288" t="s">
        <v>443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295</v>
      </c>
      <c r="B50" s="1284" t="s">
        <v>296</v>
      </c>
      <c r="C50" s="1284" t="s">
        <v>297</v>
      </c>
      <c r="D50" s="1284" t="s">
        <v>550</v>
      </c>
      <c r="E50" s="3909"/>
      <c r="F50" s="3909"/>
      <c r="G50" s="3909"/>
      <c r="H50" s="3908"/>
      <c r="I50" s="1284"/>
      <c r="J50" s="1284"/>
      <c r="K50" s="1284"/>
      <c r="L50" s="1285"/>
      <c r="M50" s="1286"/>
      <c r="N50" s="1286"/>
      <c r="O50" s="460"/>
      <c r="P50" s="281"/>
      <c r="Q50" s="299"/>
      <c r="R50" s="276"/>
      <c r="S50" s="1203"/>
      <c r="T50" s="296" t="s">
        <v>516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295</v>
      </c>
      <c r="B51" s="1265" t="s">
        <v>296</v>
      </c>
      <c r="C51" s="1237"/>
      <c r="D51" s="1237"/>
      <c r="E51" s="3909"/>
      <c r="F51" s="3908"/>
      <c r="G51" s="1237"/>
      <c r="H51" s="1237"/>
      <c r="I51" s="1237"/>
      <c r="J51" s="1237"/>
      <c r="K51" s="1237"/>
      <c r="L51" s="1409"/>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295</v>
      </c>
      <c r="B52" s="1265"/>
      <c r="C52" s="1265"/>
      <c r="D52" s="1265"/>
      <c r="E52" s="3908"/>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262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928"/>
      <c r="U55" s="3928"/>
      <c r="V55" s="3928"/>
      <c r="W55" s="3928"/>
      <c r="X55" s="3928"/>
      <c r="Y55" s="3928"/>
      <c r="Z55" s="3928"/>
      <c r="AA55" s="3928"/>
      <c r="AB55" s="3928"/>
      <c r="AC55" s="3928"/>
      <c r="AD55" s="3928"/>
      <c r="AE55" s="3928"/>
      <c r="AF55" s="3928"/>
      <c r="AG55" s="3928"/>
      <c r="AH55" s="3928"/>
      <c r="AI55" s="3928"/>
      <c r="AJ55" s="3928"/>
      <c r="AK55" s="3928"/>
    </row>
    <row r="56" spans="1:42" ht="14.25" customHeight="1">
      <c r="O56" s="460"/>
    </row>
    <row r="57" spans="1:42" ht="14.25" customHeight="1">
      <c r="O57" s="460"/>
      <c r="S57" s="1169"/>
      <c r="T57" s="3928"/>
      <c r="U57" s="3928"/>
      <c r="V57" s="3928"/>
      <c r="W57" s="3928"/>
      <c r="X57" s="3928"/>
      <c r="Y57" s="3928"/>
      <c r="Z57" s="3928"/>
      <c r="AA57" s="3928"/>
      <c r="AB57" s="3928"/>
      <c r="AC57" s="3928"/>
      <c r="AD57" s="3928"/>
      <c r="AE57" s="3928"/>
      <c r="AF57" s="3928"/>
      <c r="AG57" s="3928"/>
      <c r="AH57" s="3928"/>
      <c r="AI57" s="3928"/>
      <c r="AJ57" s="3928"/>
      <c r="AK57" s="39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908">
        <v>1</v>
      </c>
      <c r="F2" s="1284"/>
      <c r="G2" s="1284"/>
      <c r="H2" s="1284"/>
      <c r="I2" s="1284"/>
      <c r="J2" s="1284"/>
      <c r="K2" s="1284"/>
      <c r="L2" s="1285"/>
      <c r="M2" s="1286"/>
      <c r="N2" s="1286"/>
      <c r="O2" s="1286"/>
      <c r="P2" s="282"/>
      <c r="Q2" s="281"/>
      <c r="R2" s="276"/>
      <c r="S2" s="1408" t="e">
        <f>INDEX(PT_DIFFERENTIATION_NUM_NTAR,MATCH(A2,PT_DIFFERENTIATION_NTAR_ID,0))</f>
        <v>#N/A</v>
      </c>
      <c r="T2" s="212" t="s">
        <v>141</v>
      </c>
      <c r="U2" s="214"/>
      <c r="V2" s="3894"/>
      <c r="W2" s="3895"/>
      <c r="X2" s="3895"/>
      <c r="Y2" s="3895"/>
      <c r="Z2" s="3895"/>
      <c r="AA2" s="3895"/>
      <c r="AB2" s="3896"/>
      <c r="AC2" s="3894" t="e">
        <f>INDEX(PT_DIFFERENTIATION_NTAR,MATCH(A2,PT_DIFFERENTIATION_NTAR_ID,0))</f>
        <v>#N/A</v>
      </c>
      <c r="AD2" s="3895"/>
      <c r="AE2" s="3895"/>
      <c r="AF2" s="3895"/>
      <c r="AG2" s="3895"/>
      <c r="AH2" s="3895"/>
      <c r="AI2" s="3895"/>
      <c r="AJ2" s="38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909"/>
      <c r="F3" s="3908">
        <v>1</v>
      </c>
      <c r="G3" s="1284"/>
      <c r="H3" s="1284"/>
      <c r="I3" s="1284"/>
      <c r="J3" s="1284"/>
      <c r="K3" s="1284"/>
      <c r="L3" s="1285"/>
      <c r="M3" s="1286"/>
      <c r="N3" s="1286"/>
      <c r="O3" s="1286"/>
      <c r="P3" s="1402"/>
      <c r="Q3" s="273"/>
      <c r="R3" s="274"/>
      <c r="S3" s="1408" t="e">
        <f>INDEX(PT_DIFFERENTIATION_NUM_TER,MATCH(B3,PT_DIFFERENTIATION_TER_ID,0))</f>
        <v>#N/A</v>
      </c>
      <c r="T3" s="224" t="s">
        <v>428</v>
      </c>
      <c r="U3" s="214"/>
      <c r="V3" s="3894"/>
      <c r="W3" s="3895"/>
      <c r="X3" s="3895"/>
      <c r="Y3" s="3895"/>
      <c r="Z3" s="3895"/>
      <c r="AA3" s="3895"/>
      <c r="AB3" s="3896"/>
      <c r="AC3" s="3894" t="e">
        <f>INDEX(PT_DIFFERENTIATION_TER,MATCH(B3,PT_DIFFERENTIATION_TER_ID,0))</f>
        <v>#N/A</v>
      </c>
      <c r="AD3" s="3895"/>
      <c r="AE3" s="3895"/>
      <c r="AF3" s="3895"/>
      <c r="AG3" s="3895"/>
      <c r="AH3" s="3895"/>
      <c r="AI3" s="3895"/>
      <c r="AJ3" s="3896"/>
      <c r="AK3" s="1182" t="s">
        <v>429</v>
      </c>
      <c r="AM3" s="424"/>
      <c r="AN3" s="424" t="str">
        <f t="shared" si="0"/>
        <v>Территория действия тарифа</v>
      </c>
      <c r="AO3" s="424"/>
      <c r="AP3" s="424"/>
    </row>
    <row r="4" spans="1:42" ht="23.25" hidden="1" customHeight="1">
      <c r="A4" s="1284"/>
      <c r="B4" s="1284"/>
      <c r="C4" s="1284"/>
      <c r="D4" s="1284"/>
      <c r="E4" s="3909"/>
      <c r="F4" s="3909"/>
      <c r="G4" s="3908">
        <v>1</v>
      </c>
      <c r="H4" s="1284"/>
      <c r="I4" s="1284"/>
      <c r="J4" s="1284"/>
      <c r="K4" s="1284"/>
      <c r="L4" s="1285"/>
      <c r="M4" s="1286"/>
      <c r="N4" s="1286"/>
      <c r="O4" s="1286"/>
      <c r="P4" s="275"/>
      <c r="Q4" s="273"/>
      <c r="R4" s="274"/>
      <c r="S4" s="1408" t="e">
        <f>INDEX(PT_DIFFERENTIATION_NUM_CS,MATCH(C4,PT_DIFFERENTIATION_CS_ID,0))</f>
        <v>#N/A</v>
      </c>
      <c r="T4" s="225" t="s">
        <v>546</v>
      </c>
      <c r="U4" s="214"/>
      <c r="V4" s="3894"/>
      <c r="W4" s="3895"/>
      <c r="X4" s="3895"/>
      <c r="Y4" s="3895"/>
      <c r="Z4" s="3895"/>
      <c r="AA4" s="3895"/>
      <c r="AB4" s="3896"/>
      <c r="AC4" s="3894" t="e">
        <f>INDEX(PT_DIFFERENTIATION_CS,MATCH(C4,PT_DIFFERENTIATION_CS_ID,0))</f>
        <v>#N/A</v>
      </c>
      <c r="AD4" s="3895"/>
      <c r="AE4" s="3895"/>
      <c r="AF4" s="3895"/>
      <c r="AG4" s="3895"/>
      <c r="AH4" s="3895"/>
      <c r="AI4" s="3895"/>
      <c r="AJ4" s="3896"/>
      <c r="AK4" s="1182" t="s">
        <v>547</v>
      </c>
      <c r="AM4" s="424"/>
      <c r="AN4" s="424" t="str">
        <f t="shared" si="0"/>
        <v>Наименование централизованной системы водоотведения</v>
      </c>
      <c r="AO4" s="424"/>
      <c r="AP4" s="424"/>
    </row>
    <row r="5" spans="1:42" ht="23.25" hidden="1" customHeight="1">
      <c r="A5" s="1284"/>
      <c r="B5" s="1284"/>
      <c r="C5" s="1284"/>
      <c r="D5" s="1284"/>
      <c r="E5" s="3909"/>
      <c r="F5" s="3909"/>
      <c r="G5" s="3909"/>
      <c r="H5" s="3909"/>
      <c r="I5" s="3906" t="e">
        <f>S4&amp;".1"</f>
        <v>#N/A</v>
      </c>
      <c r="J5" s="1284"/>
      <c r="K5" s="1284"/>
      <c r="L5" s="1285"/>
      <c r="P5" s="3907">
        <v>1</v>
      </c>
      <c r="Q5" s="1396"/>
      <c r="R5" s="277"/>
      <c r="S5" s="1408" t="e">
        <f>$I5</f>
        <v>#N/A</v>
      </c>
      <c r="T5" s="200" t="s">
        <v>511</v>
      </c>
      <c r="U5" s="214"/>
      <c r="V5" s="3967"/>
      <c r="W5" s="3968"/>
      <c r="X5" s="3968"/>
      <c r="Y5" s="3968"/>
      <c r="Z5" s="3968"/>
      <c r="AA5" s="3968"/>
      <c r="AB5" s="3969"/>
      <c r="AC5" s="3970"/>
      <c r="AD5" s="3971"/>
      <c r="AE5" s="3971"/>
      <c r="AF5" s="3971"/>
      <c r="AG5" s="3971"/>
      <c r="AH5" s="3971"/>
      <c r="AI5" s="3971"/>
      <c r="AJ5" s="3972"/>
      <c r="AK5" s="1182" t="s">
        <v>512</v>
      </c>
      <c r="AM5" s="424"/>
      <c r="AN5" s="424" t="str">
        <f t="shared" si="0"/>
        <v>Наименование признака дифференциации</v>
      </c>
      <c r="AO5" s="424"/>
      <c r="AP5" s="424"/>
    </row>
    <row r="6" spans="1:42" ht="23.25" hidden="1" customHeight="1">
      <c r="A6" s="1284"/>
      <c r="B6" s="1284"/>
      <c r="C6" s="1284"/>
      <c r="D6" s="1284"/>
      <c r="E6" s="3909"/>
      <c r="F6" s="3909"/>
      <c r="G6" s="3909"/>
      <c r="H6" s="3909"/>
      <c r="I6" s="3929"/>
      <c r="J6" s="3906" t="e">
        <f>I5&amp;".1"</f>
        <v>#N/A</v>
      </c>
      <c r="K6" s="1284"/>
      <c r="L6" s="1285" t="s">
        <v>437</v>
      </c>
      <c r="P6" s="3907"/>
      <c r="Q6" s="3907">
        <v>1</v>
      </c>
      <c r="R6" s="278"/>
      <c r="S6" s="1408" t="e">
        <f>$J6</f>
        <v>#N/A</v>
      </c>
      <c r="T6" s="201" t="s">
        <v>438</v>
      </c>
      <c r="U6" s="214"/>
      <c r="V6" s="3897"/>
      <c r="W6" s="3898"/>
      <c r="X6" s="3898"/>
      <c r="Y6" s="3898"/>
      <c r="Z6" s="3898"/>
      <c r="AA6" s="3898"/>
      <c r="AB6" s="3899"/>
      <c r="AC6" s="3897"/>
      <c r="AD6" s="3898"/>
      <c r="AE6" s="3898"/>
      <c r="AF6" s="3898"/>
      <c r="AG6" s="3898"/>
      <c r="AH6" s="3898"/>
      <c r="AI6" s="3898"/>
      <c r="AJ6" s="3899"/>
      <c r="AK6" s="1231" t="s">
        <v>513</v>
      </c>
      <c r="AM6" s="424"/>
      <c r="AN6" s="424" t="str">
        <f t="shared" si="0"/>
        <v>Группа потребителей</v>
      </c>
      <c r="AO6" s="424"/>
      <c r="AP6" s="424"/>
    </row>
    <row r="7" spans="1:42" ht="23.25" hidden="1" customHeight="1">
      <c r="A7" s="1284"/>
      <c r="B7" s="1284"/>
      <c r="C7" s="1284"/>
      <c r="D7" s="1284"/>
      <c r="E7" s="3909"/>
      <c r="F7" s="3909"/>
      <c r="G7" s="3909"/>
      <c r="H7" s="3909"/>
      <c r="I7" s="3929"/>
      <c r="J7" s="3929"/>
      <c r="K7" s="3906" t="e">
        <f>J6&amp;".1"</f>
        <v>#N/A</v>
      </c>
      <c r="L7" s="1285"/>
      <c r="P7" s="3907"/>
      <c r="Q7" s="3907"/>
      <c r="R7" s="278">
        <v>1</v>
      </c>
      <c r="S7" s="1408" t="e">
        <f>$K7</f>
        <v>#N/A</v>
      </c>
      <c r="T7" s="1357"/>
      <c r="U7" s="214"/>
      <c r="V7" s="666"/>
      <c r="W7" s="666"/>
      <c r="X7" s="1181"/>
      <c r="Y7" s="3911"/>
      <c r="Z7" s="3759" t="s">
        <v>60</v>
      </c>
      <c r="AA7" s="3911"/>
      <c r="AB7" s="3759" t="s">
        <v>60</v>
      </c>
      <c r="AC7" s="666"/>
      <c r="AD7" s="666"/>
      <c r="AE7" s="1181"/>
      <c r="AF7" s="3911"/>
      <c r="AG7" s="3759" t="s">
        <v>60</v>
      </c>
      <c r="AH7" s="3930"/>
      <c r="AI7" s="3759" t="s">
        <v>60</v>
      </c>
      <c r="AJ7" s="1358"/>
      <c r="AK7"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909"/>
      <c r="F8" s="3909"/>
      <c r="G8" s="3909"/>
      <c r="H8" s="3909"/>
      <c r="I8" s="3929"/>
      <c r="J8" s="3929"/>
      <c r="K8" s="3906"/>
      <c r="L8" s="1285"/>
      <c r="P8" s="3907"/>
      <c r="Q8" s="3907"/>
      <c r="R8" s="278"/>
      <c r="S8" s="1405"/>
      <c r="T8" s="214"/>
      <c r="U8" s="214"/>
      <c r="V8" s="246"/>
      <c r="W8" s="246"/>
      <c r="X8" s="250" t="str">
        <f>Y7&amp;"-"&amp;AA7</f>
        <v>-</v>
      </c>
      <c r="Y8" s="3912"/>
      <c r="Z8" s="3759"/>
      <c r="AA8" s="3912"/>
      <c r="AB8" s="3759"/>
      <c r="AC8" s="246"/>
      <c r="AD8" s="246"/>
      <c r="AE8" s="250" t="str">
        <f>AF7&amp;"-"&amp;AH7</f>
        <v>-</v>
      </c>
      <c r="AF8" s="3912"/>
      <c r="AG8" s="3759"/>
      <c r="AH8" s="3931"/>
      <c r="AI8" s="3759"/>
      <c r="AJ8" s="1359"/>
      <c r="AK8" s="3966"/>
      <c r="AM8" s="424"/>
      <c r="AN8" s="424" t="str">
        <f t="shared" si="0"/>
        <v/>
      </c>
      <c r="AO8" s="424"/>
      <c r="AP8" s="424"/>
    </row>
    <row r="9" spans="1:42" ht="21" hidden="1" customHeight="1">
      <c r="A9" s="1284"/>
      <c r="B9" s="1284"/>
      <c r="C9" s="1284"/>
      <c r="D9" s="1284"/>
      <c r="E9" s="3909"/>
      <c r="F9" s="3909"/>
      <c r="G9" s="3909"/>
      <c r="H9" s="3909"/>
      <c r="I9" s="3929"/>
      <c r="J9" s="3906"/>
      <c r="K9" s="1284"/>
      <c r="L9" s="1285"/>
      <c r="P9" s="3907"/>
      <c r="Q9" s="3907"/>
      <c r="R9" s="277"/>
      <c r="S9" s="1203"/>
      <c r="T9" s="202" t="s">
        <v>514</v>
      </c>
      <c r="U9" s="291"/>
      <c r="V9" s="291"/>
      <c r="W9" s="291"/>
      <c r="X9" s="291"/>
      <c r="Y9" s="291"/>
      <c r="Z9" s="291"/>
      <c r="AA9" s="291"/>
      <c r="AB9" s="291"/>
      <c r="AC9" s="291"/>
      <c r="AD9" s="291"/>
      <c r="AE9" s="291"/>
      <c r="AF9" s="291"/>
      <c r="AG9" s="291"/>
      <c r="AH9" s="291"/>
      <c r="AI9" s="291"/>
      <c r="AJ9" s="291"/>
      <c r="AK9" s="1182" t="s">
        <v>515</v>
      </c>
      <c r="AM9" s="424"/>
      <c r="AN9" s="424" t="str">
        <f t="shared" si="0"/>
        <v>Добавить значение признака дифференциации</v>
      </c>
      <c r="AO9" s="424"/>
      <c r="AP9" s="424"/>
    </row>
    <row r="10" spans="1:42" ht="21" hidden="1" customHeight="1">
      <c r="A10" s="1284"/>
      <c r="B10" s="1284"/>
      <c r="C10" s="1284"/>
      <c r="D10" s="1284"/>
      <c r="E10" s="3909"/>
      <c r="F10" s="3909"/>
      <c r="G10" s="3909"/>
      <c r="H10" s="3909"/>
      <c r="I10" s="3906"/>
      <c r="J10" s="1284"/>
      <c r="K10" s="1284"/>
      <c r="L10" s="1285"/>
      <c r="P10" s="3907"/>
      <c r="Q10" s="1396"/>
      <c r="R10" s="277"/>
      <c r="S10" s="1203"/>
      <c r="T10" s="288" t="s">
        <v>443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909"/>
      <c r="F11" s="3909"/>
      <c r="G11" s="3909"/>
      <c r="H11" s="3908"/>
      <c r="I11" s="1284"/>
      <c r="J11" s="1284"/>
      <c r="K11" s="1284"/>
      <c r="L11" s="1285"/>
      <c r="M11" s="1286"/>
      <c r="N11" s="1286"/>
      <c r="O11" s="460"/>
      <c r="P11" s="281"/>
      <c r="Q11" s="299"/>
      <c r="R11" s="276"/>
      <c r="S11" s="1203"/>
      <c r="T11" s="296" t="s">
        <v>516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909"/>
      <c r="F12" s="3908"/>
      <c r="G12" s="1237"/>
      <c r="H12" s="1237"/>
      <c r="I12" s="1237"/>
      <c r="J12" s="1237"/>
      <c r="K12" s="1237"/>
      <c r="L12" s="1409"/>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908"/>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913"/>
      <c r="AG15" s="3914" t="s">
        <v>60</v>
      </c>
      <c r="AH15" s="3913"/>
      <c r="AI15" s="3914" t="s">
        <v>60</v>
      </c>
    </row>
    <row r="16" spans="1:42" ht="14.25" hidden="1" customHeight="1">
      <c r="AC16" s="1281"/>
      <c r="AD16" s="1281"/>
      <c r="AE16" s="250" t="str">
        <f>AF15&amp;"-"&amp;AH15</f>
        <v>-</v>
      </c>
      <c r="AF16" s="3914"/>
      <c r="AG16" s="3914"/>
      <c r="AH16" s="3914"/>
      <c r="AI16" s="3914"/>
    </row>
    <row r="17" spans="1:42" ht="14.25" hidden="1" customHeight="1">
      <c r="AI17" s="249"/>
    </row>
    <row r="18" spans="1:42" s="1287" customFormat="1" ht="22.5" hidden="1" customHeight="1">
      <c r="L18" s="1393"/>
      <c r="M18" s="1283"/>
      <c r="N18" s="1283"/>
      <c r="O18" s="1288" t="s">
        <v>446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447</v>
      </c>
      <c r="P20" s="1283"/>
      <c r="Q20" s="1361"/>
      <c r="R20" s="1361"/>
      <c r="S20" s="646"/>
      <c r="T20" s="1065" t="s">
        <v>448</v>
      </c>
      <c r="Z20" s="104" t="s">
        <v>449</v>
      </c>
      <c r="AB20" s="104" t="s">
        <v>450</v>
      </c>
      <c r="AC20" s="1065" t="s">
        <v>448</v>
      </c>
      <c r="AG20" s="104" t="s">
        <v>451</v>
      </c>
      <c r="AI20" s="104" t="s">
        <v>450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38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892"/>
      <c r="U24" s="3892"/>
      <c r="V24" s="3892"/>
      <c r="W24" s="3892"/>
      <c r="X24" s="3892"/>
      <c r="Y24" s="3892"/>
      <c r="Z24" s="3892"/>
      <c r="AA24" s="3892"/>
      <c r="AB24" s="3892"/>
      <c r="AC24" s="3892"/>
      <c r="AD24" s="3892"/>
      <c r="AE24" s="3892"/>
      <c r="AF24" s="3892"/>
      <c r="AG24" s="3892"/>
      <c r="AH24" s="3892"/>
      <c r="AI24" s="1157"/>
    </row>
    <row r="25" spans="1:42" ht="14.25" customHeight="1">
      <c r="Q25" s="300"/>
      <c r="R25" s="300"/>
      <c r="S25" s="3839" t="str">
        <f>IF(org=0,"Не определено",org)</f>
        <v>ГУП СК "Ставрополькрайводоканал"</v>
      </c>
      <c r="T25" s="3839"/>
      <c r="U25" s="3839"/>
      <c r="V25" s="3839"/>
      <c r="W25" s="3839"/>
      <c r="X25" s="3839"/>
      <c r="Y25" s="3839"/>
      <c r="Z25" s="3839"/>
      <c r="AA25" s="3839"/>
      <c r="AB25" s="3839"/>
      <c r="AC25" s="3839"/>
      <c r="AD25" s="3839"/>
      <c r="AE25" s="3839"/>
      <c r="AF25" s="3839"/>
      <c r="AG25" s="3839"/>
      <c r="AH25" s="383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900" t="s">
        <v>38</v>
      </c>
      <c r="T27" s="3900"/>
      <c r="U27" s="1293"/>
      <c r="V27" s="3901" t="str">
        <f>IF(TITLE_NAME_OR_PR_CHANGE="",IF(TITLE_NAME_OR_PR="","",TITLE_NAME_OR_PR),TITLE_NAME_OR_PR_CHANGE)</f>
        <v>Региональная тарифная комиссия Ставропольского края</v>
      </c>
      <c r="W27" s="3901"/>
      <c r="X27" s="3901"/>
      <c r="Y27" s="3901"/>
      <c r="Z27" s="3901"/>
      <c r="AA27" s="3901"/>
      <c r="AB27" s="248"/>
      <c r="AC27" s="3901" t="str">
        <f>IF(TITLE_NAME_OR_PR_CHANGE="",IF(TITLE_NAME_OR_PR="","",TITLE_NAME_OR_PR),TITLE_NAME_OR_PR_CHANGE)</f>
        <v>Региональная тарифная комиссия Ставропольского края</v>
      </c>
      <c r="AD27" s="3901"/>
      <c r="AE27" s="3901"/>
      <c r="AF27" s="3901"/>
      <c r="AG27" s="3901"/>
      <c r="AH27" s="3901"/>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900" t="s">
        <v>452</v>
      </c>
      <c r="T28" s="3900"/>
      <c r="U28" s="1293"/>
      <c r="V28" s="3910">
        <f>IF(TITLE_DATE_PR_CHANGE="",IF(TITLE_DATE_PR="","",TITLE_DATE_PR),TITLE_DATE_PR_CHANGE)</f>
        <v>45278</v>
      </c>
      <c r="W28" s="3910"/>
      <c r="X28" s="3910"/>
      <c r="Y28" s="3910"/>
      <c r="Z28" s="3910"/>
      <c r="AA28" s="3910"/>
      <c r="AB28" s="248"/>
      <c r="AC28" s="3910">
        <f>IF(TITLE_DATE_PR_CHANGE="",IF(TITLE_DATE_PR="","",TITLE_DATE_PR),TITLE_DATE_PR_CHANGE)</f>
        <v>45278</v>
      </c>
      <c r="AD28" s="3910"/>
      <c r="AE28" s="3910"/>
      <c r="AF28" s="3910"/>
      <c r="AG28" s="3910"/>
      <c r="AH28" s="3910"/>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900" t="s">
        <v>453</v>
      </c>
      <c r="T29" s="3900"/>
      <c r="U29" s="1293"/>
      <c r="V29" s="3901" t="str">
        <f>IF(TITLE_NUMBER_PR_CHANGE="",IF(TITLE_NUMBER_PR="","",TITLE_NUMBER_PR),TITLE_NUMBER_PR_CHANGE)</f>
        <v>79/2</v>
      </c>
      <c r="W29" s="3901"/>
      <c r="X29" s="3901"/>
      <c r="Y29" s="3901"/>
      <c r="Z29" s="3901"/>
      <c r="AA29" s="3901"/>
      <c r="AB29" s="248"/>
      <c r="AC29" s="3901" t="str">
        <f>IF(TITLE_NUMBER_PR_CHANGE="",IF(TITLE_NUMBER_PR="","",TITLE_NUMBER_PR),TITLE_NUMBER_PR_CHANGE)</f>
        <v>79/2</v>
      </c>
      <c r="AD29" s="3901"/>
      <c r="AE29" s="3901"/>
      <c r="AF29" s="3901"/>
      <c r="AG29" s="3901"/>
      <c r="AH29" s="3901"/>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900" t="s">
        <v>40</v>
      </c>
      <c r="T30" s="3900"/>
      <c r="U30" s="1293"/>
      <c r="V30" s="3901" t="str">
        <f>IF(TITLE_IST_PUB_CHANGE="",IF(TITLE_IST_PUB="","",TITLE_IST_PUB),TITLE_IST_PUB_CHANGE)</f>
        <v>http://pravo.stavregion.ru/</v>
      </c>
      <c r="W30" s="3901"/>
      <c r="X30" s="3901"/>
      <c r="Y30" s="3901"/>
      <c r="Z30" s="3901"/>
      <c r="AA30" s="3901"/>
      <c r="AB30" s="248"/>
      <c r="AC30" s="3901" t="str">
        <f>IF(TITLE_IST_PUB_CHANGE="",IF(TITLE_IST_PUB="","",TITLE_IST_PUB),TITLE_IST_PUB_CHANGE)</f>
        <v>http://pravo.stavregion.ru/</v>
      </c>
      <c r="AD30" s="3901"/>
      <c r="AE30" s="3901"/>
      <c r="AF30" s="3901"/>
      <c r="AG30" s="3901"/>
      <c r="AH30" s="3901"/>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900" t="s">
        <v>454</v>
      </c>
      <c r="T32" s="3900"/>
      <c r="U32" s="1293"/>
      <c r="V32" s="3910">
        <f>IF(TITLE_DATE_PR_CHANGE="",IF(TITLE_DATE_PR="","",TITLE_DATE_PR),TITLE_DATE_PR_CHANGE)</f>
        <v>45278</v>
      </c>
      <c r="W32" s="3910"/>
      <c r="X32" s="3910"/>
      <c r="Y32" s="3910"/>
      <c r="Z32" s="3910"/>
      <c r="AA32" s="3910"/>
      <c r="AB32" s="248"/>
      <c r="AC32" s="3910">
        <f>IF(TITLE_DATE_PR_CHANGE="",IF(TITLE_DATE_PR="","",TITLE_DATE_PR),TITLE_DATE_PR_CHANGE)</f>
        <v>45278</v>
      </c>
      <c r="AD32" s="3910"/>
      <c r="AE32" s="3910"/>
      <c r="AF32" s="3910"/>
      <c r="AG32" s="3910"/>
      <c r="AH32" s="3910"/>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900" t="s">
        <v>455</v>
      </c>
      <c r="T33" s="3900"/>
      <c r="U33" s="1293"/>
      <c r="V33" s="3901" t="str">
        <f>IF(TITLE_NUMBER_PR_CHANGE="",IF(TITLE_NUMBER_PR="","",TITLE_NUMBER_PR),TITLE_NUMBER_PR_CHANGE)</f>
        <v>79/2</v>
      </c>
      <c r="W33" s="3901"/>
      <c r="X33" s="3901"/>
      <c r="Y33" s="3901"/>
      <c r="Z33" s="3901"/>
      <c r="AA33" s="3901"/>
      <c r="AB33" s="248"/>
      <c r="AC33" s="3901" t="str">
        <f>IF(TITLE_NUMBER_PR_CHANGE="",IF(TITLE_NUMBER_PR="","",TITLE_NUMBER_PR),TITLE_NUMBER_PR_CHANGE)</f>
        <v>79/2</v>
      </c>
      <c r="AD33" s="3901"/>
      <c r="AE33" s="3901"/>
      <c r="AF33" s="3901"/>
      <c r="AG33" s="3901"/>
      <c r="AH33" s="3901"/>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456</v>
      </c>
      <c r="AC34" s="248"/>
      <c r="AD34" s="248"/>
      <c r="AE34" s="248"/>
      <c r="AF34" s="248"/>
      <c r="AG34" s="248"/>
      <c r="AH34" s="248"/>
      <c r="AI34" s="194" t="s">
        <v>456</v>
      </c>
      <c r="AL34" s="292"/>
      <c r="AM34" s="292"/>
      <c r="AN34" s="292"/>
      <c r="AO34" s="292"/>
      <c r="AP34" s="292"/>
    </row>
    <row r="35" spans="1:42" ht="14.25" customHeight="1">
      <c r="Q35" s="300"/>
      <c r="R35" s="300"/>
      <c r="S35" s="1200"/>
      <c r="T35" s="286"/>
      <c r="U35" s="1158"/>
      <c r="V35" s="3902"/>
      <c r="W35" s="3902"/>
      <c r="X35" s="3902"/>
      <c r="Y35" s="3902"/>
      <c r="Z35" s="3902"/>
      <c r="AA35" s="3902"/>
      <c r="AB35" s="3902"/>
      <c r="AC35" s="3902"/>
      <c r="AD35" s="3902"/>
      <c r="AE35" s="3902"/>
      <c r="AF35" s="3902"/>
      <c r="AG35" s="3902"/>
      <c r="AH35" s="3902"/>
      <c r="AI35" s="3902"/>
    </row>
    <row r="36" spans="1:42" ht="14.25" customHeight="1">
      <c r="Q36" s="300"/>
      <c r="R36" s="300"/>
      <c r="S36" s="3778" t="s">
        <v>329</v>
      </c>
      <c r="T36" s="3778"/>
      <c r="U36" s="3778"/>
      <c r="V36" s="3778"/>
      <c r="W36" s="3778"/>
      <c r="X36" s="3778"/>
      <c r="Y36" s="3778"/>
      <c r="Z36" s="3778"/>
      <c r="AA36" s="3778"/>
      <c r="AB36" s="3778"/>
      <c r="AC36" s="3778"/>
      <c r="AD36" s="3778"/>
      <c r="AE36" s="3778"/>
      <c r="AF36" s="3778"/>
      <c r="AG36" s="3778"/>
      <c r="AH36" s="3778"/>
      <c r="AI36" s="3778"/>
      <c r="AJ36" s="3778"/>
      <c r="AK36" s="3778" t="s">
        <v>330</v>
      </c>
    </row>
    <row r="37" spans="1:42" ht="14.25" customHeight="1">
      <c r="Q37" s="300"/>
      <c r="R37" s="300"/>
      <c r="S37" s="3916" t="s">
        <v>86</v>
      </c>
      <c r="T37" s="3868" t="s">
        <v>457</v>
      </c>
      <c r="U37" s="215"/>
      <c r="V37" s="3917" t="s">
        <v>458</v>
      </c>
      <c r="W37" s="3918"/>
      <c r="X37" s="3918"/>
      <c r="Y37" s="3918"/>
      <c r="Z37" s="3918"/>
      <c r="AA37" s="3919"/>
      <c r="AB37" s="3920" t="s">
        <v>459</v>
      </c>
      <c r="AC37" s="3917" t="s">
        <v>458</v>
      </c>
      <c r="AD37" s="3918"/>
      <c r="AE37" s="3918"/>
      <c r="AF37" s="3918"/>
      <c r="AG37" s="3918"/>
      <c r="AH37" s="3919"/>
      <c r="AI37" s="3920" t="s">
        <v>460</v>
      </c>
      <c r="AJ37" s="3923" t="s">
        <v>461</v>
      </c>
      <c r="AK37" s="3778"/>
    </row>
    <row r="38" spans="1:42" ht="33.75" customHeight="1">
      <c r="Q38" s="300"/>
      <c r="R38" s="300"/>
      <c r="S38" s="3916"/>
      <c r="T38" s="3868"/>
      <c r="U38" s="942"/>
      <c r="V38" s="1398" t="s">
        <v>517</v>
      </c>
      <c r="W38" s="3749" t="s">
        <v>464</v>
      </c>
      <c r="X38" s="3748"/>
      <c r="Y38" s="3749" t="s">
        <v>465</v>
      </c>
      <c r="Z38" s="3754"/>
      <c r="AA38" s="3748"/>
      <c r="AB38" s="3921"/>
      <c r="AC38" s="1398" t="s">
        <v>517</v>
      </c>
      <c r="AD38" s="3749" t="s">
        <v>464</v>
      </c>
      <c r="AE38" s="3748"/>
      <c r="AF38" s="3749" t="s">
        <v>465</v>
      </c>
      <c r="AG38" s="3754"/>
      <c r="AH38" s="3748"/>
      <c r="AI38" s="3921"/>
      <c r="AJ38" s="3924"/>
      <c r="AK38" s="3778"/>
    </row>
    <row r="39" spans="1:42" ht="86.25" customHeight="1">
      <c r="A39" s="1291"/>
      <c r="B39" s="1291" t="s">
        <v>153</v>
      </c>
      <c r="C39" s="1291" t="s">
        <v>154</v>
      </c>
      <c r="D39" s="1291" t="s">
        <v>155</v>
      </c>
      <c r="E39" s="1285" t="s">
        <v>466</v>
      </c>
      <c r="F39" s="1285" t="s">
        <v>467</v>
      </c>
      <c r="G39" s="1285" t="s">
        <v>468</v>
      </c>
      <c r="H39" s="1285"/>
      <c r="I39" s="1285" t="s">
        <v>518</v>
      </c>
      <c r="J39" s="1285" t="s">
        <v>471</v>
      </c>
      <c r="K39" s="1285" t="s">
        <v>519</v>
      </c>
      <c r="L39" s="1285" t="s">
        <v>447</v>
      </c>
      <c r="Q39" s="300"/>
      <c r="R39" s="300"/>
      <c r="S39" s="3916"/>
      <c r="T39" s="3868"/>
      <c r="U39" s="216"/>
      <c r="V39" s="1398" t="s">
        <v>548</v>
      </c>
      <c r="W39" s="1133" t="s">
        <v>549</v>
      </c>
      <c r="X39" s="1133" t="s">
        <v>522</v>
      </c>
      <c r="Y39" s="1404" t="s">
        <v>475</v>
      </c>
      <c r="Z39" s="3876" t="s">
        <v>476</v>
      </c>
      <c r="AA39" s="3878"/>
      <c r="AB39" s="3922"/>
      <c r="AC39" s="1398" t="s">
        <v>548</v>
      </c>
      <c r="AD39" s="1133" t="s">
        <v>549</v>
      </c>
      <c r="AE39" s="1133" t="s">
        <v>522</v>
      </c>
      <c r="AF39" s="1404" t="s">
        <v>475</v>
      </c>
      <c r="AG39" s="3876" t="s">
        <v>476</v>
      </c>
      <c r="AH39" s="3878"/>
      <c r="AI39" s="3922"/>
      <c r="AJ39" s="3925"/>
      <c r="AK39" s="377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129</v>
      </c>
      <c r="T40" s="1177" t="s">
        <v>102</v>
      </c>
      <c r="U40" s="1159" t="str">
        <f ca="1">OFFSET(U40,0,-1)</f>
        <v>2</v>
      </c>
      <c r="V40" s="1397">
        <f ca="1">OFFSET(V40,0,-1)+1</f>
        <v>3</v>
      </c>
      <c r="W40" s="1397">
        <f ca="1">OFFSET(W40,0,-1)+1</f>
        <v>4</v>
      </c>
      <c r="X40" s="1397">
        <f ca="1">OFFSET(X40,0,-1)+1</f>
        <v>5</v>
      </c>
      <c r="Y40" s="1397">
        <f ca="1">OFFSET(Y40,0,-1)+1</f>
        <v>6</v>
      </c>
      <c r="Z40" s="3915">
        <f ca="1">OFFSET(Z40,0,-1)+1</f>
        <v>7</v>
      </c>
      <c r="AA40" s="3915"/>
      <c r="AB40" s="1397">
        <f ca="1">OFFSET(AB40,0,-2)+1</f>
        <v>8</v>
      </c>
      <c r="AC40" s="1397">
        <f ca="1">OFFSET(AC40,0,-1)+1</f>
        <v>9</v>
      </c>
      <c r="AD40" s="1397">
        <f ca="1">OFFSET(AD40,0,-1)+1</f>
        <v>10</v>
      </c>
      <c r="AE40" s="1397">
        <f ca="1">OFFSET(AE40,0,-1)+1</f>
        <v>11</v>
      </c>
      <c r="AF40" s="1397">
        <f ca="1">OFFSET(AF40,0,-1)+1</f>
        <v>12</v>
      </c>
      <c r="AG40" s="3915">
        <f ca="1">OFFSET(AG40,0,-1)+1</f>
        <v>13</v>
      </c>
      <c r="AH40" s="3915"/>
      <c r="AI40" s="1397">
        <f ca="1">OFFSET(AI40,0,-2)+1</f>
        <v>14</v>
      </c>
      <c r="AJ40" s="1159">
        <f ca="1">OFFSET(AJ40,0,-1)</f>
        <v>14</v>
      </c>
      <c r="AK40" s="1397">
        <f ca="1">OFFSET(AK40,0,-1)+1</f>
        <v>15</v>
      </c>
      <c r="AL40" s="435"/>
      <c r="AM40" s="435"/>
      <c r="AN40" s="435"/>
      <c r="AO40" s="435"/>
      <c r="AP40" s="435"/>
    </row>
    <row r="41" spans="1:42" ht="23.25" customHeight="1">
      <c r="A41" s="1284" t="s">
        <v>300</v>
      </c>
      <c r="B41" s="1284"/>
      <c r="C41" s="1284"/>
      <c r="D41" s="1284"/>
      <c r="E41" s="3908">
        <v>1</v>
      </c>
      <c r="F41" s="1284"/>
      <c r="G41" s="1284"/>
      <c r="H41" s="1284"/>
      <c r="I41" s="1284"/>
      <c r="J41" s="1284"/>
      <c r="K41" s="1284"/>
      <c r="L41" s="1285"/>
      <c r="M41" s="1286"/>
      <c r="N41" s="1286"/>
      <c r="O41" s="1286"/>
      <c r="P41" s="282"/>
      <c r="Q41" s="281"/>
      <c r="R41" s="276"/>
      <c r="S41" s="1408">
        <f>INDEX(PT_DIFFERENTIATION_NUM_NTAR,MATCH(A41,PT_DIFFERENTIATION_NTAR_ID,0))</f>
        <v>0</v>
      </c>
      <c r="T41" s="212" t="s">
        <v>141</v>
      </c>
      <c r="U41" s="214"/>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300</v>
      </c>
      <c r="B42" s="1284" t="s">
        <v>301</v>
      </c>
      <c r="C42" s="1284"/>
      <c r="D42" s="1284"/>
      <c r="E42" s="3909"/>
      <c r="F42" s="3908">
        <v>1</v>
      </c>
      <c r="G42" s="1284"/>
      <c r="H42" s="1284"/>
      <c r="I42" s="1284"/>
      <c r="J42" s="1284"/>
      <c r="K42" s="1284"/>
      <c r="L42" s="1285"/>
      <c r="M42" s="1286"/>
      <c r="N42" s="1286"/>
      <c r="O42" s="1286"/>
      <c r="P42" s="1402"/>
      <c r="Q42" s="273"/>
      <c r="R42" s="274"/>
      <c r="S42" s="1408" t="str">
        <f>INDEX(PT_DIFFERENTIATION_NUM_TER,MATCH(B42,PT_DIFFERENTIATION_TER_ID,0))</f>
        <v>.</v>
      </c>
      <c r="T42" s="224" t="s">
        <v>428</v>
      </c>
      <c r="U42" s="214"/>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182" t="s">
        <v>429</v>
      </c>
      <c r="AM42" s="424"/>
      <c r="AN42" s="424" t="str">
        <f t="shared" si="1"/>
        <v>Территория действия тарифа</v>
      </c>
      <c r="AO42" s="424"/>
      <c r="AP42" s="424"/>
    </row>
    <row r="43" spans="1:42" ht="23.25" customHeight="1">
      <c r="A43" s="1284" t="s">
        <v>300</v>
      </c>
      <c r="B43" s="1284" t="s">
        <v>301</v>
      </c>
      <c r="C43" s="1284" t="s">
        <v>302</v>
      </c>
      <c r="D43" s="1284"/>
      <c r="E43" s="3909"/>
      <c r="F43" s="3909"/>
      <c r="G43" s="3908">
        <v>1</v>
      </c>
      <c r="H43" s="1284"/>
      <c r="I43" s="1284"/>
      <c r="J43" s="1284"/>
      <c r="K43" s="1284"/>
      <c r="L43" s="1285"/>
      <c r="M43" s="1286"/>
      <c r="N43" s="1286"/>
      <c r="O43" s="1286"/>
      <c r="P43" s="275"/>
      <c r="Q43" s="273"/>
      <c r="R43" s="274"/>
      <c r="S43" s="1408" t="str">
        <f>INDEX(PT_DIFFERENTIATION_NUM_CS,MATCH(C43,PT_DIFFERENTIATION_CS_ID,0))</f>
        <v>..</v>
      </c>
      <c r="T43" s="225" t="s">
        <v>546</v>
      </c>
      <c r="U43" s="214"/>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182" t="s">
        <v>547</v>
      </c>
      <c r="AM43" s="424"/>
      <c r="AN43" s="424" t="str">
        <f t="shared" si="1"/>
        <v>Наименование централизованной системы водоотведения</v>
      </c>
      <c r="AO43" s="424"/>
      <c r="AP43" s="424"/>
    </row>
    <row r="44" spans="1:42" ht="23.25" customHeight="1">
      <c r="A44" s="1284" t="s">
        <v>300</v>
      </c>
      <c r="B44" s="1284" t="s">
        <v>301</v>
      </c>
      <c r="C44" s="1284" t="s">
        <v>302</v>
      </c>
      <c r="D44" s="1284" t="s">
        <v>551</v>
      </c>
      <c r="E44" s="3909"/>
      <c r="F44" s="3909"/>
      <c r="G44" s="3909"/>
      <c r="H44" s="3909"/>
      <c r="I44" s="3906" t="str">
        <f>S43&amp;".1"</f>
        <v>...1</v>
      </c>
      <c r="J44" s="1284"/>
      <c r="K44" s="1284"/>
      <c r="L44" s="1285"/>
      <c r="P44" s="3907">
        <v>1</v>
      </c>
      <c r="Q44" s="1396"/>
      <c r="R44" s="277"/>
      <c r="S44" s="1408" t="str">
        <f>$I44</f>
        <v>...1</v>
      </c>
      <c r="T44" s="200" t="s">
        <v>511</v>
      </c>
      <c r="U44" s="214"/>
      <c r="V44" s="3967"/>
      <c r="W44" s="3968"/>
      <c r="X44" s="3968"/>
      <c r="Y44" s="3968"/>
      <c r="Z44" s="3968"/>
      <c r="AA44" s="3968"/>
      <c r="AB44" s="3969"/>
      <c r="AC44" s="3970"/>
      <c r="AD44" s="3971"/>
      <c r="AE44" s="3971"/>
      <c r="AF44" s="3971"/>
      <c r="AG44" s="3971"/>
      <c r="AH44" s="3971"/>
      <c r="AI44" s="3971"/>
      <c r="AJ44" s="3972"/>
      <c r="AK44" s="1182" t="s">
        <v>512</v>
      </c>
      <c r="AM44" s="424"/>
      <c r="AN44" s="424" t="str">
        <f t="shared" si="1"/>
        <v>Наименование признака дифференциации</v>
      </c>
      <c r="AO44" s="424"/>
      <c r="AP44" s="424"/>
    </row>
    <row r="45" spans="1:42" ht="23.25" customHeight="1">
      <c r="A45" s="1284" t="s">
        <v>300</v>
      </c>
      <c r="B45" s="1284" t="s">
        <v>301</v>
      </c>
      <c r="C45" s="1284" t="s">
        <v>302</v>
      </c>
      <c r="D45" s="1284" t="s">
        <v>551</v>
      </c>
      <c r="E45" s="3909"/>
      <c r="F45" s="3909"/>
      <c r="G45" s="3909"/>
      <c r="H45" s="3909"/>
      <c r="I45" s="3929"/>
      <c r="J45" s="3906" t="str">
        <f>I44&amp;".1"</f>
        <v>...1.1</v>
      </c>
      <c r="K45" s="1284"/>
      <c r="L45" s="1285" t="s">
        <v>437</v>
      </c>
      <c r="P45" s="3907"/>
      <c r="Q45" s="3907">
        <v>1</v>
      </c>
      <c r="R45" s="278"/>
      <c r="S45" s="1408" t="str">
        <f>$J45</f>
        <v>...1.1</v>
      </c>
      <c r="T45" s="201" t="s">
        <v>438</v>
      </c>
      <c r="U45" s="214"/>
      <c r="V45" s="3897"/>
      <c r="W45" s="3898"/>
      <c r="X45" s="3898"/>
      <c r="Y45" s="3898"/>
      <c r="Z45" s="3898"/>
      <c r="AA45" s="3898"/>
      <c r="AB45" s="3899"/>
      <c r="AC45" s="3897"/>
      <c r="AD45" s="3898"/>
      <c r="AE45" s="3898"/>
      <c r="AF45" s="3898"/>
      <c r="AG45" s="3898"/>
      <c r="AH45" s="3898"/>
      <c r="AI45" s="3898"/>
      <c r="AJ45" s="3899"/>
      <c r="AK45" s="1231" t="s">
        <v>513</v>
      </c>
      <c r="AM45" s="424"/>
      <c r="AN45" s="424" t="str">
        <f t="shared" si="1"/>
        <v>Группа потребителей</v>
      </c>
      <c r="AO45" s="424"/>
      <c r="AP45" s="424"/>
    </row>
    <row r="46" spans="1:42" ht="23.25" customHeight="1">
      <c r="A46" s="1284" t="s">
        <v>300</v>
      </c>
      <c r="B46" s="1284" t="s">
        <v>301</v>
      </c>
      <c r="C46" s="1284" t="s">
        <v>302</v>
      </c>
      <c r="D46" s="1284" t="s">
        <v>551</v>
      </c>
      <c r="E46" s="3909"/>
      <c r="F46" s="3909"/>
      <c r="G46" s="3909"/>
      <c r="H46" s="3909"/>
      <c r="I46" s="3929"/>
      <c r="J46" s="3929"/>
      <c r="K46" s="3906" t="str">
        <f>J45&amp;".1"</f>
        <v>...1.1.1</v>
      </c>
      <c r="L46" s="1285"/>
      <c r="P46" s="3907"/>
      <c r="Q46" s="3907"/>
      <c r="R46" s="278">
        <v>1</v>
      </c>
      <c r="S46" s="1408" t="str">
        <f>$K46</f>
        <v>...1.1.1</v>
      </c>
      <c r="T46" s="1357"/>
      <c r="U46" s="214"/>
      <c r="V46" s="1281"/>
      <c r="W46" s="1281"/>
      <c r="X46" s="1282"/>
      <c r="Y46" s="3913"/>
      <c r="Z46" s="3914" t="s">
        <v>60</v>
      </c>
      <c r="AA46" s="3913"/>
      <c r="AB46" s="3914" t="s">
        <v>60</v>
      </c>
      <c r="AC46" s="666"/>
      <c r="AD46" s="666"/>
      <c r="AE46" s="1181"/>
      <c r="AF46" s="3911"/>
      <c r="AG46" s="3759" t="s">
        <v>60</v>
      </c>
      <c r="AH46" s="3930"/>
      <c r="AI46" s="3759" t="s">
        <v>55</v>
      </c>
      <c r="AJ46" s="1358"/>
      <c r="AK4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300</v>
      </c>
      <c r="B47" s="1284" t="s">
        <v>301</v>
      </c>
      <c r="C47" s="1284" t="s">
        <v>302</v>
      </c>
      <c r="D47" s="1284" t="s">
        <v>551</v>
      </c>
      <c r="E47" s="3909"/>
      <c r="F47" s="3909"/>
      <c r="G47" s="3909"/>
      <c r="H47" s="3909"/>
      <c r="I47" s="3929"/>
      <c r="J47" s="3929"/>
      <c r="K47" s="3906"/>
      <c r="L47" s="1285"/>
      <c r="P47" s="3907"/>
      <c r="Q47" s="3907"/>
      <c r="R47" s="278"/>
      <c r="S47" s="1405"/>
      <c r="T47" s="214"/>
      <c r="U47" s="214"/>
      <c r="V47" s="1281"/>
      <c r="W47" s="1281"/>
      <c r="X47" s="250" t="str">
        <f>Y46&amp;"-"&amp;AA46</f>
        <v>-</v>
      </c>
      <c r="Y47" s="3914"/>
      <c r="Z47" s="3914"/>
      <c r="AA47" s="3914"/>
      <c r="AB47" s="3914"/>
      <c r="AC47" s="246"/>
      <c r="AD47" s="246"/>
      <c r="AE47" s="250" t="str">
        <f>AF46&amp;"-"&amp;AH46</f>
        <v>-</v>
      </c>
      <c r="AF47" s="3912"/>
      <c r="AG47" s="3759"/>
      <c r="AH47" s="3931"/>
      <c r="AI47" s="3759"/>
      <c r="AJ47" s="1359"/>
      <c r="AK47" s="3966"/>
      <c r="AM47" s="424"/>
      <c r="AN47" s="424" t="str">
        <f t="shared" si="1"/>
        <v/>
      </c>
      <c r="AO47" s="424"/>
      <c r="AP47" s="424"/>
    </row>
    <row r="48" spans="1:42" ht="21" customHeight="1">
      <c r="A48" s="1284" t="s">
        <v>300</v>
      </c>
      <c r="B48" s="1284" t="s">
        <v>301</v>
      </c>
      <c r="C48" s="1284" t="s">
        <v>302</v>
      </c>
      <c r="D48" s="1284" t="s">
        <v>551</v>
      </c>
      <c r="E48" s="3909"/>
      <c r="F48" s="3909"/>
      <c r="G48" s="3909"/>
      <c r="H48" s="3909"/>
      <c r="I48" s="3929"/>
      <c r="J48" s="3906"/>
      <c r="K48" s="1284"/>
      <c r="L48" s="1285"/>
      <c r="P48" s="3907"/>
      <c r="Q48" s="3907"/>
      <c r="R48" s="277"/>
      <c r="S48" s="1203"/>
      <c r="T48" s="202" t="s">
        <v>514</v>
      </c>
      <c r="U48" s="291"/>
      <c r="V48" s="291"/>
      <c r="W48" s="291"/>
      <c r="X48" s="291"/>
      <c r="Y48" s="291"/>
      <c r="Z48" s="291"/>
      <c r="AA48" s="291"/>
      <c r="AB48" s="291"/>
      <c r="AC48" s="291"/>
      <c r="AD48" s="291"/>
      <c r="AE48" s="291"/>
      <c r="AF48" s="291"/>
      <c r="AG48" s="291"/>
      <c r="AH48" s="291"/>
      <c r="AI48" s="291"/>
      <c r="AJ48" s="291"/>
      <c r="AK48" s="1182" t="s">
        <v>515</v>
      </c>
      <c r="AM48" s="424"/>
      <c r="AN48" s="424" t="str">
        <f t="shared" si="1"/>
        <v>Добавить значение признака дифференциации</v>
      </c>
      <c r="AO48" s="424"/>
      <c r="AP48" s="424"/>
    </row>
    <row r="49" spans="1:42" ht="21" customHeight="1">
      <c r="A49" s="1284" t="s">
        <v>300</v>
      </c>
      <c r="B49" s="1284" t="s">
        <v>301</v>
      </c>
      <c r="C49" s="1284" t="s">
        <v>302</v>
      </c>
      <c r="D49" s="1284" t="s">
        <v>551</v>
      </c>
      <c r="E49" s="3909"/>
      <c r="F49" s="3909"/>
      <c r="G49" s="3909"/>
      <c r="H49" s="3909"/>
      <c r="I49" s="3906"/>
      <c r="J49" s="1284"/>
      <c r="K49" s="1284"/>
      <c r="L49" s="1285"/>
      <c r="P49" s="3907"/>
      <c r="Q49" s="1396"/>
      <c r="R49" s="277"/>
      <c r="S49" s="1203"/>
      <c r="T49" s="288" t="s">
        <v>443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300</v>
      </c>
      <c r="B50" s="1284" t="s">
        <v>301</v>
      </c>
      <c r="C50" s="1284" t="s">
        <v>302</v>
      </c>
      <c r="D50" s="1284" t="s">
        <v>551</v>
      </c>
      <c r="E50" s="3909"/>
      <c r="F50" s="3909"/>
      <c r="G50" s="3909"/>
      <c r="H50" s="3908"/>
      <c r="I50" s="1284"/>
      <c r="J50" s="1284"/>
      <c r="K50" s="1284"/>
      <c r="L50" s="1285"/>
      <c r="M50" s="1286"/>
      <c r="N50" s="1286"/>
      <c r="O50" s="460"/>
      <c r="P50" s="281"/>
      <c r="Q50" s="299"/>
      <c r="R50" s="276"/>
      <c r="S50" s="1203"/>
      <c r="T50" s="296" t="s">
        <v>516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300</v>
      </c>
      <c r="B51" s="1265" t="s">
        <v>301</v>
      </c>
      <c r="C51" s="1237"/>
      <c r="D51" s="1237"/>
      <c r="E51" s="3909"/>
      <c r="F51" s="3908"/>
      <c r="G51" s="1237"/>
      <c r="H51" s="1237"/>
      <c r="I51" s="1237"/>
      <c r="J51" s="1237"/>
      <c r="K51" s="1237"/>
      <c r="L51" s="1409"/>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300</v>
      </c>
      <c r="B52" s="1265"/>
      <c r="C52" s="1265"/>
      <c r="D52" s="1265"/>
      <c r="E52" s="3908"/>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262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928"/>
      <c r="U55" s="3928"/>
      <c r="V55" s="3928"/>
      <c r="W55" s="3928"/>
      <c r="X55" s="3928"/>
      <c r="Y55" s="3928"/>
      <c r="Z55" s="3928"/>
      <c r="AA55" s="3928"/>
      <c r="AB55" s="3928"/>
      <c r="AC55" s="3928"/>
      <c r="AD55" s="3928"/>
      <c r="AE55" s="3928"/>
      <c r="AF55" s="3928"/>
      <c r="AG55" s="3928"/>
      <c r="AH55" s="3928"/>
      <c r="AI55" s="3928"/>
      <c r="AJ55" s="3928"/>
      <c r="AK55" s="3928"/>
    </row>
    <row r="56" spans="1:42" ht="14.25" customHeight="1">
      <c r="O56" s="460"/>
    </row>
    <row r="57" spans="1:42" ht="14.25" customHeight="1">
      <c r="O57" s="460"/>
      <c r="S57" s="1169"/>
      <c r="T57" s="3928"/>
      <c r="U57" s="3928"/>
      <c r="V57" s="3928"/>
      <c r="W57" s="3928"/>
      <c r="X57" s="3928"/>
      <c r="Y57" s="3928"/>
      <c r="Z57" s="3928"/>
      <c r="AA57" s="3928"/>
      <c r="AB57" s="3928"/>
      <c r="AC57" s="3928"/>
      <c r="AD57" s="3928"/>
      <c r="AE57" s="3928"/>
      <c r="AF57" s="3928"/>
      <c r="AG57" s="3928"/>
      <c r="AH57" s="3928"/>
      <c r="AI57" s="3928"/>
      <c r="AJ57" s="3928"/>
      <c r="AK57" s="39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908">
        <v>1</v>
      </c>
      <c r="F2" s="1284"/>
      <c r="G2" s="1284"/>
      <c r="H2" s="1284"/>
      <c r="I2" s="1284"/>
      <c r="J2" s="1284"/>
      <c r="K2" s="1284"/>
      <c r="L2" s="1285"/>
      <c r="M2" s="1286"/>
      <c r="N2" s="1286"/>
      <c r="O2" s="1286"/>
      <c r="P2" s="1330"/>
      <c r="Q2" s="787"/>
      <c r="R2" s="276"/>
      <c r="S2" s="1408" t="e">
        <f>INDEX(PT_DIFFERENTIATION_NUM_NTAR,MATCH(A2,PT_DIFFERENTIATION_NTAR_ID,0))</f>
        <v>#N/A</v>
      </c>
      <c r="T2" s="212" t="s">
        <v>141</v>
      </c>
      <c r="U2" s="214"/>
      <c r="V2" s="3895"/>
      <c r="W2" s="3895"/>
      <c r="X2" s="3895"/>
      <c r="Y2" s="3895"/>
      <c r="Z2" s="3895"/>
      <c r="AA2" s="3895"/>
      <c r="AB2" s="3895"/>
      <c r="AC2" s="3896"/>
      <c r="AD2" s="3894" t="e">
        <f>INDEX(PT_DIFFERENTIATION_NTAR,MATCH(A2,PT_DIFFERENTIATION_NTAR_ID,0))</f>
        <v>#N/A</v>
      </c>
      <c r="AE2" s="3895"/>
      <c r="AF2" s="3895"/>
      <c r="AG2" s="3895"/>
      <c r="AH2" s="3895"/>
      <c r="AI2" s="3895"/>
      <c r="AJ2" s="3895"/>
      <c r="AK2" s="3895"/>
      <c r="AL2" s="3895"/>
      <c r="AM2" s="3895"/>
      <c r="AN2" s="3895"/>
      <c r="AO2" s="3895"/>
      <c r="AP2" s="3895"/>
      <c r="AQ2" s="3895"/>
      <c r="AR2" s="3895"/>
      <c r="AS2" s="3895"/>
      <c r="AT2" s="3895"/>
      <c r="AU2" s="3895"/>
      <c r="AV2" s="3895"/>
      <c r="AW2" s="3895"/>
      <c r="AX2" s="3895"/>
      <c r="AY2" s="3895"/>
      <c r="AZ2" s="3895"/>
      <c r="BA2" s="3895"/>
      <c r="BB2" s="389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909"/>
      <c r="F3" s="3908">
        <v>1</v>
      </c>
      <c r="G3" s="1284"/>
      <c r="H3" s="1284"/>
      <c r="I3" s="1284"/>
      <c r="J3" s="1284"/>
      <c r="K3" s="1284"/>
      <c r="L3" s="1285"/>
      <c r="M3" s="1286"/>
      <c r="N3" s="1286"/>
      <c r="O3" s="1286"/>
      <c r="P3" s="1331"/>
      <c r="Q3" s="1332"/>
      <c r="R3" s="274"/>
      <c r="S3" s="1408" t="e">
        <f>INDEX(PT_DIFFERENTIATION_NUM_TER,MATCH(B3,PT_DIFFERENTIATION_TER_ID,0))</f>
        <v>#N/A</v>
      </c>
      <c r="T3" s="224" t="s">
        <v>428</v>
      </c>
      <c r="U3" s="214"/>
      <c r="V3" s="3895"/>
      <c r="W3" s="3895"/>
      <c r="X3" s="3895"/>
      <c r="Y3" s="3895"/>
      <c r="Z3" s="3895"/>
      <c r="AA3" s="3895"/>
      <c r="AB3" s="3895"/>
      <c r="AC3" s="3896"/>
      <c r="AD3" s="3894" t="e">
        <f>INDEX(PT_DIFFERENTIATION_TER,MATCH(B3,PT_DIFFERENTIATION_TER_ID,0))</f>
        <v>#N/A</v>
      </c>
      <c r="AE3" s="3895"/>
      <c r="AF3" s="3895"/>
      <c r="AG3" s="3895"/>
      <c r="AH3" s="3895"/>
      <c r="AI3" s="3895"/>
      <c r="AJ3" s="3895"/>
      <c r="AK3" s="3895"/>
      <c r="AL3" s="3895"/>
      <c r="AM3" s="3895"/>
      <c r="AN3" s="3895"/>
      <c r="AO3" s="3895"/>
      <c r="AP3" s="3895"/>
      <c r="AQ3" s="3895"/>
      <c r="AR3" s="3895"/>
      <c r="AS3" s="3895"/>
      <c r="AT3" s="3895"/>
      <c r="AU3" s="3895"/>
      <c r="AV3" s="3895"/>
      <c r="AW3" s="3895"/>
      <c r="AX3" s="3895"/>
      <c r="AY3" s="3895"/>
      <c r="AZ3" s="3895"/>
      <c r="BA3" s="3895"/>
      <c r="BB3" s="3896"/>
      <c r="BC3" s="1182" t="s">
        <v>429</v>
      </c>
      <c r="BE3" s="424"/>
      <c r="BF3" s="424" t="str">
        <f t="shared" si="0"/>
        <v>Территория действия тарифа</v>
      </c>
      <c r="BG3" s="424"/>
      <c r="BH3" s="424"/>
    </row>
    <row r="4" spans="1:60" ht="33.75" hidden="1" customHeight="1">
      <c r="A4" s="1284"/>
      <c r="B4" s="1284"/>
      <c r="C4" s="1284"/>
      <c r="D4" s="1284"/>
      <c r="E4" s="3909"/>
      <c r="F4" s="3909"/>
      <c r="G4" s="3908">
        <v>1</v>
      </c>
      <c r="H4" s="1284"/>
      <c r="I4" s="1284"/>
      <c r="J4" s="1284"/>
      <c r="K4" s="1284"/>
      <c r="L4" s="1285"/>
      <c r="M4" s="1286"/>
      <c r="N4" s="1286"/>
      <c r="O4" s="1286"/>
      <c r="P4" s="1333"/>
      <c r="Q4" s="1332"/>
      <c r="R4" s="274"/>
      <c r="S4" s="1408" t="e">
        <f>INDEX(PT_DIFFERENTIATION_NUM_CS,MATCH(C4,PT_DIFFERENTIATION_CS_ID,0))</f>
        <v>#N/A</v>
      </c>
      <c r="T4" s="225" t="s">
        <v>546</v>
      </c>
      <c r="U4" s="214"/>
      <c r="V4" s="3895"/>
      <c r="W4" s="3895"/>
      <c r="X4" s="3895"/>
      <c r="Y4" s="3895"/>
      <c r="Z4" s="3895"/>
      <c r="AA4" s="3895"/>
      <c r="AB4" s="3895"/>
      <c r="AC4" s="3896"/>
      <c r="AD4" s="3894" t="e">
        <f>INDEX(PT_DIFFERENTIATION_CS,MATCH(C4,PT_DIFFERENTIATION_CS_ID,0))</f>
        <v>#N/A</v>
      </c>
      <c r="AE4" s="3895"/>
      <c r="AF4" s="3895"/>
      <c r="AG4" s="3895"/>
      <c r="AH4" s="3895"/>
      <c r="AI4" s="3895"/>
      <c r="AJ4" s="3895"/>
      <c r="AK4" s="3895"/>
      <c r="AL4" s="3895"/>
      <c r="AM4" s="3895"/>
      <c r="AN4" s="3895"/>
      <c r="AO4" s="3895"/>
      <c r="AP4" s="3895"/>
      <c r="AQ4" s="3895"/>
      <c r="AR4" s="3895"/>
      <c r="AS4" s="3895"/>
      <c r="AT4" s="3895"/>
      <c r="AU4" s="3895"/>
      <c r="AV4" s="3895"/>
      <c r="AW4" s="3895"/>
      <c r="AX4" s="3895"/>
      <c r="AY4" s="3895"/>
      <c r="AZ4" s="3895"/>
      <c r="BA4" s="3895"/>
      <c r="BB4" s="3896"/>
      <c r="BC4" s="1182" t="s">
        <v>547</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3909"/>
      <c r="F5" s="3909"/>
      <c r="G5" s="3909"/>
      <c r="H5" s="3908">
        <v>1</v>
      </c>
      <c r="I5" s="1265"/>
      <c r="J5" s="1265"/>
      <c r="K5" s="1265"/>
      <c r="L5" s="1268"/>
      <c r="M5" s="1238"/>
      <c r="N5" s="1238"/>
      <c r="O5" s="1238"/>
      <c r="P5" s="1412"/>
      <c r="Q5" s="1413"/>
      <c r="R5" s="278"/>
      <c r="S5" s="953"/>
      <c r="T5" s="1414"/>
      <c r="U5" s="1305"/>
      <c r="V5" s="3936"/>
      <c r="W5" s="3936"/>
      <c r="X5" s="3936"/>
      <c r="Y5" s="3936"/>
      <c r="Z5" s="3936"/>
      <c r="AA5" s="3936"/>
      <c r="AB5" s="3936"/>
      <c r="AC5" s="3937"/>
      <c r="AD5" s="3935"/>
      <c r="AE5" s="3936"/>
      <c r="AF5" s="3936"/>
      <c r="AG5" s="3936"/>
      <c r="AH5" s="3936"/>
      <c r="AI5" s="3936"/>
      <c r="AJ5" s="3936"/>
      <c r="AK5" s="3936"/>
      <c r="AL5" s="3936"/>
      <c r="AM5" s="3936"/>
      <c r="AN5" s="3936"/>
      <c r="AO5" s="3936"/>
      <c r="AP5" s="3936"/>
      <c r="AQ5" s="3936"/>
      <c r="AR5" s="3936"/>
      <c r="AS5" s="3936"/>
      <c r="AT5" s="3936"/>
      <c r="AU5" s="3936"/>
      <c r="AV5" s="3936"/>
      <c r="AW5" s="3936"/>
      <c r="AX5" s="3936"/>
      <c r="AY5" s="3936"/>
      <c r="AZ5" s="3936"/>
      <c r="BA5" s="3936"/>
      <c r="BB5" s="3937"/>
      <c r="BC5" s="1306" t="s">
        <v>433</v>
      </c>
      <c r="BE5" s="424"/>
      <c r="BF5" s="424" t="str">
        <f t="shared" si="0"/>
        <v/>
      </c>
      <c r="BG5" s="424"/>
      <c r="BH5" s="424"/>
    </row>
    <row r="6" spans="1:60" s="1562" customFormat="1" ht="14.25" hidden="1" customHeight="1">
      <c r="A6" s="1265"/>
      <c r="B6" s="1265"/>
      <c r="C6" s="1265"/>
      <c r="D6" s="1265"/>
      <c r="E6" s="3909"/>
      <c r="F6" s="3909"/>
      <c r="G6" s="3909"/>
      <c r="H6" s="3909"/>
      <c r="I6" s="3906" t="str">
        <f>S5&amp;".1"</f>
        <v>.1</v>
      </c>
      <c r="J6" s="1265"/>
      <c r="K6" s="1265"/>
      <c r="L6" s="1268" t="s">
        <v>434</v>
      </c>
      <c r="M6" s="434"/>
      <c r="N6" s="434"/>
      <c r="O6" s="434"/>
      <c r="P6" s="3907">
        <v>1</v>
      </c>
      <c r="Q6" s="1396"/>
      <c r="R6" s="277"/>
      <c r="S6" s="953"/>
      <c r="T6" s="1304"/>
      <c r="U6" s="1305"/>
      <c r="V6" s="3936"/>
      <c r="W6" s="3936"/>
      <c r="X6" s="3936"/>
      <c r="Y6" s="3936"/>
      <c r="Z6" s="3936"/>
      <c r="AA6" s="3936"/>
      <c r="AB6" s="3936"/>
      <c r="AC6" s="3937"/>
      <c r="AD6" s="3935"/>
      <c r="AE6" s="3936"/>
      <c r="AF6" s="3936"/>
      <c r="AG6" s="3936"/>
      <c r="AH6" s="3936"/>
      <c r="AI6" s="3936"/>
      <c r="AJ6" s="3936"/>
      <c r="AK6" s="3936"/>
      <c r="AL6" s="3936"/>
      <c r="AM6" s="3936"/>
      <c r="AN6" s="3936"/>
      <c r="AO6" s="3936"/>
      <c r="AP6" s="3936"/>
      <c r="AQ6" s="3936"/>
      <c r="AR6" s="3936"/>
      <c r="AS6" s="3936"/>
      <c r="AT6" s="3936"/>
      <c r="AU6" s="3936"/>
      <c r="AV6" s="3936"/>
      <c r="AW6" s="3936"/>
      <c r="AX6" s="3936"/>
      <c r="AY6" s="3936"/>
      <c r="AZ6" s="3936"/>
      <c r="BA6" s="3936"/>
      <c r="BB6" s="3937"/>
      <c r="BC6" s="1306"/>
      <c r="BE6" s="424"/>
      <c r="BF6" s="424" t="str">
        <f t="shared" si="0"/>
        <v/>
      </c>
      <c r="BG6" s="424"/>
      <c r="BH6" s="424"/>
    </row>
    <row r="7" spans="1:60" s="1562" customFormat="1" ht="14.25" hidden="1" customHeight="1">
      <c r="A7" s="1265"/>
      <c r="B7" s="1265"/>
      <c r="C7" s="1265"/>
      <c r="D7" s="1265"/>
      <c r="E7" s="3909"/>
      <c r="F7" s="3909"/>
      <c r="G7" s="3909"/>
      <c r="H7" s="3909"/>
      <c r="I7" s="3929"/>
      <c r="J7" s="3906" t="str">
        <f>S5&amp;".1"</f>
        <v>.1</v>
      </c>
      <c r="K7" s="1265"/>
      <c r="L7" s="1268"/>
      <c r="M7" s="434"/>
      <c r="N7" s="434"/>
      <c r="O7" s="434"/>
      <c r="P7" s="3907"/>
      <c r="Q7" s="3907">
        <v>1</v>
      </c>
      <c r="R7" s="278"/>
      <c r="S7" s="953"/>
      <c r="T7" s="1320"/>
      <c r="U7" s="1305"/>
      <c r="V7" s="3936"/>
      <c r="W7" s="3936"/>
      <c r="X7" s="3936"/>
      <c r="Y7" s="3936"/>
      <c r="Z7" s="3936"/>
      <c r="AA7" s="3936"/>
      <c r="AB7" s="3936"/>
      <c r="AC7" s="3937"/>
      <c r="AD7" s="3935"/>
      <c r="AE7" s="3936"/>
      <c r="AF7" s="3936"/>
      <c r="AG7" s="3936"/>
      <c r="AH7" s="3936"/>
      <c r="AI7" s="3936"/>
      <c r="AJ7" s="3936"/>
      <c r="AK7" s="3936"/>
      <c r="AL7" s="3936"/>
      <c r="AM7" s="3936"/>
      <c r="AN7" s="3936"/>
      <c r="AO7" s="3936"/>
      <c r="AP7" s="3936"/>
      <c r="AQ7" s="3936"/>
      <c r="AR7" s="3936"/>
      <c r="AS7" s="3936"/>
      <c r="AT7" s="3936"/>
      <c r="AU7" s="3936"/>
      <c r="AV7" s="3936"/>
      <c r="AW7" s="3936"/>
      <c r="AX7" s="3936"/>
      <c r="AY7" s="3936"/>
      <c r="AZ7" s="3936"/>
      <c r="BA7" s="3936"/>
      <c r="BB7" s="3937"/>
      <c r="BC7" s="1306"/>
      <c r="BE7" s="424"/>
      <c r="BF7" s="424" t="str">
        <f t="shared" si="0"/>
        <v/>
      </c>
      <c r="BG7" s="424"/>
      <c r="BH7" s="424"/>
    </row>
    <row r="8" spans="1:60" ht="11.25" hidden="1" customHeight="1">
      <c r="A8" s="1284"/>
      <c r="B8" s="1284"/>
      <c r="C8" s="1284"/>
      <c r="D8" s="1284"/>
      <c r="E8" s="3909"/>
      <c r="F8" s="3909"/>
      <c r="G8" s="3909"/>
      <c r="H8" s="3909"/>
      <c r="I8" s="3929"/>
      <c r="J8" s="3929"/>
      <c r="K8" s="3906" t="e">
        <f>S4&amp;".1"</f>
        <v>#N/A</v>
      </c>
      <c r="L8" s="1285"/>
      <c r="P8" s="3907"/>
      <c r="Q8" s="3907"/>
      <c r="R8" s="3964">
        <v>1</v>
      </c>
      <c r="S8" s="3958" t="e">
        <f>$K8</f>
        <v>#N/A</v>
      </c>
      <c r="T8" s="3977"/>
      <c r="U8" s="214"/>
      <c r="V8" s="666"/>
      <c r="W8" s="1181"/>
      <c r="X8" s="666"/>
      <c r="Y8" s="1181"/>
      <c r="Z8" s="1653"/>
      <c r="AA8" s="1385" t="s">
        <v>60</v>
      </c>
      <c r="AB8" s="1653"/>
      <c r="AC8" s="1385" t="s">
        <v>60</v>
      </c>
      <c r="AD8" s="3833" t="s">
        <v>60</v>
      </c>
      <c r="AE8" s="3944"/>
      <c r="AF8" s="3863">
        <v>1</v>
      </c>
      <c r="AG8" s="3981"/>
      <c r="AH8" s="3759" t="s">
        <v>60</v>
      </c>
      <c r="AI8" s="3944"/>
      <c r="AJ8" s="3863">
        <v>1</v>
      </c>
      <c r="AK8" s="3980" t="s">
        <v>24</v>
      </c>
      <c r="AL8" s="3759" t="s">
        <v>60</v>
      </c>
      <c r="AM8" s="3853"/>
      <c r="AN8" s="3863">
        <v>1</v>
      </c>
      <c r="AO8" s="3974"/>
      <c r="AP8" s="3975" t="s">
        <v>60</v>
      </c>
      <c r="AQ8" s="227"/>
      <c r="AR8" s="1401">
        <v>1</v>
      </c>
      <c r="AS8" s="1407" t="s">
        <v>24</v>
      </c>
      <c r="AT8" s="666"/>
      <c r="AU8" s="1181"/>
      <c r="AV8" s="666"/>
      <c r="AW8" s="1181"/>
      <c r="AX8" s="1653"/>
      <c r="AY8" s="1385" t="s">
        <v>60</v>
      </c>
      <c r="AZ8" s="1653"/>
      <c r="BA8" s="1385" t="s">
        <v>60</v>
      </c>
      <c r="BB8" s="1270"/>
      <c r="BC8" s="3903" t="s">
        <v>531</v>
      </c>
      <c r="BE8" s="424"/>
      <c r="BF8" s="424" t="str">
        <f t="shared" si="0"/>
        <v/>
      </c>
      <c r="BG8" s="424"/>
      <c r="BH8" s="424"/>
    </row>
    <row r="9" spans="1:60" ht="11.25" hidden="1" customHeight="1">
      <c r="A9" s="1284"/>
      <c r="B9" s="1284"/>
      <c r="C9" s="1284"/>
      <c r="D9" s="1284"/>
      <c r="E9" s="3909"/>
      <c r="F9" s="3909"/>
      <c r="G9" s="3909"/>
      <c r="H9" s="3909"/>
      <c r="I9" s="3929"/>
      <c r="J9" s="3929"/>
      <c r="K9" s="3906"/>
      <c r="L9" s="1285"/>
      <c r="P9" s="3907"/>
      <c r="Q9" s="3907"/>
      <c r="R9" s="3964"/>
      <c r="S9" s="3959"/>
      <c r="T9" s="3978"/>
      <c r="U9" s="214"/>
      <c r="V9" s="1314"/>
      <c r="W9" s="1411"/>
      <c r="X9" s="1314"/>
      <c r="Y9" s="1411"/>
      <c r="Z9" s="1314"/>
      <c r="AA9" s="1314"/>
      <c r="AB9" s="1314"/>
      <c r="AC9" s="1314"/>
      <c r="AD9" s="3834"/>
      <c r="AE9" s="3944"/>
      <c r="AF9" s="3863"/>
      <c r="AG9" s="3981"/>
      <c r="AH9" s="3759"/>
      <c r="AI9" s="3944"/>
      <c r="AJ9" s="3863"/>
      <c r="AK9" s="3980"/>
      <c r="AL9" s="3759"/>
      <c r="AM9" s="3858"/>
      <c r="AN9" s="3863"/>
      <c r="AO9" s="3974"/>
      <c r="AP9" s="3976"/>
      <c r="AQ9" s="234"/>
      <c r="AR9" s="345"/>
      <c r="AS9" s="345" t="s">
        <v>532</v>
      </c>
      <c r="AT9" s="1314"/>
      <c r="AU9" s="1411"/>
      <c r="AV9" s="1314"/>
      <c r="AW9" s="1411"/>
      <c r="AX9" s="1314"/>
      <c r="AY9" s="1314"/>
      <c r="AZ9" s="1314"/>
      <c r="BA9" s="1314"/>
      <c r="BB9" s="1318"/>
      <c r="BC9" s="3904"/>
      <c r="BE9" s="424"/>
      <c r="BF9" s="424"/>
      <c r="BG9" s="424"/>
      <c r="BH9" s="424"/>
    </row>
    <row r="10" spans="1:60" ht="11.25" hidden="1" customHeight="1">
      <c r="A10" s="1284"/>
      <c r="B10" s="1284"/>
      <c r="C10" s="1284"/>
      <c r="D10" s="1284"/>
      <c r="E10" s="3909"/>
      <c r="F10" s="3909"/>
      <c r="G10" s="3909"/>
      <c r="H10" s="3909"/>
      <c r="I10" s="3929"/>
      <c r="J10" s="3929"/>
      <c r="K10" s="3906"/>
      <c r="L10" s="1285"/>
      <c r="P10" s="3907"/>
      <c r="Q10" s="3907"/>
      <c r="R10" s="3964"/>
      <c r="S10" s="3959"/>
      <c r="T10" s="3978"/>
      <c r="U10" s="214"/>
      <c r="V10" s="1314"/>
      <c r="W10" s="1411"/>
      <c r="X10" s="1314"/>
      <c r="Y10" s="1411"/>
      <c r="Z10" s="1314"/>
      <c r="AA10" s="1314"/>
      <c r="AB10" s="1314"/>
      <c r="AC10" s="1314"/>
      <c r="AD10" s="3834"/>
      <c r="AE10" s="3944"/>
      <c r="AF10" s="3863"/>
      <c r="AG10" s="3981"/>
      <c r="AH10" s="3759"/>
      <c r="AI10" s="3944"/>
      <c r="AJ10" s="3863"/>
      <c r="AK10" s="3980"/>
      <c r="AL10" s="3759"/>
      <c r="AM10" s="234"/>
      <c r="AN10" s="1415"/>
      <c r="AO10" s="1415" t="s">
        <v>552</v>
      </c>
      <c r="AP10" s="345"/>
      <c r="AQ10" s="345"/>
      <c r="AR10" s="345"/>
      <c r="AS10" s="1314"/>
      <c r="AT10" s="1314"/>
      <c r="AU10" s="1411"/>
      <c r="AV10" s="1314"/>
      <c r="AW10" s="1411"/>
      <c r="AX10" s="1314"/>
      <c r="AY10" s="1314"/>
      <c r="AZ10" s="1314"/>
      <c r="BA10" s="1314"/>
      <c r="BB10" s="1318"/>
      <c r="BC10" s="3904"/>
      <c r="BE10" s="424"/>
      <c r="BF10" s="424"/>
      <c r="BG10" s="424"/>
      <c r="BH10" s="424"/>
    </row>
    <row r="11" spans="1:60" ht="11.25" hidden="1" customHeight="1">
      <c r="A11" s="1284"/>
      <c r="B11" s="1284"/>
      <c r="C11" s="1284"/>
      <c r="D11" s="1284"/>
      <c r="E11" s="3909"/>
      <c r="F11" s="3909"/>
      <c r="G11" s="3909"/>
      <c r="H11" s="3909"/>
      <c r="I11" s="3929"/>
      <c r="J11" s="3929"/>
      <c r="K11" s="3906"/>
      <c r="L11" s="1285"/>
      <c r="P11" s="3907"/>
      <c r="Q11" s="3907"/>
      <c r="R11" s="3964"/>
      <c r="S11" s="3959"/>
      <c r="T11" s="3978"/>
      <c r="U11" s="214"/>
      <c r="V11" s="1314"/>
      <c r="W11" s="1411"/>
      <c r="X11" s="1314"/>
      <c r="Y11" s="1411"/>
      <c r="Z11" s="1314"/>
      <c r="AA11" s="1314"/>
      <c r="AB11" s="1314"/>
      <c r="AC11" s="1314"/>
      <c r="AD11" s="3834"/>
      <c r="AE11" s="3944"/>
      <c r="AF11" s="3863"/>
      <c r="AG11" s="3981"/>
      <c r="AH11" s="3759"/>
      <c r="AI11" s="208"/>
      <c r="AJ11" s="344"/>
      <c r="AK11" s="229" t="s">
        <v>553</v>
      </c>
      <c r="AL11" s="1314"/>
      <c r="AM11" s="1314"/>
      <c r="AN11" s="1314"/>
      <c r="AO11" s="1314"/>
      <c r="AP11" s="1314"/>
      <c r="AQ11" s="1314"/>
      <c r="AR11" s="1314"/>
      <c r="AS11" s="1314"/>
      <c r="AT11" s="1314"/>
      <c r="AU11" s="1411"/>
      <c r="AV11" s="1314"/>
      <c r="AW11" s="1411"/>
      <c r="AX11" s="1314"/>
      <c r="AY11" s="1314"/>
      <c r="AZ11" s="1314"/>
      <c r="BA11" s="1314"/>
      <c r="BB11" s="1318"/>
      <c r="BC11" s="3904"/>
      <c r="BE11" s="424"/>
      <c r="BF11" s="424"/>
      <c r="BG11" s="424"/>
      <c r="BH11" s="424"/>
    </row>
    <row r="12" spans="1:60" ht="11.25" hidden="1" customHeight="1">
      <c r="A12" s="1284"/>
      <c r="B12" s="1284"/>
      <c r="C12" s="1284"/>
      <c r="D12" s="1284"/>
      <c r="E12" s="3909"/>
      <c r="F12" s="3909"/>
      <c r="G12" s="3909"/>
      <c r="H12" s="3909"/>
      <c r="I12" s="3929"/>
      <c r="J12" s="3929"/>
      <c r="K12" s="3906"/>
      <c r="L12" s="1285"/>
      <c r="P12" s="3907"/>
      <c r="Q12" s="3907"/>
      <c r="R12" s="3964"/>
      <c r="S12" s="3960"/>
      <c r="T12" s="3979"/>
      <c r="U12" s="214"/>
      <c r="V12" s="1314"/>
      <c r="W12" s="1315" t="str">
        <f>Z8&amp;"-"&amp;AB8</f>
        <v>-</v>
      </c>
      <c r="X12" s="1314"/>
      <c r="Y12" s="1315" t="str">
        <f>AB8&amp;"-"&amp;AD8</f>
        <v>-да</v>
      </c>
      <c r="Z12" s="1314"/>
      <c r="AA12" s="1314"/>
      <c r="AB12" s="1314"/>
      <c r="AC12" s="1314"/>
      <c r="AD12" s="3764"/>
      <c r="AE12" s="228"/>
      <c r="AF12" s="230"/>
      <c r="AG12" s="345" t="s">
        <v>535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904"/>
      <c r="BE12" s="424"/>
      <c r="BF12" s="424" t="str">
        <f t="shared" ref="BF12:BF18" si="1">IF(T12="","",T12)</f>
        <v/>
      </c>
      <c r="BG12" s="424"/>
      <c r="BH12" s="424"/>
    </row>
    <row r="13" spans="1:60" ht="11.25" hidden="1" customHeight="1">
      <c r="A13" s="1284"/>
      <c r="B13" s="1284"/>
      <c r="C13" s="1284"/>
      <c r="D13" s="1284"/>
      <c r="E13" s="3909"/>
      <c r="F13" s="3909"/>
      <c r="G13" s="3909"/>
      <c r="H13" s="3909"/>
      <c r="I13" s="3929"/>
      <c r="J13" s="3906"/>
      <c r="K13" s="1284"/>
      <c r="L13" s="1285"/>
      <c r="P13" s="3907"/>
      <c r="Q13" s="3907"/>
      <c r="R13" s="277"/>
      <c r="S13" s="1203"/>
      <c r="T13" s="202" t="s">
        <v>495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905"/>
      <c r="BE13" s="424"/>
      <c r="BF13" s="424" t="str">
        <f t="shared" si="1"/>
        <v>Добавить строку</v>
      </c>
      <c r="BG13" s="424"/>
      <c r="BH13" s="424"/>
    </row>
    <row r="14" spans="1:60" s="1562" customFormat="1" ht="14.25" hidden="1" customHeight="1">
      <c r="A14" s="1265"/>
      <c r="B14" s="1265"/>
      <c r="C14" s="1265"/>
      <c r="D14" s="1265"/>
      <c r="E14" s="3909"/>
      <c r="F14" s="3909"/>
      <c r="G14" s="3909"/>
      <c r="H14" s="3909"/>
      <c r="I14" s="3906"/>
      <c r="J14" s="1265"/>
      <c r="K14" s="1265"/>
      <c r="L14" s="1268"/>
      <c r="M14" s="434"/>
      <c r="N14" s="434"/>
      <c r="O14" s="434"/>
      <c r="P14" s="3907"/>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909"/>
      <c r="F15" s="3909"/>
      <c r="G15" s="3909"/>
      <c r="H15" s="3908"/>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909"/>
      <c r="F16" s="3909"/>
      <c r="G16" s="3908"/>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909"/>
      <c r="F17" s="3908"/>
      <c r="G17" s="1237"/>
      <c r="H17" s="1237"/>
      <c r="I17" s="1237"/>
      <c r="J17" s="1237"/>
      <c r="K17" s="1237"/>
      <c r="L17" s="1409"/>
      <c r="M17" s="1244"/>
      <c r="N17" s="1244"/>
      <c r="P17" s="1239"/>
      <c r="Q17" s="1240"/>
      <c r="R17" s="1239"/>
      <c r="S17" s="1245"/>
      <c r="T17" s="1248" t="s">
        <v>240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908"/>
      <c r="F18" s="1265"/>
      <c r="G18" s="1265"/>
      <c r="H18" s="1265"/>
      <c r="I18" s="1265"/>
      <c r="J18" s="1265"/>
      <c r="K18" s="1265"/>
      <c r="L18" s="1268"/>
      <c r="M18" s="1244"/>
      <c r="N18" s="1244"/>
      <c r="O18" s="442"/>
      <c r="P18" s="308"/>
      <c r="Q18" s="1266"/>
      <c r="R18" s="308"/>
      <c r="S18" s="1245"/>
      <c r="T18" s="1248" t="s">
        <v>241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446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447</v>
      </c>
      <c r="P24" s="1423"/>
      <c r="Q24" s="1425"/>
      <c r="R24" s="1425"/>
      <c r="AA24" s="1422" t="s">
        <v>449</v>
      </c>
      <c r="AC24" s="1422" t="s">
        <v>450</v>
      </c>
      <c r="AD24" s="1422" t="s">
        <v>496</v>
      </c>
      <c r="AH24" s="1422" t="s">
        <v>496</v>
      </c>
      <c r="AK24" s="1422" t="s">
        <v>536</v>
      </c>
      <c r="AL24" s="1422" t="s">
        <v>496</v>
      </c>
      <c r="AP24" s="1422" t="s">
        <v>496</v>
      </c>
      <c r="AY24" s="1422" t="s">
        <v>449</v>
      </c>
      <c r="BA24" s="1422" t="s">
        <v>450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8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892"/>
      <c r="U28" s="3892"/>
      <c r="V28" s="3892"/>
      <c r="W28" s="3892"/>
      <c r="X28" s="3892"/>
      <c r="Y28" s="3892"/>
      <c r="Z28" s="3892"/>
      <c r="AA28" s="3892"/>
      <c r="AB28" s="3892"/>
      <c r="AC28" s="3892"/>
      <c r="AD28" s="3892"/>
      <c r="AE28" s="3892"/>
      <c r="AF28" s="3892"/>
      <c r="AG28" s="3892"/>
      <c r="AH28" s="3892"/>
      <c r="AI28" s="3892"/>
      <c r="AJ28" s="3892"/>
      <c r="AK28" s="3892"/>
      <c r="AL28" s="3892"/>
      <c r="AM28" s="3892"/>
      <c r="AN28" s="3892"/>
      <c r="AO28" s="3892"/>
      <c r="AP28" s="3892"/>
      <c r="AQ28" s="3892"/>
      <c r="AR28" s="3892"/>
      <c r="AS28" s="3892"/>
      <c r="AT28" s="3892"/>
      <c r="AU28" s="3892"/>
      <c r="AV28" s="3892"/>
      <c r="AW28" s="3892"/>
      <c r="AX28" s="3892"/>
      <c r="AY28" s="3892"/>
      <c r="AZ28" s="3892"/>
      <c r="BA28" s="1157"/>
    </row>
    <row r="29" spans="1:60" ht="14.25" customHeight="1">
      <c r="Q29" s="206"/>
      <c r="R29" s="300"/>
      <c r="S29" s="3839" t="str">
        <f>IF(org=0,"Не определено",org)</f>
        <v>ГУП СК "Ставрополькрайводоканал"</v>
      </c>
      <c r="T29" s="3839"/>
      <c r="U29" s="3839"/>
      <c r="V29" s="3839"/>
      <c r="W29" s="3839"/>
      <c r="X29" s="3839"/>
      <c r="Y29" s="3839"/>
      <c r="Z29" s="3839"/>
      <c r="AA29" s="3839"/>
      <c r="AB29" s="3839"/>
      <c r="AC29" s="3839"/>
      <c r="AD29" s="3839"/>
      <c r="AE29" s="3839"/>
      <c r="AF29" s="3839"/>
      <c r="AG29" s="3839"/>
      <c r="AH29" s="3839"/>
      <c r="AI29" s="3839"/>
      <c r="AJ29" s="3839"/>
      <c r="AK29" s="3839"/>
      <c r="AL29" s="3839"/>
      <c r="AM29" s="3839"/>
      <c r="AN29" s="3839"/>
      <c r="AO29" s="3839"/>
      <c r="AP29" s="3839"/>
      <c r="AQ29" s="3839"/>
      <c r="AR29" s="3839"/>
      <c r="AS29" s="3839"/>
      <c r="AT29" s="3839"/>
      <c r="AU29" s="3839"/>
      <c r="AV29" s="3839"/>
      <c r="AW29" s="3839"/>
      <c r="AX29" s="3839"/>
      <c r="AY29" s="3839"/>
      <c r="AZ29" s="383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900" t="s">
        <v>38</v>
      </c>
      <c r="T31" s="3900"/>
      <c r="U31" s="1293"/>
      <c r="V31" s="3901" t="str">
        <f>IF(TITLE_NAME_OR_PR_CHANGE="",IF(TITLE_NAME_OR_PR="","",TITLE_NAME_OR_PR),TITLE_NAME_OR_PR_CHANGE)</f>
        <v>Региональная тарифная комиссия Ставропольского края</v>
      </c>
      <c r="W31" s="3901"/>
      <c r="X31" s="3901"/>
      <c r="Y31" s="3901"/>
      <c r="Z31" s="3901"/>
      <c r="AA31" s="3901"/>
      <c r="AB31" s="3901"/>
      <c r="AC31" s="248"/>
      <c r="AD31" s="3901" t="str">
        <f>IF(TITLE_NAME_OR_PR_CHANGE="",IF(TITLE_NAME_OR_PR="","",TITLE_NAME_OR_PR),TITLE_NAME_OR_PR_CHANGE)</f>
        <v>Региональная тарифная комиссия Ставропольского края</v>
      </c>
      <c r="AE31" s="3901"/>
      <c r="AF31" s="3901"/>
      <c r="AG31" s="3901"/>
      <c r="AH31" s="3901"/>
      <c r="AI31" s="3901"/>
      <c r="AJ31" s="3901"/>
      <c r="AK31" s="3901"/>
      <c r="AL31" s="3901"/>
      <c r="AM31" s="3901"/>
      <c r="AN31" s="3901"/>
      <c r="AO31" s="3901"/>
      <c r="AP31" s="3901"/>
      <c r="AQ31" s="3901"/>
      <c r="AR31" s="3901"/>
      <c r="AS31" s="3901"/>
      <c r="AT31" s="3901"/>
      <c r="AU31" s="3901"/>
      <c r="AV31" s="3901"/>
      <c r="AW31" s="3901"/>
      <c r="AX31" s="3901"/>
      <c r="AY31" s="3901"/>
      <c r="AZ31" s="3901"/>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900" t="s">
        <v>452</v>
      </c>
      <c r="T32" s="3900"/>
      <c r="U32" s="1293"/>
      <c r="V32" s="3910">
        <f>IF(TITLE_DATE_PR_CHANGE="",IF(TITLE_DATE_PR="","",TITLE_DATE_PR),TITLE_DATE_PR_CHANGE)</f>
        <v>45278</v>
      </c>
      <c r="W32" s="3910"/>
      <c r="X32" s="3910"/>
      <c r="Y32" s="3910"/>
      <c r="Z32" s="3910"/>
      <c r="AA32" s="3910"/>
      <c r="AB32" s="3910"/>
      <c r="AC32" s="248"/>
      <c r="AD32" s="3910">
        <f>IF(TITLE_DATE_PR_CHANGE="",IF(TITLE_DATE_PR="","",TITLE_DATE_PR),TITLE_DATE_PR_CHANGE)</f>
        <v>45278</v>
      </c>
      <c r="AE32" s="3910"/>
      <c r="AF32" s="3910"/>
      <c r="AG32" s="3910"/>
      <c r="AH32" s="3910"/>
      <c r="AI32" s="3910"/>
      <c r="AJ32" s="3910"/>
      <c r="AK32" s="3910"/>
      <c r="AL32" s="3910"/>
      <c r="AM32" s="3910"/>
      <c r="AN32" s="3910"/>
      <c r="AO32" s="3910"/>
      <c r="AP32" s="3910"/>
      <c r="AQ32" s="3910"/>
      <c r="AR32" s="3910"/>
      <c r="AS32" s="3910"/>
      <c r="AT32" s="3910"/>
      <c r="AU32" s="3910"/>
      <c r="AV32" s="3910"/>
      <c r="AW32" s="3910"/>
      <c r="AX32" s="3910"/>
      <c r="AY32" s="3910"/>
      <c r="AZ32" s="3910"/>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900" t="s">
        <v>453</v>
      </c>
      <c r="T33" s="3900"/>
      <c r="U33" s="1293"/>
      <c r="V33" s="3901" t="str">
        <f>IF(TITLE_NUMBER_PR_CHANGE="",IF(TITLE_NUMBER_PR="","",TITLE_NUMBER_PR),TITLE_NUMBER_PR_CHANGE)</f>
        <v>79/2</v>
      </c>
      <c r="W33" s="3901"/>
      <c r="X33" s="3901"/>
      <c r="Y33" s="3901"/>
      <c r="Z33" s="3901"/>
      <c r="AA33" s="3901"/>
      <c r="AB33" s="3901"/>
      <c r="AC33" s="248"/>
      <c r="AD33" s="3901" t="str">
        <f>IF(TITLE_NUMBER_PR_CHANGE="",IF(TITLE_NUMBER_PR="","",TITLE_NUMBER_PR),TITLE_NUMBER_PR_CHANGE)</f>
        <v>79/2</v>
      </c>
      <c r="AE33" s="3901"/>
      <c r="AF33" s="3901"/>
      <c r="AG33" s="3901"/>
      <c r="AH33" s="3901"/>
      <c r="AI33" s="3901"/>
      <c r="AJ33" s="3901"/>
      <c r="AK33" s="3901"/>
      <c r="AL33" s="3901"/>
      <c r="AM33" s="3901"/>
      <c r="AN33" s="3901"/>
      <c r="AO33" s="3901"/>
      <c r="AP33" s="3901"/>
      <c r="AQ33" s="3901"/>
      <c r="AR33" s="3901"/>
      <c r="AS33" s="3901"/>
      <c r="AT33" s="3901"/>
      <c r="AU33" s="3901"/>
      <c r="AV33" s="3901"/>
      <c r="AW33" s="3901"/>
      <c r="AX33" s="3901"/>
      <c r="AY33" s="3901"/>
      <c r="AZ33" s="3901"/>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900" t="s">
        <v>40</v>
      </c>
      <c r="T34" s="3900"/>
      <c r="U34" s="1293"/>
      <c r="V34" s="3901" t="str">
        <f>IF(TITLE_IST_PUB_CHANGE="",IF(TITLE_IST_PUB="","",TITLE_IST_PUB),TITLE_IST_PUB_CHANGE)</f>
        <v>http://pravo.stavregion.ru/</v>
      </c>
      <c r="W34" s="3901"/>
      <c r="X34" s="3901"/>
      <c r="Y34" s="3901"/>
      <c r="Z34" s="3901"/>
      <c r="AA34" s="3901"/>
      <c r="AB34" s="3901"/>
      <c r="AC34" s="248"/>
      <c r="AD34" s="3901" t="str">
        <f>IF(TITLE_IST_PUB_CHANGE="",IF(TITLE_IST_PUB="","",TITLE_IST_PUB),TITLE_IST_PUB_CHANGE)</f>
        <v>http://pravo.stavregion.ru/</v>
      </c>
      <c r="AE34" s="3901"/>
      <c r="AF34" s="3901"/>
      <c r="AG34" s="3901"/>
      <c r="AH34" s="3901"/>
      <c r="AI34" s="3901"/>
      <c r="AJ34" s="3901"/>
      <c r="AK34" s="3901"/>
      <c r="AL34" s="3901"/>
      <c r="AM34" s="3901"/>
      <c r="AN34" s="3901"/>
      <c r="AO34" s="3901"/>
      <c r="AP34" s="3901"/>
      <c r="AQ34" s="3901"/>
      <c r="AR34" s="3901"/>
      <c r="AS34" s="3901"/>
      <c r="AT34" s="3901"/>
      <c r="AU34" s="3901"/>
      <c r="AV34" s="3901"/>
      <c r="AW34" s="3901"/>
      <c r="AX34" s="3901"/>
      <c r="AY34" s="3901"/>
      <c r="AZ34" s="3901"/>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900" t="s">
        <v>452</v>
      </c>
      <c r="T36" s="3900"/>
      <c r="U36" s="1293"/>
      <c r="V36" s="3910">
        <f>IF(TITLE_DATE_PR_CHANGE="",IF(TITLE_DATE_PR="","",TITLE_DATE_PR),TITLE_DATE_PR_CHANGE)</f>
        <v>45278</v>
      </c>
      <c r="W36" s="3910"/>
      <c r="X36" s="3910"/>
      <c r="Y36" s="3910"/>
      <c r="Z36" s="3910"/>
      <c r="AA36" s="3910"/>
      <c r="AB36" s="3910"/>
      <c r="AC36" s="248"/>
      <c r="AD36" s="3910">
        <f>IF(TITLE_DATE_PR_CHANGE="",IF(TITLE_DATE_PR="","",TITLE_DATE_PR),TITLE_DATE_PR_CHANGE)</f>
        <v>45278</v>
      </c>
      <c r="AE36" s="3910"/>
      <c r="AF36" s="3910"/>
      <c r="AG36" s="3910"/>
      <c r="AH36" s="3910"/>
      <c r="AI36" s="3910"/>
      <c r="AJ36" s="3910"/>
      <c r="AK36" s="3910"/>
      <c r="AL36" s="3910"/>
      <c r="AM36" s="3910"/>
      <c r="AN36" s="3910"/>
      <c r="AO36" s="3910"/>
      <c r="AP36" s="3910"/>
      <c r="AQ36" s="3910"/>
      <c r="AR36" s="3910"/>
      <c r="AS36" s="3910"/>
      <c r="AT36" s="3910"/>
      <c r="AU36" s="3910"/>
      <c r="AV36" s="3910"/>
      <c r="AW36" s="3910"/>
      <c r="AX36" s="3910"/>
      <c r="AY36" s="3910"/>
      <c r="AZ36" s="3910"/>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900" t="s">
        <v>453</v>
      </c>
      <c r="T37" s="3900"/>
      <c r="U37" s="1293"/>
      <c r="V37" s="3901" t="str">
        <f>IF(TITLE_NUMBER_PR_CHANGE="",IF(TITLE_NUMBER_PR="","",TITLE_NUMBER_PR),TITLE_NUMBER_PR_CHANGE)</f>
        <v>79/2</v>
      </c>
      <c r="W37" s="3901"/>
      <c r="X37" s="3901"/>
      <c r="Y37" s="3901"/>
      <c r="Z37" s="3901"/>
      <c r="AA37" s="3901"/>
      <c r="AB37" s="3901"/>
      <c r="AC37" s="248"/>
      <c r="AD37" s="3901" t="str">
        <f>IF(TITLE_NUMBER_PR_CHANGE="",IF(TITLE_NUMBER_PR="","",TITLE_NUMBER_PR),TITLE_NUMBER_PR_CHANGE)</f>
        <v>79/2</v>
      </c>
      <c r="AE37" s="3901"/>
      <c r="AF37" s="3901"/>
      <c r="AG37" s="3901"/>
      <c r="AH37" s="3901"/>
      <c r="AI37" s="3901"/>
      <c r="AJ37" s="3901"/>
      <c r="AK37" s="3901"/>
      <c r="AL37" s="3901"/>
      <c r="AM37" s="3901"/>
      <c r="AN37" s="3901"/>
      <c r="AO37" s="3901"/>
      <c r="AP37" s="3901"/>
      <c r="AQ37" s="3901"/>
      <c r="AR37" s="3901"/>
      <c r="AS37" s="3901"/>
      <c r="AT37" s="3901"/>
      <c r="AU37" s="3901"/>
      <c r="AV37" s="3901"/>
      <c r="AW37" s="3901"/>
      <c r="AX37" s="3901"/>
      <c r="AY37" s="3901"/>
      <c r="AZ37" s="3901"/>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456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456</v>
      </c>
      <c r="BD38" s="292"/>
      <c r="BE38" s="292"/>
      <c r="BF38" s="292"/>
      <c r="BG38" s="292"/>
      <c r="BH38" s="292"/>
    </row>
    <row r="39" spans="1:60" ht="14.25" customHeight="1">
      <c r="Q39" s="206"/>
      <c r="R39" s="300"/>
      <c r="S39" s="1200"/>
      <c r="T39" s="286"/>
      <c r="U39" s="1158"/>
      <c r="V39" s="3902"/>
      <c r="W39" s="3902"/>
      <c r="X39" s="3902"/>
      <c r="Y39" s="3902"/>
      <c r="Z39" s="3902"/>
      <c r="AA39" s="3902"/>
      <c r="AB39" s="3902"/>
      <c r="AC39" s="3902"/>
      <c r="AD39" s="3902"/>
      <c r="AE39" s="3902"/>
      <c r="AF39" s="3902"/>
      <c r="AG39" s="3902"/>
      <c r="AH39" s="3902"/>
      <c r="AI39" s="3902"/>
      <c r="AJ39" s="3902"/>
      <c r="AK39" s="3902"/>
      <c r="AL39" s="3902"/>
      <c r="AM39" s="3902"/>
      <c r="AN39" s="3902"/>
      <c r="AO39" s="3902"/>
      <c r="AP39" s="3902"/>
      <c r="AQ39" s="3902"/>
      <c r="AR39" s="3902"/>
      <c r="AS39" s="3902"/>
      <c r="AT39" s="3902"/>
      <c r="AU39" s="3902"/>
      <c r="AV39" s="3902"/>
      <c r="AW39" s="3902"/>
      <c r="AX39" s="3902"/>
      <c r="AY39" s="3902"/>
      <c r="AZ39" s="3902"/>
      <c r="BA39" s="3902"/>
    </row>
    <row r="40" spans="1:60" ht="14.25" customHeight="1">
      <c r="Q40" s="206"/>
      <c r="R40" s="300"/>
      <c r="S40" s="3778" t="s">
        <v>329</v>
      </c>
      <c r="T40" s="3778"/>
      <c r="U40" s="3778"/>
      <c r="V40" s="3778"/>
      <c r="W40" s="3778"/>
      <c r="X40" s="3778"/>
      <c r="Y40" s="3778"/>
      <c r="Z40" s="3778"/>
      <c r="AA40" s="3778"/>
      <c r="AB40" s="3778"/>
      <c r="AC40" s="3778"/>
      <c r="AD40" s="3778"/>
      <c r="AE40" s="3778"/>
      <c r="AF40" s="3778"/>
      <c r="AG40" s="3778"/>
      <c r="AH40" s="3778"/>
      <c r="AI40" s="3778"/>
      <c r="AJ40" s="3778"/>
      <c r="AK40" s="3778"/>
      <c r="AL40" s="3778"/>
      <c r="AM40" s="3778"/>
      <c r="AN40" s="3778"/>
      <c r="AO40" s="3778"/>
      <c r="AP40" s="3778"/>
      <c r="AQ40" s="3778"/>
      <c r="AR40" s="3778"/>
      <c r="AS40" s="3778"/>
      <c r="AT40" s="3778"/>
      <c r="AU40" s="3778"/>
      <c r="AV40" s="3778"/>
      <c r="AW40" s="3778"/>
      <c r="AX40" s="3778"/>
      <c r="AY40" s="3778"/>
      <c r="AZ40" s="3778"/>
      <c r="BA40" s="3778"/>
      <c r="BB40" s="3778"/>
      <c r="BC40" s="3778" t="s">
        <v>330</v>
      </c>
    </row>
    <row r="41" spans="1:60" ht="14.25" customHeight="1">
      <c r="Q41" s="206"/>
      <c r="R41" s="300"/>
      <c r="S41" s="3916" t="s">
        <v>86</v>
      </c>
      <c r="T41" s="3868" t="s">
        <v>537</v>
      </c>
      <c r="U41" s="215"/>
      <c r="V41" s="3917" t="s">
        <v>458</v>
      </c>
      <c r="W41" s="3918"/>
      <c r="X41" s="3918"/>
      <c r="Y41" s="3918"/>
      <c r="Z41" s="3918"/>
      <c r="AA41" s="3918"/>
      <c r="AB41" s="3919"/>
      <c r="AC41" s="3920" t="s">
        <v>459</v>
      </c>
      <c r="AD41" s="3946" t="s">
        <v>554</v>
      </c>
      <c r="AE41" s="3932"/>
      <c r="AF41" s="3932"/>
      <c r="AG41" s="3947"/>
      <c r="AH41" s="3946" t="s">
        <v>555</v>
      </c>
      <c r="AI41" s="3932"/>
      <c r="AJ41" s="3932"/>
      <c r="AK41" s="3947"/>
      <c r="AL41" s="3946" t="s">
        <v>556</v>
      </c>
      <c r="AM41" s="3932"/>
      <c r="AN41" s="3932"/>
      <c r="AO41" s="3947"/>
      <c r="AP41" s="3946" t="s">
        <v>541</v>
      </c>
      <c r="AQ41" s="3932"/>
      <c r="AR41" s="3932"/>
      <c r="AS41" s="3947"/>
      <c r="AT41" s="3917" t="s">
        <v>458</v>
      </c>
      <c r="AU41" s="3918"/>
      <c r="AV41" s="3918"/>
      <c r="AW41" s="3918"/>
      <c r="AX41" s="3918"/>
      <c r="AY41" s="3918"/>
      <c r="AZ41" s="3919"/>
      <c r="BA41" s="3920" t="s">
        <v>459</v>
      </c>
      <c r="BB41" s="3923" t="s">
        <v>461</v>
      </c>
      <c r="BC41" s="3778"/>
    </row>
    <row r="42" spans="1:60" ht="33.75" customHeight="1">
      <c r="Q42" s="206"/>
      <c r="R42" s="300"/>
      <c r="S42" s="3916"/>
      <c r="T42" s="3868"/>
      <c r="U42" s="942"/>
      <c r="V42" s="3853" t="s">
        <v>542</v>
      </c>
      <c r="W42" s="3854"/>
      <c r="X42" s="3853" t="s">
        <v>543</v>
      </c>
      <c r="Y42" s="3854"/>
      <c r="Z42" s="3853" t="s">
        <v>544</v>
      </c>
      <c r="AA42" s="3941"/>
      <c r="AB42" s="3854"/>
      <c r="AC42" s="3921"/>
      <c r="AD42" s="3948"/>
      <c r="AE42" s="3949"/>
      <c r="AF42" s="3949"/>
      <c r="AG42" s="3950"/>
      <c r="AH42" s="3948"/>
      <c r="AI42" s="3949"/>
      <c r="AJ42" s="3949"/>
      <c r="AK42" s="3950"/>
      <c r="AL42" s="3948"/>
      <c r="AM42" s="3949"/>
      <c r="AN42" s="3949"/>
      <c r="AO42" s="3950"/>
      <c r="AP42" s="3948"/>
      <c r="AQ42" s="3949"/>
      <c r="AR42" s="3949"/>
      <c r="AS42" s="3950"/>
      <c r="AT42" s="3853" t="s">
        <v>557</v>
      </c>
      <c r="AU42" s="3854"/>
      <c r="AV42" s="3853" t="s">
        <v>558</v>
      </c>
      <c r="AW42" s="3854"/>
      <c r="AX42" s="3853" t="s">
        <v>544</v>
      </c>
      <c r="AY42" s="3941"/>
      <c r="AZ42" s="3854"/>
      <c r="BA42" s="3921"/>
      <c r="BB42" s="3924"/>
      <c r="BC42" s="3778"/>
    </row>
    <row r="43" spans="1:60" ht="14.25" customHeight="1">
      <c r="Q43" s="206"/>
      <c r="R43" s="300"/>
      <c r="S43" s="3916"/>
      <c r="T43" s="3868"/>
      <c r="U43" s="942"/>
      <c r="V43" s="3858"/>
      <c r="W43" s="3859"/>
      <c r="X43" s="3858"/>
      <c r="Y43" s="3859"/>
      <c r="Z43" s="3858"/>
      <c r="AA43" s="3942"/>
      <c r="AB43" s="3859"/>
      <c r="AC43" s="3921"/>
      <c r="AD43" s="3948"/>
      <c r="AE43" s="3949"/>
      <c r="AF43" s="3949"/>
      <c r="AG43" s="3950"/>
      <c r="AH43" s="3948"/>
      <c r="AI43" s="3949"/>
      <c r="AJ43" s="3949"/>
      <c r="AK43" s="3950"/>
      <c r="AL43" s="3948"/>
      <c r="AM43" s="3949"/>
      <c r="AN43" s="3949"/>
      <c r="AO43" s="3950"/>
      <c r="AP43" s="3948"/>
      <c r="AQ43" s="3949"/>
      <c r="AR43" s="3949"/>
      <c r="AS43" s="3950"/>
      <c r="AT43" s="3858"/>
      <c r="AU43" s="3859"/>
      <c r="AV43" s="3858"/>
      <c r="AW43" s="3859"/>
      <c r="AX43" s="3858"/>
      <c r="AY43" s="3942"/>
      <c r="AZ43" s="3859"/>
      <c r="BA43" s="3921"/>
      <c r="BB43" s="3924"/>
      <c r="BC43" s="3778"/>
    </row>
    <row r="44" spans="1:60" ht="14.25" customHeight="1">
      <c r="A44" s="1291"/>
      <c r="B44" s="1291" t="s">
        <v>153</v>
      </c>
      <c r="C44" s="1291" t="s">
        <v>154</v>
      </c>
      <c r="D44" s="1291" t="s">
        <v>155</v>
      </c>
      <c r="E44" s="1285" t="s">
        <v>466</v>
      </c>
      <c r="F44" s="1285" t="s">
        <v>467</v>
      </c>
      <c r="G44" s="1285" t="s">
        <v>468</v>
      </c>
      <c r="H44" s="1285" t="s">
        <v>469</v>
      </c>
      <c r="I44" s="1285" t="s">
        <v>470</v>
      </c>
      <c r="J44" s="1285" t="s">
        <v>471</v>
      </c>
      <c r="K44" s="1285" t="s">
        <v>472</v>
      </c>
      <c r="L44" s="1285" t="s">
        <v>447</v>
      </c>
      <c r="Q44" s="206"/>
      <c r="R44" s="300"/>
      <c r="S44" s="3916"/>
      <c r="T44" s="3868"/>
      <c r="U44" s="216"/>
      <c r="V44" s="1394" t="s">
        <v>506</v>
      </c>
      <c r="W44" s="1394" t="s">
        <v>507</v>
      </c>
      <c r="X44" s="1394" t="s">
        <v>506</v>
      </c>
      <c r="Y44" s="1394" t="s">
        <v>507</v>
      </c>
      <c r="Z44" s="1404" t="s">
        <v>475</v>
      </c>
      <c r="AA44" s="3876" t="s">
        <v>476</v>
      </c>
      <c r="AB44" s="3878"/>
      <c r="AC44" s="3922"/>
      <c r="AD44" s="3951"/>
      <c r="AE44" s="3952"/>
      <c r="AF44" s="3952"/>
      <c r="AG44" s="3953"/>
      <c r="AH44" s="3951"/>
      <c r="AI44" s="3952"/>
      <c r="AJ44" s="3952"/>
      <c r="AK44" s="3953"/>
      <c r="AL44" s="3951"/>
      <c r="AM44" s="3952"/>
      <c r="AN44" s="3952"/>
      <c r="AO44" s="3953"/>
      <c r="AP44" s="3951"/>
      <c r="AQ44" s="3952"/>
      <c r="AR44" s="3952"/>
      <c r="AS44" s="3953"/>
      <c r="AT44" s="1394" t="s">
        <v>506</v>
      </c>
      <c r="AU44" s="1394" t="s">
        <v>507</v>
      </c>
      <c r="AV44" s="1394" t="s">
        <v>506</v>
      </c>
      <c r="AW44" s="1394" t="s">
        <v>507</v>
      </c>
      <c r="AX44" s="1404" t="s">
        <v>475</v>
      </c>
      <c r="AY44" s="3876" t="s">
        <v>476</v>
      </c>
      <c r="AZ44" s="3878"/>
      <c r="BA44" s="3922"/>
      <c r="BB44" s="3925"/>
      <c r="BC44" s="3778"/>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129</v>
      </c>
      <c r="T45" s="1177" t="s">
        <v>102</v>
      </c>
      <c r="U45" s="1159" t="str">
        <f ca="1">OFFSET(U45,0,-1)</f>
        <v>2</v>
      </c>
      <c r="V45" s="1397">
        <f t="shared" ref="V45:AA45" ca="1" si="2">OFFSET(V45,0,-1)+1</f>
        <v>3</v>
      </c>
      <c r="W45" s="1397">
        <f t="shared" ca="1" si="2"/>
        <v>4</v>
      </c>
      <c r="X45" s="1397">
        <f t="shared" ca="1" si="2"/>
        <v>5</v>
      </c>
      <c r="Y45" s="1397">
        <f t="shared" ca="1" si="2"/>
        <v>6</v>
      </c>
      <c r="Z45" s="1397">
        <f t="shared" ca="1" si="2"/>
        <v>7</v>
      </c>
      <c r="AA45" s="3915">
        <f t="shared" ca="1" si="2"/>
        <v>8</v>
      </c>
      <c r="AB45" s="3915"/>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3915">
        <f ca="1">OFFSET(AY45,0,-1)+1</f>
        <v>3</v>
      </c>
      <c r="AZ45" s="3915"/>
      <c r="BA45" s="1397">
        <f ca="1">OFFSET(BA45,0,-2)+1</f>
        <v>4</v>
      </c>
      <c r="BB45" s="1159">
        <f ca="1">OFFSET(BB45,0,-1)</f>
        <v>4</v>
      </c>
      <c r="BC45" s="1397">
        <f ca="1">OFFSET(BC45,0,-1)+1</f>
        <v>5</v>
      </c>
      <c r="BD45" s="435"/>
      <c r="BE45" s="435"/>
      <c r="BF45" s="435"/>
      <c r="BG45" s="435"/>
      <c r="BH45" s="435"/>
    </row>
    <row r="46" spans="1:60" ht="21" customHeight="1">
      <c r="A46" s="1284" t="s">
        <v>305</v>
      </c>
      <c r="B46" s="1284"/>
      <c r="C46" s="1284"/>
      <c r="D46" s="1284"/>
      <c r="E46" s="3908">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141</v>
      </c>
      <c r="U46" s="214"/>
      <c r="V46" s="3895"/>
      <c r="W46" s="3895"/>
      <c r="X46" s="3895"/>
      <c r="Y46" s="3895"/>
      <c r="Z46" s="3895"/>
      <c r="AA46" s="3895"/>
      <c r="AB46" s="3895"/>
      <c r="AC46" s="3896"/>
      <c r="AD46" s="3894" t="str">
        <f>INDEX(PT_DIFFERENTIATION_NTAR,MATCH(A46,PT_DIFFERENTIATION_NTAR_ID,0))</f>
        <v/>
      </c>
      <c r="AE46" s="3895"/>
      <c r="AF46" s="3895"/>
      <c r="AG46" s="3895"/>
      <c r="AH46" s="3895"/>
      <c r="AI46" s="3895"/>
      <c r="AJ46" s="3895"/>
      <c r="AK46" s="3895"/>
      <c r="AL46" s="3895"/>
      <c r="AM46" s="3895"/>
      <c r="AN46" s="3895"/>
      <c r="AO46" s="3895"/>
      <c r="AP46" s="3895"/>
      <c r="AQ46" s="3895"/>
      <c r="AR46" s="3895"/>
      <c r="AS46" s="3895"/>
      <c r="AT46" s="3895"/>
      <c r="AU46" s="3895"/>
      <c r="AV46" s="3895"/>
      <c r="AW46" s="3895"/>
      <c r="AX46" s="3895"/>
      <c r="AY46" s="3895"/>
      <c r="AZ46" s="3895"/>
      <c r="BA46" s="3895"/>
      <c r="BB46" s="389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305</v>
      </c>
      <c r="B47" s="1284" t="s">
        <v>306</v>
      </c>
      <c r="C47" s="1284"/>
      <c r="D47" s="1284"/>
      <c r="E47" s="3909"/>
      <c r="F47" s="3908">
        <v>1</v>
      </c>
      <c r="G47" s="1284"/>
      <c r="H47" s="1284"/>
      <c r="I47" s="1284"/>
      <c r="J47" s="1284"/>
      <c r="K47" s="1284"/>
      <c r="L47" s="1285"/>
      <c r="M47" s="1286"/>
      <c r="N47" s="1286"/>
      <c r="O47" s="1286"/>
      <c r="P47" s="1331"/>
      <c r="Q47" s="1332"/>
      <c r="R47" s="274"/>
      <c r="S47" s="1408" t="str">
        <f>INDEX(PT_DIFFERENTIATION_NUM_TER,MATCH(B47,PT_DIFFERENTIATION_TER_ID,0))</f>
        <v>.</v>
      </c>
      <c r="T47" s="224" t="s">
        <v>428</v>
      </c>
      <c r="U47" s="214"/>
      <c r="V47" s="3895"/>
      <c r="W47" s="3895"/>
      <c r="X47" s="3895"/>
      <c r="Y47" s="3895"/>
      <c r="Z47" s="3895"/>
      <c r="AA47" s="3895"/>
      <c r="AB47" s="3895"/>
      <c r="AC47" s="3896"/>
      <c r="AD47" s="3894" t="str">
        <f>INDEX(PT_DIFFERENTIATION_TER,MATCH(B47,PT_DIFFERENTIATION_TER_ID,0))</f>
        <v/>
      </c>
      <c r="AE47" s="3895"/>
      <c r="AF47" s="3895"/>
      <c r="AG47" s="3895"/>
      <c r="AH47" s="3895"/>
      <c r="AI47" s="3895"/>
      <c r="AJ47" s="3895"/>
      <c r="AK47" s="3895"/>
      <c r="AL47" s="3895"/>
      <c r="AM47" s="3895"/>
      <c r="AN47" s="3895"/>
      <c r="AO47" s="3895"/>
      <c r="AP47" s="3895"/>
      <c r="AQ47" s="3895"/>
      <c r="AR47" s="3895"/>
      <c r="AS47" s="3895"/>
      <c r="AT47" s="3895"/>
      <c r="AU47" s="3895"/>
      <c r="AV47" s="3895"/>
      <c r="AW47" s="3895"/>
      <c r="AX47" s="3895"/>
      <c r="AY47" s="3895"/>
      <c r="AZ47" s="3895"/>
      <c r="BA47" s="3895"/>
      <c r="BB47" s="3896"/>
      <c r="BC47" s="1182" t="s">
        <v>429</v>
      </c>
      <c r="BE47" s="424"/>
      <c r="BF47" s="424" t="str">
        <f t="shared" si="3"/>
        <v>Территория действия тарифа</v>
      </c>
      <c r="BG47" s="424"/>
      <c r="BH47" s="424"/>
    </row>
    <row r="48" spans="1:60" ht="33.75" customHeight="1">
      <c r="A48" s="1284" t="s">
        <v>305</v>
      </c>
      <c r="B48" s="1284" t="s">
        <v>306</v>
      </c>
      <c r="C48" s="1284" t="s">
        <v>307</v>
      </c>
      <c r="D48" s="1284"/>
      <c r="E48" s="3909"/>
      <c r="F48" s="3909"/>
      <c r="G48" s="3908">
        <v>1</v>
      </c>
      <c r="H48" s="1284"/>
      <c r="I48" s="1284"/>
      <c r="J48" s="1284"/>
      <c r="K48" s="1284"/>
      <c r="L48" s="1285"/>
      <c r="M48" s="1286"/>
      <c r="N48" s="1286"/>
      <c r="O48" s="1286"/>
      <c r="P48" s="1333"/>
      <c r="Q48" s="1332"/>
      <c r="R48" s="274"/>
      <c r="S48" s="1408" t="str">
        <f>INDEX(PT_DIFFERENTIATION_NUM_CS,MATCH(C48,PT_DIFFERENTIATION_CS_ID,0))</f>
        <v>..</v>
      </c>
      <c r="T48" s="225" t="s">
        <v>546</v>
      </c>
      <c r="U48" s="214"/>
      <c r="V48" s="3895"/>
      <c r="W48" s="3895"/>
      <c r="X48" s="3895"/>
      <c r="Y48" s="3895"/>
      <c r="Z48" s="3895"/>
      <c r="AA48" s="3895"/>
      <c r="AB48" s="3895"/>
      <c r="AC48" s="3896"/>
      <c r="AD48" s="3894" t="str">
        <f>INDEX(PT_DIFFERENTIATION_CS,MATCH(C48,PT_DIFFERENTIATION_CS_ID,0))</f>
        <v/>
      </c>
      <c r="AE48" s="3895"/>
      <c r="AF48" s="3895"/>
      <c r="AG48" s="3895"/>
      <c r="AH48" s="3895"/>
      <c r="AI48" s="3895"/>
      <c r="AJ48" s="3895"/>
      <c r="AK48" s="3895"/>
      <c r="AL48" s="3895"/>
      <c r="AM48" s="3895"/>
      <c r="AN48" s="3895"/>
      <c r="AO48" s="3895"/>
      <c r="AP48" s="3895"/>
      <c r="AQ48" s="3895"/>
      <c r="AR48" s="3895"/>
      <c r="AS48" s="3895"/>
      <c r="AT48" s="3895"/>
      <c r="AU48" s="3895"/>
      <c r="AV48" s="3895"/>
      <c r="AW48" s="3895"/>
      <c r="AX48" s="3895"/>
      <c r="AY48" s="3895"/>
      <c r="AZ48" s="3895"/>
      <c r="BA48" s="3895"/>
      <c r="BB48" s="3896"/>
      <c r="BC48" s="1182" t="s">
        <v>547</v>
      </c>
      <c r="BE48" s="424"/>
      <c r="BF48" s="424" t="str">
        <f t="shared" si="3"/>
        <v>Наименование централизованной системы водоотведения</v>
      </c>
      <c r="BG48" s="424"/>
      <c r="BH48" s="424"/>
    </row>
    <row r="49" spans="1:60" s="1562" customFormat="1" ht="0" hidden="1" customHeight="1">
      <c r="A49" s="1265" t="s">
        <v>305</v>
      </c>
      <c r="B49" s="1265" t="s">
        <v>306</v>
      </c>
      <c r="C49" s="1265" t="s">
        <v>307</v>
      </c>
      <c r="D49" s="1265" t="s">
        <v>559</v>
      </c>
      <c r="E49" s="3909"/>
      <c r="F49" s="3909"/>
      <c r="G49" s="3909"/>
      <c r="H49" s="3908">
        <v>1</v>
      </c>
      <c r="I49" s="1265"/>
      <c r="J49" s="1265"/>
      <c r="K49" s="1265"/>
      <c r="L49" s="1268"/>
      <c r="M49" s="1238"/>
      <c r="N49" s="1238"/>
      <c r="O49" s="1238"/>
      <c r="P49" s="1412"/>
      <c r="Q49" s="1413"/>
      <c r="R49" s="278"/>
      <c r="S49" s="953"/>
      <c r="T49" s="1414"/>
      <c r="U49" s="1305"/>
      <c r="V49" s="3936"/>
      <c r="W49" s="3936"/>
      <c r="X49" s="3936"/>
      <c r="Y49" s="3936"/>
      <c r="Z49" s="3936"/>
      <c r="AA49" s="3936"/>
      <c r="AB49" s="3936"/>
      <c r="AC49" s="3937"/>
      <c r="AD49" s="3935"/>
      <c r="AE49" s="3936"/>
      <c r="AF49" s="3936"/>
      <c r="AG49" s="3936"/>
      <c r="AH49" s="3936"/>
      <c r="AI49" s="3936"/>
      <c r="AJ49" s="3936"/>
      <c r="AK49" s="3936"/>
      <c r="AL49" s="3936"/>
      <c r="AM49" s="3936"/>
      <c r="AN49" s="3936"/>
      <c r="AO49" s="3936"/>
      <c r="AP49" s="3936"/>
      <c r="AQ49" s="3936"/>
      <c r="AR49" s="3936"/>
      <c r="AS49" s="3936"/>
      <c r="AT49" s="3936"/>
      <c r="AU49" s="3936"/>
      <c r="AV49" s="3936"/>
      <c r="AW49" s="3936"/>
      <c r="AX49" s="3936"/>
      <c r="AY49" s="3936"/>
      <c r="AZ49" s="3936"/>
      <c r="BA49" s="3936"/>
      <c r="BB49" s="3937"/>
      <c r="BC49" s="1306" t="s">
        <v>433</v>
      </c>
      <c r="BE49" s="424"/>
      <c r="BF49" s="424" t="str">
        <f t="shared" si="3"/>
        <v/>
      </c>
      <c r="BG49" s="424"/>
      <c r="BH49" s="424"/>
    </row>
    <row r="50" spans="1:60" s="1562" customFormat="1" ht="0" hidden="1" customHeight="1">
      <c r="A50" s="1265" t="s">
        <v>305</v>
      </c>
      <c r="B50" s="1265" t="s">
        <v>306</v>
      </c>
      <c r="C50" s="1265" t="s">
        <v>307</v>
      </c>
      <c r="D50" s="1265" t="s">
        <v>559</v>
      </c>
      <c r="E50" s="3909"/>
      <c r="F50" s="3909"/>
      <c r="G50" s="3909"/>
      <c r="H50" s="3909"/>
      <c r="I50" s="3906" t="str">
        <f>S49&amp;".1"</f>
        <v>.1</v>
      </c>
      <c r="J50" s="1265"/>
      <c r="K50" s="1265"/>
      <c r="L50" s="1268" t="s">
        <v>434</v>
      </c>
      <c r="M50" s="434"/>
      <c r="N50" s="434"/>
      <c r="O50" s="434"/>
      <c r="P50" s="3907">
        <v>1</v>
      </c>
      <c r="Q50" s="1396"/>
      <c r="R50" s="277"/>
      <c r="S50" s="953"/>
      <c r="T50" s="1304"/>
      <c r="U50" s="1305"/>
      <c r="V50" s="3936"/>
      <c r="W50" s="3936"/>
      <c r="X50" s="3936"/>
      <c r="Y50" s="3936"/>
      <c r="Z50" s="3936"/>
      <c r="AA50" s="3936"/>
      <c r="AB50" s="3936"/>
      <c r="AC50" s="3937"/>
      <c r="AD50" s="3935"/>
      <c r="AE50" s="3936"/>
      <c r="AF50" s="3936"/>
      <c r="AG50" s="3936"/>
      <c r="AH50" s="3936"/>
      <c r="AI50" s="3936"/>
      <c r="AJ50" s="3936"/>
      <c r="AK50" s="3936"/>
      <c r="AL50" s="3936"/>
      <c r="AM50" s="3936"/>
      <c r="AN50" s="3936"/>
      <c r="AO50" s="3936"/>
      <c r="AP50" s="3936"/>
      <c r="AQ50" s="3936"/>
      <c r="AR50" s="3936"/>
      <c r="AS50" s="3936"/>
      <c r="AT50" s="3936"/>
      <c r="AU50" s="3936"/>
      <c r="AV50" s="3936"/>
      <c r="AW50" s="3936"/>
      <c r="AX50" s="3936"/>
      <c r="AY50" s="3936"/>
      <c r="AZ50" s="3936"/>
      <c r="BA50" s="3936"/>
      <c r="BB50" s="3937"/>
      <c r="BC50" s="1306"/>
      <c r="BE50" s="424"/>
      <c r="BF50" s="424" t="str">
        <f t="shared" si="3"/>
        <v/>
      </c>
      <c r="BG50" s="424"/>
      <c r="BH50" s="424"/>
    </row>
    <row r="51" spans="1:60" s="1562" customFormat="1" ht="0" hidden="1" customHeight="1">
      <c r="A51" s="1265" t="s">
        <v>305</v>
      </c>
      <c r="B51" s="1265" t="s">
        <v>306</v>
      </c>
      <c r="C51" s="1265" t="s">
        <v>307</v>
      </c>
      <c r="D51" s="1265" t="s">
        <v>559</v>
      </c>
      <c r="E51" s="3909"/>
      <c r="F51" s="3909"/>
      <c r="G51" s="3909"/>
      <c r="H51" s="3909"/>
      <c r="I51" s="3929"/>
      <c r="J51" s="3906" t="str">
        <f>S49&amp;".1"</f>
        <v>.1</v>
      </c>
      <c r="K51" s="1265"/>
      <c r="L51" s="1268"/>
      <c r="M51" s="434"/>
      <c r="N51" s="434"/>
      <c r="O51" s="434"/>
      <c r="P51" s="3907"/>
      <c r="Q51" s="3907">
        <v>1</v>
      </c>
      <c r="R51" s="278"/>
      <c r="S51" s="953"/>
      <c r="T51" s="1320"/>
      <c r="U51" s="1305"/>
      <c r="V51" s="3936"/>
      <c r="W51" s="3936"/>
      <c r="X51" s="3936"/>
      <c r="Y51" s="3936"/>
      <c r="Z51" s="3936"/>
      <c r="AA51" s="3936"/>
      <c r="AB51" s="3936"/>
      <c r="AC51" s="3937"/>
      <c r="AD51" s="3935"/>
      <c r="AE51" s="3936"/>
      <c r="AF51" s="3936"/>
      <c r="AG51" s="3936"/>
      <c r="AH51" s="3936"/>
      <c r="AI51" s="3936"/>
      <c r="AJ51" s="3936"/>
      <c r="AK51" s="3936"/>
      <c r="AL51" s="3936"/>
      <c r="AM51" s="3936"/>
      <c r="AN51" s="3982"/>
      <c r="AO51" s="3982"/>
      <c r="AP51" s="3936"/>
      <c r="AQ51" s="3936"/>
      <c r="AR51" s="3936"/>
      <c r="AS51" s="3936"/>
      <c r="AT51" s="3936"/>
      <c r="AU51" s="3936"/>
      <c r="AV51" s="3936"/>
      <c r="AW51" s="3936"/>
      <c r="AX51" s="3936"/>
      <c r="AY51" s="3936"/>
      <c r="AZ51" s="3936"/>
      <c r="BA51" s="3936"/>
      <c r="BB51" s="3937"/>
      <c r="BC51" s="1306"/>
      <c r="BE51" s="424"/>
      <c r="BF51" s="424" t="str">
        <f t="shared" si="3"/>
        <v/>
      </c>
      <c r="BG51" s="424"/>
      <c r="BH51" s="424"/>
    </row>
    <row r="52" spans="1:60" ht="11.25" customHeight="1">
      <c r="A52" s="1284" t="s">
        <v>305</v>
      </c>
      <c r="B52" s="1284" t="s">
        <v>306</v>
      </c>
      <c r="C52" s="1284" t="s">
        <v>307</v>
      </c>
      <c r="D52" s="1284" t="s">
        <v>559</v>
      </c>
      <c r="E52" s="3909"/>
      <c r="F52" s="3909"/>
      <c r="G52" s="3909"/>
      <c r="H52" s="3909"/>
      <c r="I52" s="3929"/>
      <c r="J52" s="3929"/>
      <c r="K52" s="3906" t="str">
        <f>S48&amp;".1"</f>
        <v>...1</v>
      </c>
      <c r="L52" s="1285"/>
      <c r="P52" s="3907"/>
      <c r="Q52" s="3907"/>
      <c r="R52" s="278">
        <v>1</v>
      </c>
      <c r="S52" s="3958" t="str">
        <f>$K52</f>
        <v>...1</v>
      </c>
      <c r="T52" s="3977"/>
      <c r="U52" s="214"/>
      <c r="V52" s="666"/>
      <c r="W52" s="1181"/>
      <c r="X52" s="666"/>
      <c r="Y52" s="1181"/>
      <c r="Z52" s="1653"/>
      <c r="AA52" s="1385" t="s">
        <v>60</v>
      </c>
      <c r="AB52" s="1653"/>
      <c r="AC52" s="1385" t="s">
        <v>60</v>
      </c>
      <c r="AD52" s="3833" t="s">
        <v>60</v>
      </c>
      <c r="AE52" s="3944"/>
      <c r="AF52" s="3863">
        <v>1</v>
      </c>
      <c r="AG52" s="3981"/>
      <c r="AH52" s="3759" t="s">
        <v>60</v>
      </c>
      <c r="AI52" s="3944"/>
      <c r="AJ52" s="3863">
        <v>1</v>
      </c>
      <c r="AK52" s="3980" t="s">
        <v>24</v>
      </c>
      <c r="AL52" s="3759" t="s">
        <v>60</v>
      </c>
      <c r="AM52" s="3853"/>
      <c r="AN52" s="3863">
        <v>1</v>
      </c>
      <c r="AO52" s="3974"/>
      <c r="AP52" s="3975" t="s">
        <v>60</v>
      </c>
      <c r="AQ52" s="227"/>
      <c r="AR52" s="1401">
        <v>1</v>
      </c>
      <c r="AS52" s="1407" t="s">
        <v>24</v>
      </c>
      <c r="AT52" s="666"/>
      <c r="AU52" s="1181"/>
      <c r="AV52" s="666"/>
      <c r="AW52" s="1181"/>
      <c r="AX52" s="1653"/>
      <c r="AY52" s="1385" t="s">
        <v>60</v>
      </c>
      <c r="AZ52" s="1653"/>
      <c r="BA52" s="1385" t="s">
        <v>60</v>
      </c>
      <c r="BB52" s="1270"/>
      <c r="BC52" s="3903" t="s">
        <v>531</v>
      </c>
      <c r="BE52" s="424"/>
      <c r="BF52" s="424" t="str">
        <f t="shared" si="3"/>
        <v/>
      </c>
      <c r="BG52" s="424"/>
      <c r="BH52" s="424"/>
    </row>
    <row r="53" spans="1:60" ht="11.25" customHeight="1">
      <c r="A53" s="1284"/>
      <c r="B53" s="1284"/>
      <c r="C53" s="1284"/>
      <c r="D53" s="1284"/>
      <c r="E53" s="3909"/>
      <c r="F53" s="3909"/>
      <c r="G53" s="3909"/>
      <c r="H53" s="3909"/>
      <c r="I53" s="3929"/>
      <c r="J53" s="3929"/>
      <c r="K53" s="3906"/>
      <c r="L53" s="1285"/>
      <c r="P53" s="3907"/>
      <c r="Q53" s="3907"/>
      <c r="R53" s="278"/>
      <c r="S53" s="3959"/>
      <c r="T53" s="3978"/>
      <c r="U53" s="214"/>
      <c r="V53" s="1314"/>
      <c r="W53" s="1411"/>
      <c r="X53" s="1314"/>
      <c r="Y53" s="1411"/>
      <c r="Z53" s="1314"/>
      <c r="AA53" s="1314"/>
      <c r="AB53" s="1314"/>
      <c r="AC53" s="1314"/>
      <c r="AD53" s="3834"/>
      <c r="AE53" s="3944"/>
      <c r="AF53" s="3863"/>
      <c r="AG53" s="3981"/>
      <c r="AH53" s="3759"/>
      <c r="AI53" s="3944"/>
      <c r="AJ53" s="3863"/>
      <c r="AK53" s="3980"/>
      <c r="AL53" s="3759"/>
      <c r="AM53" s="3858"/>
      <c r="AN53" s="3863"/>
      <c r="AO53" s="3974"/>
      <c r="AP53" s="3976"/>
      <c r="AQ53" s="234"/>
      <c r="AR53" s="345"/>
      <c r="AS53" s="345" t="s">
        <v>532</v>
      </c>
      <c r="AT53" s="1314"/>
      <c r="AU53" s="1411"/>
      <c r="AV53" s="1314"/>
      <c r="AW53" s="1411"/>
      <c r="AX53" s="1314"/>
      <c r="AY53" s="1314"/>
      <c r="AZ53" s="1314"/>
      <c r="BA53" s="1314"/>
      <c r="BB53" s="1318"/>
      <c r="BC53" s="3904"/>
      <c r="BE53" s="424"/>
      <c r="BF53" s="424"/>
      <c r="BG53" s="424"/>
      <c r="BH53" s="424"/>
    </row>
    <row r="54" spans="1:60" ht="11.25" customHeight="1">
      <c r="A54" s="1284" t="s">
        <v>305</v>
      </c>
      <c r="B54" s="1284"/>
      <c r="C54" s="1284"/>
      <c r="D54" s="1284"/>
      <c r="E54" s="3909"/>
      <c r="F54" s="3909"/>
      <c r="G54" s="3909"/>
      <c r="H54" s="3909"/>
      <c r="I54" s="3929"/>
      <c r="J54" s="3929"/>
      <c r="K54" s="3906"/>
      <c r="L54" s="1285"/>
      <c r="P54" s="3907"/>
      <c r="Q54" s="3907"/>
      <c r="R54" s="278"/>
      <c r="S54" s="3959"/>
      <c r="T54" s="3978"/>
      <c r="U54" s="214"/>
      <c r="V54" s="1314"/>
      <c r="W54" s="1411"/>
      <c r="X54" s="1314"/>
      <c r="Y54" s="1411"/>
      <c r="Z54" s="1314"/>
      <c r="AA54" s="1314"/>
      <c r="AB54" s="1314"/>
      <c r="AC54" s="1314"/>
      <c r="AD54" s="3834"/>
      <c r="AE54" s="3944"/>
      <c r="AF54" s="3863"/>
      <c r="AG54" s="3981"/>
      <c r="AH54" s="3759"/>
      <c r="AI54" s="3944"/>
      <c r="AJ54" s="3863"/>
      <c r="AK54" s="3980"/>
      <c r="AL54" s="3759"/>
      <c r="AM54" s="234"/>
      <c r="AN54" s="1415"/>
      <c r="AO54" s="1415" t="s">
        <v>552</v>
      </c>
      <c r="AP54" s="345"/>
      <c r="AQ54" s="345"/>
      <c r="AR54" s="345"/>
      <c r="AS54" s="1314"/>
      <c r="AT54" s="1314"/>
      <c r="AU54" s="1411"/>
      <c r="AV54" s="1314"/>
      <c r="AW54" s="1411"/>
      <c r="AX54" s="1314"/>
      <c r="AY54" s="1314"/>
      <c r="AZ54" s="1314"/>
      <c r="BA54" s="1314"/>
      <c r="BB54" s="1318"/>
      <c r="BC54" s="3904"/>
      <c r="BE54" s="424"/>
      <c r="BF54" s="424"/>
      <c r="BG54" s="424"/>
      <c r="BH54" s="424"/>
    </row>
    <row r="55" spans="1:60" ht="11.25" customHeight="1">
      <c r="A55" s="1284" t="s">
        <v>305</v>
      </c>
      <c r="B55" s="1284"/>
      <c r="C55" s="1284"/>
      <c r="D55" s="1284"/>
      <c r="E55" s="3909"/>
      <c r="F55" s="3909"/>
      <c r="G55" s="3909"/>
      <c r="H55" s="3909"/>
      <c r="I55" s="3929"/>
      <c r="J55" s="3929"/>
      <c r="K55" s="3906"/>
      <c r="L55" s="1285"/>
      <c r="P55" s="3907"/>
      <c r="Q55" s="3907"/>
      <c r="R55" s="278"/>
      <c r="S55" s="3959"/>
      <c r="T55" s="3978"/>
      <c r="U55" s="214"/>
      <c r="V55" s="1314"/>
      <c r="W55" s="1411"/>
      <c r="X55" s="1314"/>
      <c r="Y55" s="1411"/>
      <c r="Z55" s="1314"/>
      <c r="AA55" s="1314"/>
      <c r="AB55" s="1314"/>
      <c r="AC55" s="1314"/>
      <c r="AD55" s="3834"/>
      <c r="AE55" s="3944"/>
      <c r="AF55" s="3863"/>
      <c r="AG55" s="3981"/>
      <c r="AH55" s="3759"/>
      <c r="AI55" s="208"/>
      <c r="AJ55" s="344"/>
      <c r="AK55" s="229" t="s">
        <v>553</v>
      </c>
      <c r="AL55" s="1314"/>
      <c r="AM55" s="1314"/>
      <c r="AN55" s="1314"/>
      <c r="AO55" s="1314"/>
      <c r="AP55" s="1314"/>
      <c r="AQ55" s="1314"/>
      <c r="AR55" s="1314"/>
      <c r="AS55" s="1314"/>
      <c r="AT55" s="1314"/>
      <c r="AU55" s="1411"/>
      <c r="AV55" s="1314"/>
      <c r="AW55" s="1411"/>
      <c r="AX55" s="1314"/>
      <c r="AY55" s="1314"/>
      <c r="AZ55" s="1314"/>
      <c r="BA55" s="1314"/>
      <c r="BB55" s="1318"/>
      <c r="BC55" s="3904"/>
      <c r="BE55" s="424"/>
      <c r="BF55" s="424"/>
      <c r="BG55" s="424"/>
      <c r="BH55" s="424"/>
    </row>
    <row r="56" spans="1:60" ht="11.25" customHeight="1">
      <c r="A56" s="1284" t="s">
        <v>305</v>
      </c>
      <c r="B56" s="1284" t="s">
        <v>306</v>
      </c>
      <c r="C56" s="1284" t="s">
        <v>307</v>
      </c>
      <c r="D56" s="1284" t="s">
        <v>559</v>
      </c>
      <c r="E56" s="3909"/>
      <c r="F56" s="3909"/>
      <c r="G56" s="3909"/>
      <c r="H56" s="3909"/>
      <c r="I56" s="3929"/>
      <c r="J56" s="3929"/>
      <c r="K56" s="3906"/>
      <c r="L56" s="1285"/>
      <c r="P56" s="3907"/>
      <c r="Q56" s="3907"/>
      <c r="R56" s="278"/>
      <c r="S56" s="3960"/>
      <c r="T56" s="3979"/>
      <c r="U56" s="214"/>
      <c r="V56" s="1314"/>
      <c r="W56" s="1315" t="str">
        <f>Z52&amp;"-"&amp;AB52</f>
        <v>-</v>
      </c>
      <c r="X56" s="1314"/>
      <c r="Y56" s="1315" t="str">
        <f>AB52&amp;"-"&amp;AD52</f>
        <v>-да</v>
      </c>
      <c r="Z56" s="1314"/>
      <c r="AA56" s="1314"/>
      <c r="AB56" s="1314"/>
      <c r="AC56" s="1314"/>
      <c r="AD56" s="3764"/>
      <c r="AE56" s="228"/>
      <c r="AF56" s="230"/>
      <c r="AG56" s="345" t="s">
        <v>535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904"/>
      <c r="BE56" s="424"/>
      <c r="BF56" s="424" t="str">
        <f t="shared" ref="BF56:BF63" si="4">IF(T56="","",T56)</f>
        <v/>
      </c>
      <c r="BG56" s="424"/>
      <c r="BH56" s="424"/>
    </row>
    <row r="57" spans="1:60" ht="11.25" customHeight="1">
      <c r="A57" s="1284" t="s">
        <v>305</v>
      </c>
      <c r="B57" s="1284" t="s">
        <v>306</v>
      </c>
      <c r="C57" s="1284" t="s">
        <v>307</v>
      </c>
      <c r="D57" s="1284" t="s">
        <v>559</v>
      </c>
      <c r="E57" s="3909"/>
      <c r="F57" s="3909"/>
      <c r="G57" s="3909"/>
      <c r="H57" s="3909"/>
      <c r="I57" s="3929"/>
      <c r="J57" s="3906"/>
      <c r="K57" s="1284"/>
      <c r="L57" s="1285"/>
      <c r="P57" s="3907"/>
      <c r="Q57" s="3907"/>
      <c r="R57" s="277"/>
      <c r="S57" s="1203"/>
      <c r="T57" s="202" t="s">
        <v>495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905"/>
      <c r="BE57" s="424"/>
      <c r="BF57" s="424" t="str">
        <f t="shared" si="4"/>
        <v>Добавить строку</v>
      </c>
      <c r="BG57" s="424"/>
      <c r="BH57" s="424"/>
    </row>
    <row r="58" spans="1:60" s="1562" customFormat="1" ht="0" hidden="1" customHeight="1">
      <c r="A58" s="1265" t="s">
        <v>305</v>
      </c>
      <c r="B58" s="1265" t="s">
        <v>306</v>
      </c>
      <c r="C58" s="1265" t="s">
        <v>307</v>
      </c>
      <c r="D58" s="1265" t="s">
        <v>559</v>
      </c>
      <c r="E58" s="3909"/>
      <c r="F58" s="3909"/>
      <c r="G58" s="3909"/>
      <c r="H58" s="3909"/>
      <c r="I58" s="3906"/>
      <c r="J58" s="1265"/>
      <c r="K58" s="1265"/>
      <c r="L58" s="1268"/>
      <c r="M58" s="434"/>
      <c r="N58" s="434"/>
      <c r="O58" s="434"/>
      <c r="P58" s="3907"/>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305</v>
      </c>
      <c r="B59" s="1265" t="s">
        <v>306</v>
      </c>
      <c r="C59" s="1265" t="s">
        <v>307</v>
      </c>
      <c r="D59" s="1265" t="s">
        <v>559</v>
      </c>
      <c r="E59" s="3909"/>
      <c r="F59" s="3909"/>
      <c r="G59" s="3909"/>
      <c r="H59" s="3908"/>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305</v>
      </c>
      <c r="B60" s="1265" t="s">
        <v>306</v>
      </c>
      <c r="C60" s="1265" t="s">
        <v>307</v>
      </c>
      <c r="D60" s="1237"/>
      <c r="E60" s="3909"/>
      <c r="F60" s="3909"/>
      <c r="G60" s="3908"/>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305</v>
      </c>
      <c r="B61" s="1265" t="s">
        <v>306</v>
      </c>
      <c r="C61" s="1237"/>
      <c r="D61" s="1237"/>
      <c r="E61" s="3909"/>
      <c r="F61" s="3908"/>
      <c r="G61" s="1237"/>
      <c r="H61" s="1237"/>
      <c r="I61" s="1237"/>
      <c r="J61" s="1237"/>
      <c r="K61" s="1237"/>
      <c r="L61" s="1409"/>
      <c r="M61" s="1244"/>
      <c r="N61" s="1244"/>
      <c r="P61" s="1239"/>
      <c r="Q61" s="1240"/>
      <c r="R61" s="1239"/>
      <c r="S61" s="1245"/>
      <c r="T61" s="1248" t="s">
        <v>240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305</v>
      </c>
      <c r="B62" s="1265"/>
      <c r="C62" s="1265"/>
      <c r="D62" s="1265"/>
      <c r="E62" s="3908"/>
      <c r="F62" s="1265"/>
      <c r="G62" s="1265"/>
      <c r="H62" s="1265"/>
      <c r="I62" s="1265"/>
      <c r="J62" s="1265"/>
      <c r="K62" s="1265"/>
      <c r="L62" s="1268"/>
      <c r="M62" s="1244"/>
      <c r="N62" s="1244"/>
      <c r="O62" s="442"/>
      <c r="P62" s="308"/>
      <c r="Q62" s="1266"/>
      <c r="R62" s="308"/>
      <c r="S62" s="1245"/>
      <c r="T62" s="1248" t="s">
        <v>241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262</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3928"/>
      <c r="U65" s="3928"/>
      <c r="V65" s="3928"/>
      <c r="W65" s="3928"/>
      <c r="X65" s="3928"/>
      <c r="Y65" s="3928"/>
      <c r="Z65" s="3928"/>
      <c r="AA65" s="3928"/>
      <c r="AB65" s="3928"/>
      <c r="AC65" s="3928"/>
      <c r="AD65" s="3928"/>
      <c r="AE65" s="3928"/>
      <c r="AF65" s="3928"/>
      <c r="AG65" s="3928"/>
      <c r="AH65" s="3928"/>
      <c r="AI65" s="3928"/>
      <c r="AJ65" s="3928"/>
      <c r="AK65" s="3928"/>
      <c r="AL65" s="3928"/>
      <c r="AM65" s="3928"/>
      <c r="AN65" s="3928"/>
      <c r="AO65" s="3928"/>
      <c r="AP65" s="3928"/>
      <c r="AQ65" s="3928"/>
      <c r="AR65" s="3928"/>
      <c r="AS65" s="3928"/>
      <c r="AT65" s="3928"/>
      <c r="AU65" s="3928"/>
      <c r="AV65" s="3928"/>
      <c r="AW65" s="3928"/>
      <c r="AX65" s="3928"/>
      <c r="AY65" s="3928"/>
      <c r="AZ65" s="3928"/>
      <c r="BA65" s="3928"/>
      <c r="BB65" s="3928"/>
      <c r="BC65" s="3928"/>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3928"/>
      <c r="U67" s="3928"/>
      <c r="V67" s="3928"/>
      <c r="W67" s="3928"/>
      <c r="X67" s="3928"/>
      <c r="Y67" s="3928"/>
      <c r="Z67" s="3928"/>
      <c r="AA67" s="3928"/>
      <c r="AB67" s="3928"/>
      <c r="AC67" s="3928"/>
      <c r="AD67" s="3928"/>
      <c r="AE67" s="3928"/>
      <c r="AF67" s="3928"/>
      <c r="AG67" s="3928"/>
      <c r="AH67" s="3928"/>
      <c r="AI67" s="3928"/>
      <c r="AJ67" s="3928"/>
      <c r="AK67" s="3928"/>
      <c r="AL67" s="3928"/>
      <c r="AM67" s="3928"/>
      <c r="AN67" s="3928"/>
      <c r="AO67" s="3928"/>
      <c r="AP67" s="3928"/>
      <c r="AQ67" s="3928"/>
      <c r="AR67" s="3928"/>
      <c r="AS67" s="3928"/>
      <c r="AT67" s="3928"/>
      <c r="AU67" s="3928"/>
      <c r="AV67" s="3928"/>
      <c r="AW67" s="3928"/>
      <c r="AX67" s="3928"/>
      <c r="AY67" s="3928"/>
      <c r="AZ67" s="3928"/>
      <c r="BA67" s="3928"/>
      <c r="BB67" s="3928"/>
      <c r="BC67" s="3928"/>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908">
        <v>1</v>
      </c>
      <c r="F2" s="1284"/>
      <c r="G2" s="1284"/>
      <c r="H2" s="1284"/>
      <c r="I2" s="1284"/>
      <c r="J2" s="1284"/>
      <c r="K2" s="1284"/>
      <c r="L2" s="1285"/>
      <c r="M2" s="1286"/>
      <c r="N2" s="1286"/>
      <c r="O2" s="1286"/>
      <c r="P2" s="282"/>
      <c r="Q2" s="281"/>
      <c r="R2" s="276"/>
      <c r="S2" s="1408" t="e">
        <f>INDEX(PT_DIFFERENTIATION_NUM_NTAR,MATCH(A2,PT_DIFFERENTIATION_NTAR_ID,0))</f>
        <v>#N/A</v>
      </c>
      <c r="T2" s="212" t="s">
        <v>141</v>
      </c>
      <c r="U2" s="214"/>
      <c r="V2" s="3894"/>
      <c r="W2" s="3895"/>
      <c r="X2" s="3895"/>
      <c r="Y2" s="3895"/>
      <c r="Z2" s="3895"/>
      <c r="AA2" s="3895"/>
      <c r="AB2" s="3896"/>
      <c r="AC2" s="3894" t="e">
        <f>INDEX(PT_DIFFERENTIATION_NTAR,MATCH(A2,PT_DIFFERENTIATION_NTAR_ID,0))</f>
        <v>#N/A</v>
      </c>
      <c r="AD2" s="3895"/>
      <c r="AE2" s="3895"/>
      <c r="AF2" s="3895"/>
      <c r="AG2" s="3895"/>
      <c r="AH2" s="3895"/>
      <c r="AI2" s="3895"/>
      <c r="AJ2" s="38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909"/>
      <c r="F3" s="3908">
        <v>1</v>
      </c>
      <c r="G3" s="1284"/>
      <c r="H3" s="1284"/>
      <c r="I3" s="1284"/>
      <c r="J3" s="1284"/>
      <c r="K3" s="1284"/>
      <c r="L3" s="1285"/>
      <c r="M3" s="1286"/>
      <c r="N3" s="1286"/>
      <c r="O3" s="1286"/>
      <c r="P3" s="1402"/>
      <c r="Q3" s="273"/>
      <c r="R3" s="274"/>
      <c r="S3" s="1408" t="e">
        <f>INDEX(PT_DIFFERENTIATION_NUM_TER,MATCH(B3,PT_DIFFERENTIATION_TER_ID,0))</f>
        <v>#N/A</v>
      </c>
      <c r="T3" s="224" t="s">
        <v>428</v>
      </c>
      <c r="U3" s="214"/>
      <c r="V3" s="3894"/>
      <c r="W3" s="3895"/>
      <c r="X3" s="3895"/>
      <c r="Y3" s="3895"/>
      <c r="Z3" s="3895"/>
      <c r="AA3" s="3895"/>
      <c r="AB3" s="3896"/>
      <c r="AC3" s="3894" t="e">
        <f>INDEX(PT_DIFFERENTIATION_TER,MATCH(B3,PT_DIFFERENTIATION_TER_ID,0))</f>
        <v>#N/A</v>
      </c>
      <c r="AD3" s="3895"/>
      <c r="AE3" s="3895"/>
      <c r="AF3" s="3895"/>
      <c r="AG3" s="3895"/>
      <c r="AH3" s="3895"/>
      <c r="AI3" s="3895"/>
      <c r="AJ3" s="3896"/>
      <c r="AK3" s="1182" t="s">
        <v>429</v>
      </c>
      <c r="AM3" s="424"/>
      <c r="AN3" s="424" t="str">
        <f t="shared" si="0"/>
        <v>Территория действия тарифа</v>
      </c>
      <c r="AO3" s="424"/>
      <c r="AP3" s="424"/>
    </row>
    <row r="4" spans="1:42" ht="23.25" hidden="1" customHeight="1">
      <c r="A4" s="1284"/>
      <c r="B4" s="1284"/>
      <c r="C4" s="1284"/>
      <c r="D4" s="1284"/>
      <c r="E4" s="3909"/>
      <c r="F4" s="3909"/>
      <c r="G4" s="3908">
        <v>1</v>
      </c>
      <c r="H4" s="1284"/>
      <c r="I4" s="1284"/>
      <c r="J4" s="1284"/>
      <c r="K4" s="1284"/>
      <c r="L4" s="1285"/>
      <c r="M4" s="1286"/>
      <c r="N4" s="1286"/>
      <c r="O4" s="1286"/>
      <c r="P4" s="275"/>
      <c r="Q4" s="273"/>
      <c r="R4" s="274"/>
      <c r="S4" s="1408" t="e">
        <f>INDEX(PT_DIFFERENTIATION_NUM_CS,MATCH(C4,PT_DIFFERENTIATION_CS_ID,0))</f>
        <v>#N/A</v>
      </c>
      <c r="T4" s="225" t="s">
        <v>560</v>
      </c>
      <c r="U4" s="214"/>
      <c r="V4" s="3894"/>
      <c r="W4" s="3895"/>
      <c r="X4" s="3895"/>
      <c r="Y4" s="3895"/>
      <c r="Z4" s="3895"/>
      <c r="AA4" s="3895"/>
      <c r="AB4" s="3896"/>
      <c r="AC4" s="3894" t="e">
        <f>INDEX(PT_DIFFERENTIATION_CS,MATCH(C4,PT_DIFFERENTIATION_CS_ID,0))</f>
        <v>#N/A</v>
      </c>
      <c r="AD4" s="3895"/>
      <c r="AE4" s="3895"/>
      <c r="AF4" s="3895"/>
      <c r="AG4" s="3895"/>
      <c r="AH4" s="3895"/>
      <c r="AI4" s="3895"/>
      <c r="AJ4" s="3896"/>
      <c r="AK4" s="1182" t="s">
        <v>561</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3909"/>
      <c r="F5" s="3909"/>
      <c r="G5" s="3909"/>
      <c r="H5" s="3909"/>
      <c r="I5" s="3906" t="e">
        <f>S4&amp;".1"</f>
        <v>#N/A</v>
      </c>
      <c r="J5" s="1284"/>
      <c r="K5" s="1284"/>
      <c r="L5" s="1285"/>
      <c r="P5" s="3907">
        <v>1</v>
      </c>
      <c r="Q5" s="1396"/>
      <c r="R5" s="277"/>
      <c r="S5" s="1408" t="e">
        <f>$I5</f>
        <v>#N/A</v>
      </c>
      <c r="T5" s="200" t="s">
        <v>511</v>
      </c>
      <c r="U5" s="214"/>
      <c r="V5" s="3967"/>
      <c r="W5" s="3968"/>
      <c r="X5" s="3968"/>
      <c r="Y5" s="3968"/>
      <c r="Z5" s="3968"/>
      <c r="AA5" s="3968"/>
      <c r="AB5" s="3969"/>
      <c r="AC5" s="3970"/>
      <c r="AD5" s="3971"/>
      <c r="AE5" s="3971"/>
      <c r="AF5" s="3971"/>
      <c r="AG5" s="3971"/>
      <c r="AH5" s="3971"/>
      <c r="AI5" s="3971"/>
      <c r="AJ5" s="3972"/>
      <c r="AK5" s="1182" t="s">
        <v>512</v>
      </c>
      <c r="AM5" s="424"/>
      <c r="AN5" s="424" t="str">
        <f t="shared" si="0"/>
        <v>Наименование признака дифференциации</v>
      </c>
      <c r="AO5" s="424"/>
      <c r="AP5" s="424"/>
    </row>
    <row r="6" spans="1:42" ht="23.25" hidden="1" customHeight="1">
      <c r="A6" s="1284"/>
      <c r="B6" s="1284"/>
      <c r="C6" s="1284"/>
      <c r="D6" s="1284"/>
      <c r="E6" s="3909"/>
      <c r="F6" s="3909"/>
      <c r="G6" s="3909"/>
      <c r="H6" s="3909"/>
      <c r="I6" s="3929"/>
      <c r="J6" s="3906" t="e">
        <f>I5&amp;".1"</f>
        <v>#N/A</v>
      </c>
      <c r="K6" s="1284"/>
      <c r="L6" s="1285" t="s">
        <v>437</v>
      </c>
      <c r="P6" s="3907"/>
      <c r="Q6" s="3907">
        <v>1</v>
      </c>
      <c r="R6" s="278"/>
      <c r="S6" s="1408" t="e">
        <f>$J6</f>
        <v>#N/A</v>
      </c>
      <c r="T6" s="201" t="s">
        <v>438</v>
      </c>
      <c r="U6" s="214"/>
      <c r="V6" s="3897"/>
      <c r="W6" s="3898"/>
      <c r="X6" s="3898"/>
      <c r="Y6" s="3898"/>
      <c r="Z6" s="3898"/>
      <c r="AA6" s="3898"/>
      <c r="AB6" s="3899"/>
      <c r="AC6" s="3897"/>
      <c r="AD6" s="3898"/>
      <c r="AE6" s="3898"/>
      <c r="AF6" s="3898"/>
      <c r="AG6" s="3898"/>
      <c r="AH6" s="3898"/>
      <c r="AI6" s="3898"/>
      <c r="AJ6" s="3899"/>
      <c r="AK6" s="1231" t="s">
        <v>513</v>
      </c>
      <c r="AM6" s="424"/>
      <c r="AN6" s="424" t="str">
        <f t="shared" si="0"/>
        <v>Группа потребителей</v>
      </c>
      <c r="AO6" s="424"/>
      <c r="AP6" s="424"/>
    </row>
    <row r="7" spans="1:42" ht="23.25" hidden="1" customHeight="1">
      <c r="A7" s="1284"/>
      <c r="B7" s="1284"/>
      <c r="C7" s="1284"/>
      <c r="D7" s="1284"/>
      <c r="E7" s="3909"/>
      <c r="F7" s="3909"/>
      <c r="G7" s="3909"/>
      <c r="H7" s="3909"/>
      <c r="I7" s="3929"/>
      <c r="J7" s="3929"/>
      <c r="K7" s="3906" t="e">
        <f>J6&amp;".1"</f>
        <v>#N/A</v>
      </c>
      <c r="L7" s="1285"/>
      <c r="P7" s="3907"/>
      <c r="Q7" s="3907"/>
      <c r="R7" s="278">
        <v>1</v>
      </c>
      <c r="S7" s="1408" t="e">
        <f>$K7</f>
        <v>#N/A</v>
      </c>
      <c r="T7" s="1357"/>
      <c r="U7" s="214"/>
      <c r="V7" s="666"/>
      <c r="W7" s="666"/>
      <c r="X7" s="1181"/>
      <c r="Y7" s="3911"/>
      <c r="Z7" s="3759" t="s">
        <v>60</v>
      </c>
      <c r="AA7" s="3911"/>
      <c r="AB7" s="3759" t="s">
        <v>60</v>
      </c>
      <c r="AC7" s="666"/>
      <c r="AD7" s="666"/>
      <c r="AE7" s="1181"/>
      <c r="AF7" s="3911"/>
      <c r="AG7" s="3759" t="s">
        <v>60</v>
      </c>
      <c r="AH7" s="3930"/>
      <c r="AI7" s="3759" t="s">
        <v>60</v>
      </c>
      <c r="AJ7" s="1358"/>
      <c r="AK7"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909"/>
      <c r="F8" s="3909"/>
      <c r="G8" s="3909"/>
      <c r="H8" s="3909"/>
      <c r="I8" s="3929"/>
      <c r="J8" s="3929"/>
      <c r="K8" s="3906"/>
      <c r="L8" s="1285"/>
      <c r="P8" s="3907"/>
      <c r="Q8" s="3907"/>
      <c r="R8" s="278"/>
      <c r="S8" s="1405"/>
      <c r="T8" s="214"/>
      <c r="U8" s="214"/>
      <c r="V8" s="246"/>
      <c r="W8" s="246"/>
      <c r="X8" s="250" t="str">
        <f>Y7&amp;"-"&amp;AA7</f>
        <v>-</v>
      </c>
      <c r="Y8" s="3912"/>
      <c r="Z8" s="3759"/>
      <c r="AA8" s="3912"/>
      <c r="AB8" s="3759"/>
      <c r="AC8" s="246"/>
      <c r="AD8" s="246"/>
      <c r="AE8" s="250" t="str">
        <f>AF7&amp;"-"&amp;AH7</f>
        <v>-</v>
      </c>
      <c r="AF8" s="3912"/>
      <c r="AG8" s="3759"/>
      <c r="AH8" s="3931"/>
      <c r="AI8" s="3759"/>
      <c r="AJ8" s="1359"/>
      <c r="AK8" s="3966"/>
      <c r="AM8" s="424"/>
      <c r="AN8" s="424" t="str">
        <f t="shared" si="0"/>
        <v/>
      </c>
      <c r="AO8" s="424"/>
      <c r="AP8" s="424"/>
    </row>
    <row r="9" spans="1:42" ht="21" hidden="1" customHeight="1">
      <c r="A9" s="1284"/>
      <c r="B9" s="1284"/>
      <c r="C9" s="1284"/>
      <c r="D9" s="1284"/>
      <c r="E9" s="3909"/>
      <c r="F9" s="3909"/>
      <c r="G9" s="3909"/>
      <c r="H9" s="3909"/>
      <c r="I9" s="3929"/>
      <c r="J9" s="3906"/>
      <c r="K9" s="1284"/>
      <c r="L9" s="1285"/>
      <c r="P9" s="3907"/>
      <c r="Q9" s="3907"/>
      <c r="R9" s="277"/>
      <c r="S9" s="1203"/>
      <c r="T9" s="202" t="s">
        <v>514</v>
      </c>
      <c r="U9" s="291"/>
      <c r="V9" s="291"/>
      <c r="W9" s="291"/>
      <c r="X9" s="291"/>
      <c r="Y9" s="291"/>
      <c r="Z9" s="291"/>
      <c r="AA9" s="291"/>
      <c r="AB9" s="291"/>
      <c r="AC9" s="291"/>
      <c r="AD9" s="291"/>
      <c r="AE9" s="291"/>
      <c r="AF9" s="291"/>
      <c r="AG9" s="291"/>
      <c r="AH9" s="291"/>
      <c r="AI9" s="291"/>
      <c r="AJ9" s="291"/>
      <c r="AK9" s="1182" t="s">
        <v>515</v>
      </c>
      <c r="AM9" s="424"/>
      <c r="AN9" s="424" t="str">
        <f t="shared" si="0"/>
        <v>Добавить значение признака дифференциации</v>
      </c>
      <c r="AO9" s="424"/>
      <c r="AP9" s="424"/>
    </row>
    <row r="10" spans="1:42" ht="21" hidden="1" customHeight="1">
      <c r="A10" s="1284"/>
      <c r="B10" s="1284"/>
      <c r="C10" s="1284"/>
      <c r="D10" s="1284"/>
      <c r="E10" s="3909"/>
      <c r="F10" s="3909"/>
      <c r="G10" s="3909"/>
      <c r="H10" s="3909"/>
      <c r="I10" s="3906"/>
      <c r="J10" s="1284"/>
      <c r="K10" s="1284"/>
      <c r="L10" s="1285"/>
      <c r="P10" s="3907"/>
      <c r="Q10" s="1396"/>
      <c r="R10" s="277"/>
      <c r="S10" s="1203"/>
      <c r="T10" s="288" t="s">
        <v>443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909"/>
      <c r="F11" s="3909"/>
      <c r="G11" s="3909"/>
      <c r="H11" s="3908"/>
      <c r="I11" s="1284"/>
      <c r="J11" s="1284"/>
      <c r="K11" s="1284"/>
      <c r="L11" s="1285"/>
      <c r="M11" s="1286"/>
      <c r="N11" s="1286"/>
      <c r="O11" s="460"/>
      <c r="P11" s="281"/>
      <c r="Q11" s="299"/>
      <c r="R11" s="276"/>
      <c r="S11" s="1203"/>
      <c r="T11" s="296" t="s">
        <v>516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909"/>
      <c r="F12" s="3908"/>
      <c r="G12" s="1237"/>
      <c r="H12" s="1237"/>
      <c r="I12" s="1237"/>
      <c r="J12" s="1237"/>
      <c r="K12" s="1237"/>
      <c r="L12" s="1409"/>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908"/>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913"/>
      <c r="AG15" s="3914" t="s">
        <v>60</v>
      </c>
      <c r="AH15" s="3913"/>
      <c r="AI15" s="3914" t="s">
        <v>60</v>
      </c>
    </row>
    <row r="16" spans="1:42" ht="14.25" hidden="1" customHeight="1">
      <c r="AC16" s="1281"/>
      <c r="AD16" s="1281"/>
      <c r="AE16" s="250" t="str">
        <f>AF15&amp;"-"&amp;AH15</f>
        <v>-</v>
      </c>
      <c r="AF16" s="3914"/>
      <c r="AG16" s="3914"/>
      <c r="AH16" s="3914"/>
      <c r="AI16" s="3914"/>
    </row>
    <row r="17" spans="1:42" ht="14.25" hidden="1" customHeight="1">
      <c r="AI17" s="249"/>
    </row>
    <row r="18" spans="1:42" s="1287" customFormat="1" ht="22.5" hidden="1" customHeight="1">
      <c r="L18" s="1393"/>
      <c r="M18" s="1283"/>
      <c r="N18" s="1283"/>
      <c r="O18" s="1288" t="s">
        <v>446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447</v>
      </c>
      <c r="P20" s="1283"/>
      <c r="Q20" s="1361"/>
      <c r="R20" s="1361"/>
      <c r="S20" s="646"/>
      <c r="T20" s="1065" t="s">
        <v>448</v>
      </c>
      <c r="Z20" s="104" t="s">
        <v>449</v>
      </c>
      <c r="AB20" s="104" t="s">
        <v>450</v>
      </c>
      <c r="AC20" s="1065" t="s">
        <v>448</v>
      </c>
      <c r="AG20" s="104" t="s">
        <v>451</v>
      </c>
      <c r="AI20" s="104" t="s">
        <v>450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38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892"/>
      <c r="U24" s="3892"/>
      <c r="V24" s="3892"/>
      <c r="W24" s="3892"/>
      <c r="X24" s="3892"/>
      <c r="Y24" s="3892"/>
      <c r="Z24" s="3892"/>
      <c r="AA24" s="3892"/>
      <c r="AB24" s="3892"/>
      <c r="AC24" s="3892"/>
      <c r="AD24" s="3892"/>
      <c r="AE24" s="3892"/>
      <c r="AF24" s="3892"/>
      <c r="AG24" s="3892"/>
      <c r="AH24" s="3892"/>
      <c r="AI24" s="1157"/>
    </row>
    <row r="25" spans="1:42" ht="14.25" customHeight="1">
      <c r="Q25" s="300"/>
      <c r="R25" s="300"/>
      <c r="S25" s="3839" t="str">
        <f>IF(org=0,"Не определено",org)</f>
        <v>ГУП СК "Ставрополькрайводоканал"</v>
      </c>
      <c r="T25" s="3839"/>
      <c r="U25" s="3839"/>
      <c r="V25" s="3839"/>
      <c r="W25" s="3839"/>
      <c r="X25" s="3839"/>
      <c r="Y25" s="3839"/>
      <c r="Z25" s="3839"/>
      <c r="AA25" s="3839"/>
      <c r="AB25" s="3839"/>
      <c r="AC25" s="3839"/>
      <c r="AD25" s="3839"/>
      <c r="AE25" s="3839"/>
      <c r="AF25" s="3839"/>
      <c r="AG25" s="3839"/>
      <c r="AH25" s="383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900" t="s">
        <v>38</v>
      </c>
      <c r="T27" s="3900"/>
      <c r="U27" s="1293"/>
      <c r="V27" s="3901" t="str">
        <f>IF(TITLE_NAME_OR_PR_CHANGE="",IF(TITLE_NAME_OR_PR="","",TITLE_NAME_OR_PR),TITLE_NAME_OR_PR_CHANGE)</f>
        <v>Региональная тарифная комиссия Ставропольского края</v>
      </c>
      <c r="W27" s="3901"/>
      <c r="X27" s="3901"/>
      <c r="Y27" s="3901"/>
      <c r="Z27" s="3901"/>
      <c r="AA27" s="3901"/>
      <c r="AB27" s="248"/>
      <c r="AC27" s="3901" t="str">
        <f>IF(TITLE_NAME_OR_PR_CHANGE="",IF(TITLE_NAME_OR_PR="","",TITLE_NAME_OR_PR),TITLE_NAME_OR_PR_CHANGE)</f>
        <v>Региональная тарифная комиссия Ставропольского края</v>
      </c>
      <c r="AD27" s="3901"/>
      <c r="AE27" s="3901"/>
      <c r="AF27" s="3901"/>
      <c r="AG27" s="3901"/>
      <c r="AH27" s="3901"/>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900" t="s">
        <v>452</v>
      </c>
      <c r="T28" s="3900"/>
      <c r="U28" s="1293"/>
      <c r="V28" s="3910">
        <f>IF(TITLE_DATE_PR_CHANGE="",IF(TITLE_DATE_PR="","",TITLE_DATE_PR),TITLE_DATE_PR_CHANGE)</f>
        <v>45278</v>
      </c>
      <c r="W28" s="3910"/>
      <c r="X28" s="3910"/>
      <c r="Y28" s="3910"/>
      <c r="Z28" s="3910"/>
      <c r="AA28" s="3910"/>
      <c r="AB28" s="248"/>
      <c r="AC28" s="3910">
        <f>IF(TITLE_DATE_PR_CHANGE="",IF(TITLE_DATE_PR="","",TITLE_DATE_PR),TITLE_DATE_PR_CHANGE)</f>
        <v>45278</v>
      </c>
      <c r="AD28" s="3910"/>
      <c r="AE28" s="3910"/>
      <c r="AF28" s="3910"/>
      <c r="AG28" s="3910"/>
      <c r="AH28" s="3910"/>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900" t="s">
        <v>453</v>
      </c>
      <c r="T29" s="3900"/>
      <c r="U29" s="1293"/>
      <c r="V29" s="3901" t="str">
        <f>IF(TITLE_NUMBER_PR_CHANGE="",IF(TITLE_NUMBER_PR="","",TITLE_NUMBER_PR),TITLE_NUMBER_PR_CHANGE)</f>
        <v>79/2</v>
      </c>
      <c r="W29" s="3901"/>
      <c r="X29" s="3901"/>
      <c r="Y29" s="3901"/>
      <c r="Z29" s="3901"/>
      <c r="AA29" s="3901"/>
      <c r="AB29" s="248"/>
      <c r="AC29" s="3901" t="str">
        <f>IF(TITLE_NUMBER_PR_CHANGE="",IF(TITLE_NUMBER_PR="","",TITLE_NUMBER_PR),TITLE_NUMBER_PR_CHANGE)</f>
        <v>79/2</v>
      </c>
      <c r="AD29" s="3901"/>
      <c r="AE29" s="3901"/>
      <c r="AF29" s="3901"/>
      <c r="AG29" s="3901"/>
      <c r="AH29" s="3901"/>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900" t="s">
        <v>40</v>
      </c>
      <c r="T30" s="3900"/>
      <c r="U30" s="1293"/>
      <c r="V30" s="3901" t="str">
        <f>IF(TITLE_IST_PUB_CHANGE="",IF(TITLE_IST_PUB="","",TITLE_IST_PUB),TITLE_IST_PUB_CHANGE)</f>
        <v>http://pravo.stavregion.ru/</v>
      </c>
      <c r="W30" s="3901"/>
      <c r="X30" s="3901"/>
      <c r="Y30" s="3901"/>
      <c r="Z30" s="3901"/>
      <c r="AA30" s="3901"/>
      <c r="AB30" s="248"/>
      <c r="AC30" s="3901" t="str">
        <f>IF(TITLE_IST_PUB_CHANGE="",IF(TITLE_IST_PUB="","",TITLE_IST_PUB),TITLE_IST_PUB_CHANGE)</f>
        <v>http://pravo.stavregion.ru/</v>
      </c>
      <c r="AD30" s="3901"/>
      <c r="AE30" s="3901"/>
      <c r="AF30" s="3901"/>
      <c r="AG30" s="3901"/>
      <c r="AH30" s="3901"/>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3900" t="s">
        <v>454</v>
      </c>
      <c r="T32" s="3900"/>
      <c r="U32" s="1293"/>
      <c r="V32" s="3910">
        <f>IF(TITLE_DATE_PR_CHANGE="",IF(TITLE_DATE_PR="","",TITLE_DATE_PR),TITLE_DATE_PR_CHANGE)</f>
        <v>45278</v>
      </c>
      <c r="W32" s="3910"/>
      <c r="X32" s="3910"/>
      <c r="Y32" s="3910"/>
      <c r="Z32" s="3910"/>
      <c r="AA32" s="3910"/>
      <c r="AB32" s="248"/>
      <c r="AC32" s="3910">
        <f>IF(TITLE_DATE_PR_CHANGE="",IF(TITLE_DATE_PR="","",TITLE_DATE_PR),TITLE_DATE_PR_CHANGE)</f>
        <v>45278</v>
      </c>
      <c r="AD32" s="3910"/>
      <c r="AE32" s="3910"/>
      <c r="AF32" s="3910"/>
      <c r="AG32" s="3910"/>
      <c r="AH32" s="3910"/>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3900" t="s">
        <v>455</v>
      </c>
      <c r="T33" s="3900"/>
      <c r="U33" s="1293"/>
      <c r="V33" s="3901" t="str">
        <f>IF(TITLE_NUMBER_PR_CHANGE="",IF(TITLE_NUMBER_PR="","",TITLE_NUMBER_PR),TITLE_NUMBER_PR_CHANGE)</f>
        <v>79/2</v>
      </c>
      <c r="W33" s="3901"/>
      <c r="X33" s="3901"/>
      <c r="Y33" s="3901"/>
      <c r="Z33" s="3901"/>
      <c r="AA33" s="3901"/>
      <c r="AB33" s="248"/>
      <c r="AC33" s="3901" t="str">
        <f>IF(TITLE_NUMBER_PR_CHANGE="",IF(TITLE_NUMBER_PR="","",TITLE_NUMBER_PR),TITLE_NUMBER_PR_CHANGE)</f>
        <v>79/2</v>
      </c>
      <c r="AD33" s="3901"/>
      <c r="AE33" s="3901"/>
      <c r="AF33" s="3901"/>
      <c r="AG33" s="3901"/>
      <c r="AH33" s="3901"/>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456</v>
      </c>
      <c r="AC34" s="248"/>
      <c r="AD34" s="248"/>
      <c r="AE34" s="248"/>
      <c r="AF34" s="248"/>
      <c r="AG34" s="248"/>
      <c r="AH34" s="248"/>
      <c r="AI34" s="194" t="s">
        <v>456</v>
      </c>
      <c r="AL34" s="292"/>
      <c r="AM34" s="292"/>
      <c r="AN34" s="292"/>
      <c r="AO34" s="292"/>
      <c r="AP34" s="292"/>
    </row>
    <row r="35" spans="1:42" ht="14.25" customHeight="1">
      <c r="Q35" s="300"/>
      <c r="R35" s="300"/>
      <c r="S35" s="1200"/>
      <c r="T35" s="286"/>
      <c r="U35" s="1158"/>
      <c r="V35" s="3902"/>
      <c r="W35" s="3902"/>
      <c r="X35" s="3902"/>
      <c r="Y35" s="3902"/>
      <c r="Z35" s="3902"/>
      <c r="AA35" s="3902"/>
      <c r="AB35" s="3902"/>
      <c r="AC35" s="3902"/>
      <c r="AD35" s="3902"/>
      <c r="AE35" s="3902"/>
      <c r="AF35" s="3902"/>
      <c r="AG35" s="3902"/>
      <c r="AH35" s="3902"/>
      <c r="AI35" s="3902"/>
    </row>
    <row r="36" spans="1:42" ht="14.25" customHeight="1">
      <c r="Q36" s="300"/>
      <c r="R36" s="300"/>
      <c r="S36" s="3778" t="s">
        <v>329</v>
      </c>
      <c r="T36" s="3778"/>
      <c r="U36" s="3778"/>
      <c r="V36" s="3778"/>
      <c r="W36" s="3778"/>
      <c r="X36" s="3778"/>
      <c r="Y36" s="3778"/>
      <c r="Z36" s="3778"/>
      <c r="AA36" s="3778"/>
      <c r="AB36" s="3778"/>
      <c r="AC36" s="3778"/>
      <c r="AD36" s="3778"/>
      <c r="AE36" s="3778"/>
      <c r="AF36" s="3778"/>
      <c r="AG36" s="3778"/>
      <c r="AH36" s="3778"/>
      <c r="AI36" s="3778"/>
      <c r="AJ36" s="3778"/>
      <c r="AK36" s="3778" t="s">
        <v>330</v>
      </c>
    </row>
    <row r="37" spans="1:42" ht="14.25" customHeight="1">
      <c r="Q37" s="300"/>
      <c r="R37" s="300"/>
      <c r="S37" s="3916" t="s">
        <v>86</v>
      </c>
      <c r="T37" s="3868" t="s">
        <v>457</v>
      </c>
      <c r="U37" s="215"/>
      <c r="V37" s="3917" t="s">
        <v>458</v>
      </c>
      <c r="W37" s="3918"/>
      <c r="X37" s="3918"/>
      <c r="Y37" s="3918"/>
      <c r="Z37" s="3918"/>
      <c r="AA37" s="3919"/>
      <c r="AB37" s="3920" t="s">
        <v>459</v>
      </c>
      <c r="AC37" s="3917" t="s">
        <v>458</v>
      </c>
      <c r="AD37" s="3918"/>
      <c r="AE37" s="3918"/>
      <c r="AF37" s="3918"/>
      <c r="AG37" s="3918"/>
      <c r="AH37" s="3919"/>
      <c r="AI37" s="3920" t="s">
        <v>460</v>
      </c>
      <c r="AJ37" s="3923" t="s">
        <v>461</v>
      </c>
      <c r="AK37" s="3778"/>
    </row>
    <row r="38" spans="1:42" ht="33.75" customHeight="1">
      <c r="Q38" s="300"/>
      <c r="R38" s="300"/>
      <c r="S38" s="3916"/>
      <c r="T38" s="3868"/>
      <c r="U38" s="942"/>
      <c r="V38" s="1398" t="s">
        <v>562</v>
      </c>
      <c r="W38" s="3749" t="s">
        <v>563</v>
      </c>
      <c r="X38" s="3748"/>
      <c r="Y38" s="3749" t="s">
        <v>465</v>
      </c>
      <c r="Z38" s="3754"/>
      <c r="AA38" s="3748"/>
      <c r="AB38" s="3921"/>
      <c r="AC38" s="1398" t="s">
        <v>562</v>
      </c>
      <c r="AD38" s="3749" t="s">
        <v>563</v>
      </c>
      <c r="AE38" s="3748"/>
      <c r="AF38" s="3749" t="s">
        <v>465</v>
      </c>
      <c r="AG38" s="3754"/>
      <c r="AH38" s="3748"/>
      <c r="AI38" s="3921"/>
      <c r="AJ38" s="3924"/>
      <c r="AK38" s="3778"/>
    </row>
    <row r="39" spans="1:42" ht="86.25" customHeight="1">
      <c r="A39" s="1291"/>
      <c r="B39" s="1291" t="s">
        <v>153</v>
      </c>
      <c r="C39" s="1291" t="s">
        <v>154</v>
      </c>
      <c r="D39" s="1291" t="s">
        <v>155</v>
      </c>
      <c r="E39" s="1285" t="s">
        <v>466</v>
      </c>
      <c r="F39" s="1285" t="s">
        <v>467</v>
      </c>
      <c r="G39" s="1285" t="s">
        <v>468</v>
      </c>
      <c r="H39" s="1285"/>
      <c r="I39" s="1285" t="s">
        <v>518</v>
      </c>
      <c r="J39" s="1285" t="s">
        <v>471</v>
      </c>
      <c r="K39" s="1285" t="s">
        <v>519</v>
      </c>
      <c r="L39" s="1285" t="s">
        <v>447</v>
      </c>
      <c r="Q39" s="300"/>
      <c r="R39" s="300"/>
      <c r="S39" s="3916"/>
      <c r="T39" s="3868"/>
      <c r="U39" s="216"/>
      <c r="V39" s="1398" t="s">
        <v>564</v>
      </c>
      <c r="W39" s="1133" t="s">
        <v>565</v>
      </c>
      <c r="X39" s="1133" t="s">
        <v>566</v>
      </c>
      <c r="Y39" s="1404" t="s">
        <v>475</v>
      </c>
      <c r="Z39" s="3876" t="s">
        <v>476</v>
      </c>
      <c r="AA39" s="3878"/>
      <c r="AB39" s="3922"/>
      <c r="AC39" s="1398" t="s">
        <v>564</v>
      </c>
      <c r="AD39" s="1133" t="s">
        <v>565</v>
      </c>
      <c r="AE39" s="1133" t="s">
        <v>566</v>
      </c>
      <c r="AF39" s="1404" t="s">
        <v>475</v>
      </c>
      <c r="AG39" s="3876" t="s">
        <v>476</v>
      </c>
      <c r="AH39" s="3878"/>
      <c r="AI39" s="3922"/>
      <c r="AJ39" s="3925"/>
      <c r="AK39" s="377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129</v>
      </c>
      <c r="T40" s="1177" t="s">
        <v>102</v>
      </c>
      <c r="U40" s="1159" t="str">
        <f ca="1">OFFSET(U40,0,-1)</f>
        <v>2</v>
      </c>
      <c r="V40" s="1397">
        <f ca="1">OFFSET(V40,0,-1)+1</f>
        <v>3</v>
      </c>
      <c r="W40" s="1397">
        <f ca="1">OFFSET(W40,0,-1)+1</f>
        <v>4</v>
      </c>
      <c r="X40" s="1397">
        <f ca="1">OFFSET(X40,0,-1)+1</f>
        <v>5</v>
      </c>
      <c r="Y40" s="1397">
        <f ca="1">OFFSET(Y40,0,-1)+1</f>
        <v>6</v>
      </c>
      <c r="Z40" s="3915">
        <f ca="1">OFFSET(Z40,0,-1)+1</f>
        <v>7</v>
      </c>
      <c r="AA40" s="3915"/>
      <c r="AB40" s="1397">
        <f ca="1">OFFSET(AB40,0,-2)+1</f>
        <v>8</v>
      </c>
      <c r="AC40" s="1397">
        <f ca="1">OFFSET(AC40,0,-1)+1</f>
        <v>9</v>
      </c>
      <c r="AD40" s="1397">
        <f ca="1">OFFSET(AD40,0,-1)+1</f>
        <v>10</v>
      </c>
      <c r="AE40" s="1397">
        <f ca="1">OFFSET(AE40,0,-1)+1</f>
        <v>11</v>
      </c>
      <c r="AF40" s="1397">
        <f ca="1">OFFSET(AF40,0,-1)+1</f>
        <v>12</v>
      </c>
      <c r="AG40" s="3915">
        <f ca="1">OFFSET(AG40,0,-1)+1</f>
        <v>13</v>
      </c>
      <c r="AH40" s="3915"/>
      <c r="AI40" s="1397">
        <f ca="1">OFFSET(AI40,0,-2)+1</f>
        <v>14</v>
      </c>
      <c r="AJ40" s="1159">
        <f ca="1">OFFSET(AJ40,0,-1)</f>
        <v>14</v>
      </c>
      <c r="AK40" s="1397">
        <f ca="1">OFFSET(AK40,0,-1)+1</f>
        <v>15</v>
      </c>
      <c r="AL40" s="435"/>
      <c r="AM40" s="435"/>
      <c r="AN40" s="435"/>
      <c r="AO40" s="435"/>
      <c r="AP40" s="435"/>
    </row>
    <row r="41" spans="1:42" ht="23.25" customHeight="1">
      <c r="A41" s="1284" t="s">
        <v>280</v>
      </c>
      <c r="B41" s="1284"/>
      <c r="C41" s="1284"/>
      <c r="D41" s="1284"/>
      <c r="E41" s="3908">
        <v>1</v>
      </c>
      <c r="F41" s="1284"/>
      <c r="G41" s="1284"/>
      <c r="H41" s="1284"/>
      <c r="I41" s="1284"/>
      <c r="J41" s="1284"/>
      <c r="K41" s="1284"/>
      <c r="L41" s="1285"/>
      <c r="M41" s="1286"/>
      <c r="N41" s="1286"/>
      <c r="O41" s="1286"/>
      <c r="P41" s="282"/>
      <c r="Q41" s="281"/>
      <c r="R41" s="276"/>
      <c r="S41" s="1408">
        <f>INDEX(PT_DIFFERENTIATION_NUM_NTAR,MATCH(A41,PT_DIFFERENTIATION_NTAR_ID,0))</f>
        <v>0</v>
      </c>
      <c r="T41" s="212" t="s">
        <v>141</v>
      </c>
      <c r="U41" s="214"/>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280</v>
      </c>
      <c r="B42" s="1284" t="s">
        <v>281</v>
      </c>
      <c r="C42" s="1284"/>
      <c r="D42" s="1284"/>
      <c r="E42" s="3909"/>
      <c r="F42" s="3908">
        <v>1</v>
      </c>
      <c r="G42" s="1284"/>
      <c r="H42" s="1284"/>
      <c r="I42" s="1284"/>
      <c r="J42" s="1284"/>
      <c r="K42" s="1284"/>
      <c r="L42" s="1285"/>
      <c r="M42" s="1286"/>
      <c r="N42" s="1286"/>
      <c r="O42" s="1286"/>
      <c r="P42" s="1402"/>
      <c r="Q42" s="273"/>
      <c r="R42" s="274"/>
      <c r="S42" s="1408" t="str">
        <f>INDEX(PT_DIFFERENTIATION_NUM_TER,MATCH(B42,PT_DIFFERENTIATION_TER_ID,0))</f>
        <v>.</v>
      </c>
      <c r="T42" s="224" t="s">
        <v>428</v>
      </c>
      <c r="U42" s="214"/>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182" t="s">
        <v>429</v>
      </c>
      <c r="AM42" s="424"/>
      <c r="AN42" s="424" t="str">
        <f t="shared" si="1"/>
        <v>Территория действия тарифа</v>
      </c>
      <c r="AO42" s="424"/>
      <c r="AP42" s="424"/>
    </row>
    <row r="43" spans="1:42" ht="23.25" customHeight="1">
      <c r="A43" s="1284" t="s">
        <v>280</v>
      </c>
      <c r="B43" s="1284" t="s">
        <v>281</v>
      </c>
      <c r="C43" s="1284" t="s">
        <v>282</v>
      </c>
      <c r="D43" s="1284"/>
      <c r="E43" s="3909"/>
      <c r="F43" s="3909"/>
      <c r="G43" s="3908">
        <v>1</v>
      </c>
      <c r="H43" s="1284"/>
      <c r="I43" s="1284"/>
      <c r="J43" s="1284"/>
      <c r="K43" s="1284"/>
      <c r="L43" s="1285"/>
      <c r="M43" s="1286"/>
      <c r="N43" s="1286"/>
      <c r="O43" s="1286"/>
      <c r="P43" s="275"/>
      <c r="Q43" s="273"/>
      <c r="R43" s="274"/>
      <c r="S43" s="1408" t="str">
        <f>INDEX(PT_DIFFERENTIATION_NUM_CS,MATCH(C43,PT_DIFFERENTIATION_CS_ID,0))</f>
        <v>..</v>
      </c>
      <c r="T43" s="225" t="s">
        <v>560</v>
      </c>
      <c r="U43" s="214"/>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182" t="s">
        <v>561</v>
      </c>
      <c r="AM43" s="424"/>
      <c r="AN43" s="424" t="str">
        <f t="shared" si="1"/>
        <v>Наименование централизованной системы горячего водоснабжения</v>
      </c>
      <c r="AO43" s="424"/>
      <c r="AP43" s="424"/>
    </row>
    <row r="44" spans="1:42" ht="23.25" customHeight="1">
      <c r="A44" s="1284" t="s">
        <v>280</v>
      </c>
      <c r="B44" s="1284" t="s">
        <v>281</v>
      </c>
      <c r="C44" s="1284" t="s">
        <v>282</v>
      </c>
      <c r="D44" s="1284" t="s">
        <v>567</v>
      </c>
      <c r="E44" s="3909"/>
      <c r="F44" s="3909"/>
      <c r="G44" s="3909"/>
      <c r="H44" s="3909"/>
      <c r="I44" s="3906" t="str">
        <f>S43&amp;".1"</f>
        <v>...1</v>
      </c>
      <c r="J44" s="1284"/>
      <c r="K44" s="1284"/>
      <c r="L44" s="1285"/>
      <c r="P44" s="3907">
        <v>1</v>
      </c>
      <c r="Q44" s="1396"/>
      <c r="R44" s="277"/>
      <c r="S44" s="1408" t="str">
        <f>$I44</f>
        <v>...1</v>
      </c>
      <c r="T44" s="200" t="s">
        <v>511</v>
      </c>
      <c r="U44" s="214"/>
      <c r="V44" s="3967"/>
      <c r="W44" s="3968"/>
      <c r="X44" s="3968"/>
      <c r="Y44" s="3968"/>
      <c r="Z44" s="3968"/>
      <c r="AA44" s="3968"/>
      <c r="AB44" s="3969"/>
      <c r="AC44" s="3970"/>
      <c r="AD44" s="3971"/>
      <c r="AE44" s="3971"/>
      <c r="AF44" s="3971"/>
      <c r="AG44" s="3971"/>
      <c r="AH44" s="3971"/>
      <c r="AI44" s="3971"/>
      <c r="AJ44" s="3972"/>
      <c r="AK44" s="1182" t="s">
        <v>512</v>
      </c>
      <c r="AM44" s="424"/>
      <c r="AN44" s="424" t="str">
        <f t="shared" si="1"/>
        <v>Наименование признака дифференциации</v>
      </c>
      <c r="AO44" s="424"/>
      <c r="AP44" s="424"/>
    </row>
    <row r="45" spans="1:42" ht="23.25" customHeight="1">
      <c r="A45" s="1284" t="s">
        <v>280</v>
      </c>
      <c r="B45" s="1284" t="s">
        <v>281</v>
      </c>
      <c r="C45" s="1284" t="s">
        <v>282</v>
      </c>
      <c r="D45" s="1284" t="s">
        <v>567</v>
      </c>
      <c r="E45" s="3909"/>
      <c r="F45" s="3909"/>
      <c r="G45" s="3909"/>
      <c r="H45" s="3909"/>
      <c r="I45" s="3929"/>
      <c r="J45" s="3906" t="str">
        <f>I44&amp;".1"</f>
        <v>...1.1</v>
      </c>
      <c r="K45" s="1284"/>
      <c r="L45" s="1285" t="s">
        <v>437</v>
      </c>
      <c r="P45" s="3907"/>
      <c r="Q45" s="3907">
        <v>1</v>
      </c>
      <c r="R45" s="278"/>
      <c r="S45" s="1408" t="str">
        <f>$J45</f>
        <v>...1.1</v>
      </c>
      <c r="T45" s="201" t="s">
        <v>438</v>
      </c>
      <c r="U45" s="214"/>
      <c r="V45" s="3897"/>
      <c r="W45" s="3898"/>
      <c r="X45" s="3898"/>
      <c r="Y45" s="3898"/>
      <c r="Z45" s="3898"/>
      <c r="AA45" s="3898"/>
      <c r="AB45" s="3899"/>
      <c r="AC45" s="3897"/>
      <c r="AD45" s="3898"/>
      <c r="AE45" s="3898"/>
      <c r="AF45" s="3898"/>
      <c r="AG45" s="3898"/>
      <c r="AH45" s="3898"/>
      <c r="AI45" s="3898"/>
      <c r="AJ45" s="3899"/>
      <c r="AK45" s="1231" t="s">
        <v>513</v>
      </c>
      <c r="AM45" s="424"/>
      <c r="AN45" s="424" t="str">
        <f t="shared" si="1"/>
        <v>Группа потребителей</v>
      </c>
      <c r="AO45" s="424"/>
      <c r="AP45" s="424"/>
    </row>
    <row r="46" spans="1:42" ht="23.25" customHeight="1">
      <c r="A46" s="1284" t="s">
        <v>280</v>
      </c>
      <c r="B46" s="1284" t="s">
        <v>281</v>
      </c>
      <c r="C46" s="1284" t="s">
        <v>282</v>
      </c>
      <c r="D46" s="1284" t="s">
        <v>567</v>
      </c>
      <c r="E46" s="3909"/>
      <c r="F46" s="3909"/>
      <c r="G46" s="3909"/>
      <c r="H46" s="3909"/>
      <c r="I46" s="3929"/>
      <c r="J46" s="3929"/>
      <c r="K46" s="3906" t="str">
        <f>J45&amp;".1"</f>
        <v>...1.1.1</v>
      </c>
      <c r="L46" s="1285"/>
      <c r="P46" s="3907"/>
      <c r="Q46" s="3907"/>
      <c r="R46" s="278">
        <v>1</v>
      </c>
      <c r="S46" s="1408" t="str">
        <f>$K46</f>
        <v>...1.1.1</v>
      </c>
      <c r="T46" s="1357"/>
      <c r="U46" s="214"/>
      <c r="V46" s="1281"/>
      <c r="W46" s="1281"/>
      <c r="X46" s="1282"/>
      <c r="Y46" s="3913"/>
      <c r="Z46" s="3914" t="s">
        <v>60</v>
      </c>
      <c r="AA46" s="3913"/>
      <c r="AB46" s="3914" t="s">
        <v>60</v>
      </c>
      <c r="AC46" s="666"/>
      <c r="AD46" s="666"/>
      <c r="AE46" s="1181"/>
      <c r="AF46" s="3911"/>
      <c r="AG46" s="3759" t="s">
        <v>60</v>
      </c>
      <c r="AH46" s="3930"/>
      <c r="AI46" s="3759" t="s">
        <v>55</v>
      </c>
      <c r="AJ46" s="1358"/>
      <c r="AK4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280</v>
      </c>
      <c r="B47" s="1284" t="s">
        <v>281</v>
      </c>
      <c r="C47" s="1284" t="s">
        <v>282</v>
      </c>
      <c r="D47" s="1284" t="s">
        <v>567</v>
      </c>
      <c r="E47" s="3909"/>
      <c r="F47" s="3909"/>
      <c r="G47" s="3909"/>
      <c r="H47" s="3909"/>
      <c r="I47" s="3929"/>
      <c r="J47" s="3929"/>
      <c r="K47" s="3906"/>
      <c r="L47" s="1285"/>
      <c r="P47" s="3907"/>
      <c r="Q47" s="3907"/>
      <c r="R47" s="278"/>
      <c r="S47" s="1405"/>
      <c r="T47" s="214"/>
      <c r="U47" s="214"/>
      <c r="V47" s="1281"/>
      <c r="W47" s="1281"/>
      <c r="X47" s="250" t="str">
        <f>Y46&amp;"-"&amp;AA46</f>
        <v>-</v>
      </c>
      <c r="Y47" s="3914"/>
      <c r="Z47" s="3914"/>
      <c r="AA47" s="3914"/>
      <c r="AB47" s="3914"/>
      <c r="AC47" s="246"/>
      <c r="AD47" s="246"/>
      <c r="AE47" s="250" t="str">
        <f>AF46&amp;"-"&amp;AH46</f>
        <v>-</v>
      </c>
      <c r="AF47" s="3912"/>
      <c r="AG47" s="3759"/>
      <c r="AH47" s="3931"/>
      <c r="AI47" s="3759"/>
      <c r="AJ47" s="1359"/>
      <c r="AK47" s="3966"/>
      <c r="AM47" s="424"/>
      <c r="AN47" s="424" t="str">
        <f t="shared" si="1"/>
        <v/>
      </c>
      <c r="AO47" s="424"/>
      <c r="AP47" s="424"/>
    </row>
    <row r="48" spans="1:42" ht="21" customHeight="1">
      <c r="A48" s="1284" t="s">
        <v>280</v>
      </c>
      <c r="B48" s="1284" t="s">
        <v>281</v>
      </c>
      <c r="C48" s="1284" t="s">
        <v>282</v>
      </c>
      <c r="D48" s="1284" t="s">
        <v>567</v>
      </c>
      <c r="E48" s="3909"/>
      <c r="F48" s="3909"/>
      <c r="G48" s="3909"/>
      <c r="H48" s="3909"/>
      <c r="I48" s="3929"/>
      <c r="J48" s="3906"/>
      <c r="K48" s="1284"/>
      <c r="L48" s="1285"/>
      <c r="P48" s="3907"/>
      <c r="Q48" s="3907"/>
      <c r="R48" s="277"/>
      <c r="S48" s="1203"/>
      <c r="T48" s="202" t="s">
        <v>514</v>
      </c>
      <c r="U48" s="291"/>
      <c r="V48" s="291"/>
      <c r="W48" s="291"/>
      <c r="X48" s="291"/>
      <c r="Y48" s="291"/>
      <c r="Z48" s="291"/>
      <c r="AA48" s="291"/>
      <c r="AB48" s="291"/>
      <c r="AC48" s="291"/>
      <c r="AD48" s="291"/>
      <c r="AE48" s="291"/>
      <c r="AF48" s="291"/>
      <c r="AG48" s="291"/>
      <c r="AH48" s="291"/>
      <c r="AI48" s="291"/>
      <c r="AJ48" s="291"/>
      <c r="AK48" s="1182" t="s">
        <v>515</v>
      </c>
      <c r="AM48" s="424"/>
      <c r="AN48" s="424" t="str">
        <f t="shared" si="1"/>
        <v>Добавить значение признака дифференциации</v>
      </c>
      <c r="AO48" s="424"/>
      <c r="AP48" s="424"/>
    </row>
    <row r="49" spans="1:42" ht="21" customHeight="1">
      <c r="A49" s="1284" t="s">
        <v>280</v>
      </c>
      <c r="B49" s="1284" t="s">
        <v>281</v>
      </c>
      <c r="C49" s="1284" t="s">
        <v>282</v>
      </c>
      <c r="D49" s="1284" t="s">
        <v>567</v>
      </c>
      <c r="E49" s="3909"/>
      <c r="F49" s="3909"/>
      <c r="G49" s="3909"/>
      <c r="H49" s="3909"/>
      <c r="I49" s="3906"/>
      <c r="J49" s="1284"/>
      <c r="K49" s="1284"/>
      <c r="L49" s="1285"/>
      <c r="P49" s="3907"/>
      <c r="Q49" s="1396"/>
      <c r="R49" s="277"/>
      <c r="S49" s="1203"/>
      <c r="T49" s="288" t="s">
        <v>443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280</v>
      </c>
      <c r="B50" s="1284" t="s">
        <v>281</v>
      </c>
      <c r="C50" s="1284" t="s">
        <v>282</v>
      </c>
      <c r="D50" s="1284" t="s">
        <v>567</v>
      </c>
      <c r="E50" s="3909"/>
      <c r="F50" s="3909"/>
      <c r="G50" s="3909"/>
      <c r="H50" s="3908"/>
      <c r="I50" s="1284"/>
      <c r="J50" s="1284"/>
      <c r="K50" s="1284"/>
      <c r="L50" s="1285"/>
      <c r="M50" s="1286"/>
      <c r="N50" s="1286"/>
      <c r="O50" s="460"/>
      <c r="P50" s="281"/>
      <c r="Q50" s="299"/>
      <c r="R50" s="276"/>
      <c r="S50" s="1203"/>
      <c r="T50" s="296" t="s">
        <v>516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280</v>
      </c>
      <c r="B51" s="1265" t="s">
        <v>281</v>
      </c>
      <c r="C51" s="1237"/>
      <c r="D51" s="1237"/>
      <c r="E51" s="3909"/>
      <c r="F51" s="3908"/>
      <c r="G51" s="1237"/>
      <c r="H51" s="1237"/>
      <c r="I51" s="1237"/>
      <c r="J51" s="1237"/>
      <c r="K51" s="1237"/>
      <c r="L51" s="1409"/>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280</v>
      </c>
      <c r="B52" s="1265"/>
      <c r="C52" s="1265"/>
      <c r="D52" s="1265"/>
      <c r="E52" s="3908"/>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262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928"/>
      <c r="U55" s="3928"/>
      <c r="V55" s="3928"/>
      <c r="W55" s="3928"/>
      <c r="X55" s="3928"/>
      <c r="Y55" s="3928"/>
      <c r="Z55" s="3928"/>
      <c r="AA55" s="3928"/>
      <c r="AB55" s="3928"/>
      <c r="AC55" s="3928"/>
      <c r="AD55" s="3928"/>
      <c r="AE55" s="3928"/>
      <c r="AF55" s="3928"/>
      <c r="AG55" s="3928"/>
      <c r="AH55" s="3928"/>
      <c r="AI55" s="3928"/>
      <c r="AJ55" s="3928"/>
      <c r="AK55" s="3928"/>
    </row>
    <row r="56" spans="1:42" ht="14.25" customHeight="1">
      <c r="O56" s="460"/>
    </row>
    <row r="57" spans="1:42" ht="14.25" customHeight="1">
      <c r="O57" s="460"/>
      <c r="S57" s="1169"/>
      <c r="T57" s="3928"/>
      <c r="U57" s="3928"/>
      <c r="V57" s="3928"/>
      <c r="W57" s="3928"/>
      <c r="X57" s="3928"/>
      <c r="Y57" s="3928"/>
      <c r="Z57" s="3928"/>
      <c r="AA57" s="3928"/>
      <c r="AB57" s="3928"/>
      <c r="AC57" s="3928"/>
      <c r="AD57" s="3928"/>
      <c r="AE57" s="3928"/>
      <c r="AF57" s="3928"/>
      <c r="AG57" s="3928"/>
      <c r="AH57" s="3928"/>
      <c r="AI57" s="3928"/>
      <c r="AJ57" s="3928"/>
      <c r="AK57" s="39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5" hidden="1" customWidth="1"/>
    <col min="13" max="14" width="12.28515625" style="1696" hidden="1" customWidth="1"/>
    <col min="15" max="15" width="23.42578125" style="1696" hidden="1" customWidth="1"/>
    <col min="16" max="16" width="3.7109375" style="1817" customWidth="1"/>
    <col min="17" max="18" width="3.7109375" style="265" customWidth="1"/>
    <col min="19" max="19" width="12.7109375" style="1820"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3908">
        <v>1</v>
      </c>
      <c r="F2" s="1284"/>
      <c r="G2" s="1284"/>
      <c r="H2" s="1284"/>
      <c r="I2" s="1284"/>
      <c r="J2" s="1284"/>
      <c r="K2" s="1284"/>
      <c r="L2" s="1285"/>
      <c r="M2" s="1286"/>
      <c r="N2" s="1286"/>
      <c r="O2" s="1286"/>
      <c r="P2" s="282"/>
      <c r="Q2" s="281"/>
      <c r="R2" s="276"/>
      <c r="S2" s="1408" t="e">
        <f>INDEX(PT_DIFFERENTIATION_NUM_NTAR,MATCH(A2,PT_DIFFERENTIATION_NTAR_ID,0))</f>
        <v>#N/A</v>
      </c>
      <c r="T2" s="212" t="s">
        <v>141</v>
      </c>
      <c r="U2" s="214"/>
      <c r="V2" s="3894"/>
      <c r="W2" s="3895"/>
      <c r="X2" s="3895"/>
      <c r="Y2" s="3895"/>
      <c r="Z2" s="3895"/>
      <c r="AA2" s="3895"/>
      <c r="AB2" s="3896"/>
      <c r="AC2" s="3894" t="e">
        <f>INDEX(PT_DIFFERENTIATION_NTAR,MATCH(A2,PT_DIFFERENTIATION_NTAR_ID,0))</f>
        <v>#N/A</v>
      </c>
      <c r="AD2" s="3895"/>
      <c r="AE2" s="3895"/>
      <c r="AF2" s="3895"/>
      <c r="AG2" s="3895"/>
      <c r="AH2" s="3895"/>
      <c r="AI2" s="3895"/>
      <c r="AJ2" s="38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3909"/>
      <c r="F3" s="3908">
        <v>1</v>
      </c>
      <c r="G3" s="1284"/>
      <c r="H3" s="1284"/>
      <c r="I3" s="1284"/>
      <c r="J3" s="1284"/>
      <c r="K3" s="1284"/>
      <c r="L3" s="1285"/>
      <c r="M3" s="1286"/>
      <c r="N3" s="1286"/>
      <c r="O3" s="1286"/>
      <c r="P3" s="1402"/>
      <c r="Q3" s="273"/>
      <c r="R3" s="274"/>
      <c r="S3" s="1408" t="e">
        <f>INDEX(PT_DIFFERENTIATION_NUM_TER,MATCH(B3,PT_DIFFERENTIATION_TER_ID,0))</f>
        <v>#N/A</v>
      </c>
      <c r="T3" s="224" t="s">
        <v>428</v>
      </c>
      <c r="U3" s="214"/>
      <c r="V3" s="3894"/>
      <c r="W3" s="3895"/>
      <c r="X3" s="3895"/>
      <c r="Y3" s="3895"/>
      <c r="Z3" s="3895"/>
      <c r="AA3" s="3895"/>
      <c r="AB3" s="3896"/>
      <c r="AC3" s="3894" t="e">
        <f>INDEX(PT_DIFFERENTIATION_TER,MATCH(B3,PT_DIFFERENTIATION_TER_ID,0))</f>
        <v>#N/A</v>
      </c>
      <c r="AD3" s="3895"/>
      <c r="AE3" s="3895"/>
      <c r="AF3" s="3895"/>
      <c r="AG3" s="3895"/>
      <c r="AH3" s="3895"/>
      <c r="AI3" s="3895"/>
      <c r="AJ3" s="3896"/>
      <c r="AK3" s="1182" t="s">
        <v>429</v>
      </c>
      <c r="AM3" s="424"/>
      <c r="AN3" s="424" t="str">
        <f t="shared" si="0"/>
        <v>Территория действия тарифа</v>
      </c>
      <c r="AO3" s="424"/>
      <c r="AP3" s="424"/>
    </row>
    <row r="4" spans="1:42" ht="23.25" hidden="1" customHeight="1">
      <c r="A4" s="1284"/>
      <c r="B4" s="1284"/>
      <c r="C4" s="1284"/>
      <c r="D4" s="1284"/>
      <c r="E4" s="3909"/>
      <c r="F4" s="3909"/>
      <c r="G4" s="3908">
        <v>1</v>
      </c>
      <c r="H4" s="1284"/>
      <c r="I4" s="1284"/>
      <c r="J4" s="1284"/>
      <c r="K4" s="1284"/>
      <c r="L4" s="1285"/>
      <c r="M4" s="1286"/>
      <c r="N4" s="1286"/>
      <c r="O4" s="1286"/>
      <c r="P4" s="275"/>
      <c r="Q4" s="273"/>
      <c r="R4" s="274"/>
      <c r="S4" s="1408" t="e">
        <f>INDEX(PT_DIFFERENTIATION_NUM_CS,MATCH(C4,PT_DIFFERENTIATION_CS_ID,0))</f>
        <v>#N/A</v>
      </c>
      <c r="T4" s="225" t="s">
        <v>560</v>
      </c>
      <c r="U4" s="214"/>
      <c r="V4" s="3894"/>
      <c r="W4" s="3895"/>
      <c r="X4" s="3895"/>
      <c r="Y4" s="3895"/>
      <c r="Z4" s="3895"/>
      <c r="AA4" s="3895"/>
      <c r="AB4" s="3896"/>
      <c r="AC4" s="3894" t="e">
        <f>INDEX(PT_DIFFERENTIATION_CS,MATCH(C4,PT_DIFFERENTIATION_CS_ID,0))</f>
        <v>#N/A</v>
      </c>
      <c r="AD4" s="3895"/>
      <c r="AE4" s="3895"/>
      <c r="AF4" s="3895"/>
      <c r="AG4" s="3895"/>
      <c r="AH4" s="3895"/>
      <c r="AI4" s="3895"/>
      <c r="AJ4" s="3896"/>
      <c r="AK4" s="1182" t="s">
        <v>561</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3909"/>
      <c r="F5" s="3909"/>
      <c r="G5" s="3909"/>
      <c r="H5" s="3909"/>
      <c r="I5" s="3906" t="e">
        <f>S4&amp;".1"</f>
        <v>#N/A</v>
      </c>
      <c r="J5" s="1284"/>
      <c r="K5" s="1284"/>
      <c r="L5" s="1285"/>
      <c r="P5" s="3907">
        <v>1</v>
      </c>
      <c r="Q5" s="1396"/>
      <c r="R5" s="277"/>
      <c r="S5" s="1408" t="e">
        <f>$I5</f>
        <v>#N/A</v>
      </c>
      <c r="T5" s="200" t="s">
        <v>511</v>
      </c>
      <c r="U5" s="214"/>
      <c r="V5" s="3967"/>
      <c r="W5" s="3968"/>
      <c r="X5" s="3968"/>
      <c r="Y5" s="3968"/>
      <c r="Z5" s="3968"/>
      <c r="AA5" s="3968"/>
      <c r="AB5" s="3969"/>
      <c r="AC5" s="3970"/>
      <c r="AD5" s="3971"/>
      <c r="AE5" s="3971"/>
      <c r="AF5" s="3971"/>
      <c r="AG5" s="3971"/>
      <c r="AH5" s="3971"/>
      <c r="AI5" s="3971"/>
      <c r="AJ5" s="3972"/>
      <c r="AK5" s="1182" t="s">
        <v>512</v>
      </c>
      <c r="AM5" s="424"/>
      <c r="AN5" s="424" t="str">
        <f t="shared" si="0"/>
        <v>Наименование признака дифференциации</v>
      </c>
      <c r="AO5" s="424"/>
      <c r="AP5" s="424"/>
    </row>
    <row r="6" spans="1:42" ht="23.25" hidden="1" customHeight="1">
      <c r="A6" s="1284"/>
      <c r="B6" s="1284"/>
      <c r="C6" s="1284"/>
      <c r="D6" s="1284"/>
      <c r="E6" s="3909"/>
      <c r="F6" s="3909"/>
      <c r="G6" s="3909"/>
      <c r="H6" s="3909"/>
      <c r="I6" s="3929"/>
      <c r="J6" s="3906" t="e">
        <f>I5&amp;".1"</f>
        <v>#N/A</v>
      </c>
      <c r="K6" s="1284"/>
      <c r="L6" s="1285" t="s">
        <v>437</v>
      </c>
      <c r="P6" s="3907"/>
      <c r="Q6" s="3907">
        <v>1</v>
      </c>
      <c r="R6" s="278"/>
      <c r="S6" s="1408" t="e">
        <f>$J6</f>
        <v>#N/A</v>
      </c>
      <c r="T6" s="201" t="s">
        <v>438</v>
      </c>
      <c r="U6" s="214"/>
      <c r="V6" s="3897"/>
      <c r="W6" s="3898"/>
      <c r="X6" s="3898"/>
      <c r="Y6" s="3898"/>
      <c r="Z6" s="3898"/>
      <c r="AA6" s="3898"/>
      <c r="AB6" s="3899"/>
      <c r="AC6" s="3897"/>
      <c r="AD6" s="3898"/>
      <c r="AE6" s="3898"/>
      <c r="AF6" s="3898"/>
      <c r="AG6" s="3898"/>
      <c r="AH6" s="3898"/>
      <c r="AI6" s="3898"/>
      <c r="AJ6" s="3899"/>
      <c r="AK6" s="1231" t="s">
        <v>513</v>
      </c>
      <c r="AM6" s="424"/>
      <c r="AN6" s="424" t="str">
        <f t="shared" si="0"/>
        <v>Группа потребителей</v>
      </c>
      <c r="AO6" s="424"/>
      <c r="AP6" s="424"/>
    </row>
    <row r="7" spans="1:42" ht="23.25" hidden="1" customHeight="1">
      <c r="A7" s="1284"/>
      <c r="B7" s="1284"/>
      <c r="C7" s="1284"/>
      <c r="D7" s="1284"/>
      <c r="E7" s="3909"/>
      <c r="F7" s="3909"/>
      <c r="G7" s="3909"/>
      <c r="H7" s="3909"/>
      <c r="I7" s="3929"/>
      <c r="J7" s="3929"/>
      <c r="K7" s="3906" t="e">
        <f>J6&amp;".1"</f>
        <v>#N/A</v>
      </c>
      <c r="L7" s="1285"/>
      <c r="P7" s="3907"/>
      <c r="Q7" s="3907"/>
      <c r="R7" s="278">
        <v>1</v>
      </c>
      <c r="S7" s="1408" t="e">
        <f>$K7</f>
        <v>#N/A</v>
      </c>
      <c r="T7" s="1357"/>
      <c r="U7" s="214"/>
      <c r="V7" s="666"/>
      <c r="W7" s="666"/>
      <c r="X7" s="1181"/>
      <c r="Y7" s="3911"/>
      <c r="Z7" s="3759" t="s">
        <v>60</v>
      </c>
      <c r="AA7" s="3911"/>
      <c r="AB7" s="3759" t="s">
        <v>60</v>
      </c>
      <c r="AC7" s="666"/>
      <c r="AD7" s="666"/>
      <c r="AE7" s="1181"/>
      <c r="AF7" s="3911"/>
      <c r="AG7" s="3759" t="s">
        <v>60</v>
      </c>
      <c r="AH7" s="3930"/>
      <c r="AI7" s="3759" t="s">
        <v>60</v>
      </c>
      <c r="AJ7" s="1358"/>
      <c r="AK7"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3909"/>
      <c r="F8" s="3909"/>
      <c r="G8" s="3909"/>
      <c r="H8" s="3909"/>
      <c r="I8" s="3929"/>
      <c r="J8" s="3929"/>
      <c r="K8" s="3906"/>
      <c r="L8" s="1285"/>
      <c r="P8" s="3907"/>
      <c r="Q8" s="3907"/>
      <c r="R8" s="278"/>
      <c r="S8" s="1405"/>
      <c r="T8" s="214"/>
      <c r="U8" s="214"/>
      <c r="V8" s="246"/>
      <c r="W8" s="246"/>
      <c r="X8" s="250" t="str">
        <f>Y7&amp;"-"&amp;AA7</f>
        <v>-</v>
      </c>
      <c r="Y8" s="3912"/>
      <c r="Z8" s="3759"/>
      <c r="AA8" s="3912"/>
      <c r="AB8" s="3759"/>
      <c r="AC8" s="246"/>
      <c r="AD8" s="246"/>
      <c r="AE8" s="250" t="str">
        <f>AF7&amp;"-"&amp;AH7</f>
        <v>-</v>
      </c>
      <c r="AF8" s="3912"/>
      <c r="AG8" s="3759"/>
      <c r="AH8" s="3931"/>
      <c r="AI8" s="3759"/>
      <c r="AJ8" s="1359"/>
      <c r="AK8" s="3966"/>
      <c r="AM8" s="424"/>
      <c r="AN8" s="424" t="str">
        <f t="shared" si="0"/>
        <v/>
      </c>
      <c r="AO8" s="424"/>
      <c r="AP8" s="424"/>
    </row>
    <row r="9" spans="1:42" ht="21" hidden="1" customHeight="1">
      <c r="A9" s="1284"/>
      <c r="B9" s="1284"/>
      <c r="C9" s="1284"/>
      <c r="D9" s="1284"/>
      <c r="E9" s="3909"/>
      <c r="F9" s="3909"/>
      <c r="G9" s="3909"/>
      <c r="H9" s="3909"/>
      <c r="I9" s="3929"/>
      <c r="J9" s="3906"/>
      <c r="K9" s="1284"/>
      <c r="L9" s="1285"/>
      <c r="P9" s="3907"/>
      <c r="Q9" s="3907"/>
      <c r="R9" s="277"/>
      <c r="S9" s="1203"/>
      <c r="T9" s="202" t="s">
        <v>514</v>
      </c>
      <c r="U9" s="291"/>
      <c r="V9" s="291"/>
      <c r="W9" s="291"/>
      <c r="X9" s="291"/>
      <c r="Y9" s="291"/>
      <c r="Z9" s="291"/>
      <c r="AA9" s="291"/>
      <c r="AB9" s="291"/>
      <c r="AC9" s="291"/>
      <c r="AD9" s="291"/>
      <c r="AE9" s="291"/>
      <c r="AF9" s="291"/>
      <c r="AG9" s="291"/>
      <c r="AH9" s="291"/>
      <c r="AI9" s="291"/>
      <c r="AJ9" s="291"/>
      <c r="AK9" s="1182" t="s">
        <v>515</v>
      </c>
      <c r="AM9" s="424"/>
      <c r="AN9" s="424" t="str">
        <f t="shared" si="0"/>
        <v>Добавить значение признака дифференциации</v>
      </c>
      <c r="AO9" s="424"/>
      <c r="AP9" s="424"/>
    </row>
    <row r="10" spans="1:42" ht="21" hidden="1" customHeight="1">
      <c r="A10" s="1284"/>
      <c r="B10" s="1284"/>
      <c r="C10" s="1284"/>
      <c r="D10" s="1284"/>
      <c r="E10" s="3909"/>
      <c r="F10" s="3909"/>
      <c r="G10" s="3909"/>
      <c r="H10" s="3909"/>
      <c r="I10" s="3906"/>
      <c r="J10" s="1284"/>
      <c r="K10" s="1284"/>
      <c r="L10" s="1285"/>
      <c r="P10" s="3907"/>
      <c r="Q10" s="1396"/>
      <c r="R10" s="277"/>
      <c r="S10" s="1203"/>
      <c r="T10" s="288" t="s">
        <v>443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3909"/>
      <c r="F11" s="3909"/>
      <c r="G11" s="3909"/>
      <c r="H11" s="3908"/>
      <c r="I11" s="1284"/>
      <c r="J11" s="1284"/>
      <c r="K11" s="1284"/>
      <c r="L11" s="1285"/>
      <c r="M11" s="1286"/>
      <c r="N11" s="1286"/>
      <c r="O11" s="460"/>
      <c r="P11" s="281"/>
      <c r="Q11" s="299"/>
      <c r="R11" s="276"/>
      <c r="S11" s="1203"/>
      <c r="T11" s="296" t="s">
        <v>516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3909"/>
      <c r="F12" s="3908"/>
      <c r="G12" s="1237"/>
      <c r="H12" s="1237"/>
      <c r="I12" s="1237"/>
      <c r="J12" s="1237"/>
      <c r="K12" s="1237"/>
      <c r="L12" s="1409"/>
      <c r="M12" s="1244"/>
      <c r="N12" s="1244"/>
      <c r="P12" s="1239"/>
      <c r="Q12" s="1240"/>
      <c r="R12" s="1239"/>
      <c r="S12" s="1245"/>
      <c r="T12" s="1248" t="s">
        <v>240</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3908"/>
      <c r="F13" s="1265"/>
      <c r="G13" s="1265"/>
      <c r="H13" s="1265"/>
      <c r="I13" s="1265"/>
      <c r="J13" s="1265"/>
      <c r="K13" s="1265"/>
      <c r="L13" s="1268"/>
      <c r="M13" s="1244"/>
      <c r="N13" s="1244"/>
      <c r="O13" s="442"/>
      <c r="P13" s="308"/>
      <c r="Q13" s="1266"/>
      <c r="R13" s="308"/>
      <c r="S13" s="1245"/>
      <c r="T13" s="1248" t="s">
        <v>241</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3913"/>
      <c r="AG15" s="3914" t="s">
        <v>60</v>
      </c>
      <c r="AH15" s="3913"/>
      <c r="AI15" s="3914" t="s">
        <v>60</v>
      </c>
    </row>
    <row r="16" spans="1:42" ht="14.25" hidden="1" customHeight="1">
      <c r="AC16" s="1281"/>
      <c r="AD16" s="1281"/>
      <c r="AE16" s="250" t="str">
        <f>AF15&amp;"-"&amp;AH15</f>
        <v>-</v>
      </c>
      <c r="AF16" s="3914"/>
      <c r="AG16" s="3914"/>
      <c r="AH16" s="3914"/>
      <c r="AI16" s="3914"/>
    </row>
    <row r="17" spans="1:42" ht="14.25" hidden="1" customHeight="1">
      <c r="AI17" s="249"/>
    </row>
    <row r="18" spans="1:42" s="1287" customFormat="1" ht="22.5" hidden="1" customHeight="1">
      <c r="L18" s="1393"/>
      <c r="M18" s="1283"/>
      <c r="N18" s="1283"/>
      <c r="O18" s="1288" t="s">
        <v>446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447</v>
      </c>
      <c r="P20" s="1283"/>
      <c r="Q20" s="1361"/>
      <c r="R20" s="1361"/>
      <c r="S20" s="646"/>
      <c r="T20" s="1065" t="s">
        <v>448</v>
      </c>
      <c r="Z20" s="104" t="s">
        <v>449</v>
      </c>
      <c r="AB20" s="104" t="s">
        <v>450</v>
      </c>
      <c r="AC20" s="1065" t="s">
        <v>448</v>
      </c>
      <c r="AG20" s="104" t="s">
        <v>451</v>
      </c>
      <c r="AI20" s="104" t="s">
        <v>450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38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892"/>
      <c r="U24" s="3892"/>
      <c r="V24" s="3892"/>
      <c r="W24" s="3892"/>
      <c r="X24" s="3892"/>
      <c r="Y24" s="3892"/>
      <c r="Z24" s="3892"/>
      <c r="AA24" s="3892"/>
      <c r="AB24" s="3892"/>
      <c r="AC24" s="3892"/>
      <c r="AD24" s="3892"/>
      <c r="AE24" s="3892"/>
      <c r="AF24" s="3892"/>
      <c r="AG24" s="3892"/>
      <c r="AH24" s="3892"/>
      <c r="AI24" s="1157"/>
    </row>
    <row r="25" spans="1:42" ht="14.25" customHeight="1">
      <c r="Q25" s="300"/>
      <c r="R25" s="300"/>
      <c r="S25" s="3839" t="str">
        <f>IF(org=0,"Не определено",org)</f>
        <v>ГУП СК "Ставрополькрайводоканал"</v>
      </c>
      <c r="T25" s="3839"/>
      <c r="U25" s="3839"/>
      <c r="V25" s="3839"/>
      <c r="W25" s="3839"/>
      <c r="X25" s="3839"/>
      <c r="Y25" s="3839"/>
      <c r="Z25" s="3839"/>
      <c r="AA25" s="3839"/>
      <c r="AB25" s="3839"/>
      <c r="AC25" s="3839"/>
      <c r="AD25" s="3839"/>
      <c r="AE25" s="3839"/>
      <c r="AF25" s="3839"/>
      <c r="AG25" s="3839"/>
      <c r="AH25" s="383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3900" t="s">
        <v>38</v>
      </c>
      <c r="T27" s="3900"/>
      <c r="U27" s="1293"/>
      <c r="V27" s="3901" t="str">
        <f>IF(TITLE_NAME_OR_PR_CHANGE="",IF(TITLE_NAME_OR_PR="","",TITLE_NAME_OR_PR),TITLE_NAME_OR_PR_CHANGE)</f>
        <v>Региональная тарифная комиссия Ставропольского края</v>
      </c>
      <c r="W27" s="3901"/>
      <c r="X27" s="3901"/>
      <c r="Y27" s="3901"/>
      <c r="Z27" s="3901"/>
      <c r="AA27" s="3901"/>
      <c r="AB27" s="248"/>
      <c r="AC27" s="3901" t="str">
        <f>IF(TITLE_NAME_OR_PR_CHANGE="",IF(TITLE_NAME_OR_PR="","",TITLE_NAME_OR_PR),TITLE_NAME_OR_PR_CHANGE)</f>
        <v>Региональная тарифная комиссия Ставропольского края</v>
      </c>
      <c r="AD27" s="3901"/>
      <c r="AE27" s="3901"/>
      <c r="AF27" s="3901"/>
      <c r="AG27" s="3901"/>
      <c r="AH27" s="3901"/>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3900" t="s">
        <v>452</v>
      </c>
      <c r="T28" s="3900"/>
      <c r="U28" s="1293"/>
      <c r="V28" s="3910">
        <f>IF(TITLE_DATE_PR_CHANGE="",IF(TITLE_DATE_PR="","",TITLE_DATE_PR),TITLE_DATE_PR_CHANGE)</f>
        <v>45278</v>
      </c>
      <c r="W28" s="3910"/>
      <c r="X28" s="3910"/>
      <c r="Y28" s="3910"/>
      <c r="Z28" s="3910"/>
      <c r="AA28" s="3910"/>
      <c r="AB28" s="248"/>
      <c r="AC28" s="3910">
        <f>IF(TITLE_DATE_PR_CHANGE="",IF(TITLE_DATE_PR="","",TITLE_DATE_PR),TITLE_DATE_PR_CHANGE)</f>
        <v>45278</v>
      </c>
      <c r="AD28" s="3910"/>
      <c r="AE28" s="3910"/>
      <c r="AF28" s="3910"/>
      <c r="AG28" s="3910"/>
      <c r="AH28" s="3910"/>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3900" t="s">
        <v>453</v>
      </c>
      <c r="T29" s="3900"/>
      <c r="U29" s="1293"/>
      <c r="V29" s="3901" t="str">
        <f>IF(TITLE_NUMBER_PR_CHANGE="",IF(TITLE_NUMBER_PR="","",TITLE_NUMBER_PR),TITLE_NUMBER_PR_CHANGE)</f>
        <v>79/2</v>
      </c>
      <c r="W29" s="3901"/>
      <c r="X29" s="3901"/>
      <c r="Y29" s="3901"/>
      <c r="Z29" s="3901"/>
      <c r="AA29" s="3901"/>
      <c r="AB29" s="248"/>
      <c r="AC29" s="3901" t="str">
        <f>IF(TITLE_NUMBER_PR_CHANGE="",IF(TITLE_NUMBER_PR="","",TITLE_NUMBER_PR),TITLE_NUMBER_PR_CHANGE)</f>
        <v>79/2</v>
      </c>
      <c r="AD29" s="3901"/>
      <c r="AE29" s="3901"/>
      <c r="AF29" s="3901"/>
      <c r="AG29" s="3901"/>
      <c r="AH29" s="3901"/>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3900" t="s">
        <v>40</v>
      </c>
      <c r="T30" s="3900"/>
      <c r="U30" s="1293"/>
      <c r="V30" s="3901" t="str">
        <f>IF(TITLE_IST_PUB_CHANGE="",IF(TITLE_IST_PUB="","",TITLE_IST_PUB),TITLE_IST_PUB_CHANGE)</f>
        <v>http://pravo.stavregion.ru/</v>
      </c>
      <c r="W30" s="3901"/>
      <c r="X30" s="3901"/>
      <c r="Y30" s="3901"/>
      <c r="Z30" s="3901"/>
      <c r="AA30" s="3901"/>
      <c r="AB30" s="248"/>
      <c r="AC30" s="3901" t="str">
        <f>IF(TITLE_IST_PUB_CHANGE="",IF(TITLE_IST_PUB="","",TITLE_IST_PUB),TITLE_IST_PUB_CHANGE)</f>
        <v>http://pravo.stavregion.ru/</v>
      </c>
      <c r="AD30" s="3901"/>
      <c r="AE30" s="3901"/>
      <c r="AF30" s="3901"/>
      <c r="AG30" s="3901"/>
      <c r="AH30" s="3901"/>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3900" t="s">
        <v>454</v>
      </c>
      <c r="T32" s="3900"/>
      <c r="U32" s="1293"/>
      <c r="V32" s="3910">
        <f>IF(TITLE_DATE_PR_CHANGE="",IF(TITLE_DATE_PR="","",TITLE_DATE_PR),TITLE_DATE_PR_CHANGE)</f>
        <v>45278</v>
      </c>
      <c r="W32" s="3910"/>
      <c r="X32" s="3910"/>
      <c r="Y32" s="3910"/>
      <c r="Z32" s="3910"/>
      <c r="AA32" s="3910"/>
      <c r="AB32" s="248"/>
      <c r="AC32" s="3910">
        <f>IF(TITLE_DATE_PR_CHANGE="",IF(TITLE_DATE_PR="","",TITLE_DATE_PR),TITLE_DATE_PR_CHANGE)</f>
        <v>45278</v>
      </c>
      <c r="AD32" s="3910"/>
      <c r="AE32" s="3910"/>
      <c r="AF32" s="3910"/>
      <c r="AG32" s="3910"/>
      <c r="AH32" s="3910"/>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3900" t="s">
        <v>455</v>
      </c>
      <c r="T33" s="3900"/>
      <c r="U33" s="1293"/>
      <c r="V33" s="3901" t="str">
        <f>IF(TITLE_NUMBER_PR_CHANGE="",IF(TITLE_NUMBER_PR="","",TITLE_NUMBER_PR),TITLE_NUMBER_PR_CHANGE)</f>
        <v>79/2</v>
      </c>
      <c r="W33" s="3901"/>
      <c r="X33" s="3901"/>
      <c r="Y33" s="3901"/>
      <c r="Z33" s="3901"/>
      <c r="AA33" s="3901"/>
      <c r="AB33" s="248"/>
      <c r="AC33" s="3901" t="str">
        <f>IF(TITLE_NUMBER_PR_CHANGE="",IF(TITLE_NUMBER_PR="","",TITLE_NUMBER_PR),TITLE_NUMBER_PR_CHANGE)</f>
        <v>79/2</v>
      </c>
      <c r="AD33" s="3901"/>
      <c r="AE33" s="3901"/>
      <c r="AF33" s="3901"/>
      <c r="AG33" s="3901"/>
      <c r="AH33" s="3901"/>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456</v>
      </c>
      <c r="AC34" s="248"/>
      <c r="AD34" s="248"/>
      <c r="AE34" s="248"/>
      <c r="AF34" s="248"/>
      <c r="AG34" s="248"/>
      <c r="AH34" s="248"/>
      <c r="AI34" s="194" t="s">
        <v>456</v>
      </c>
      <c r="AL34" s="292"/>
      <c r="AM34" s="292"/>
      <c r="AN34" s="292"/>
      <c r="AO34" s="292"/>
      <c r="AP34" s="292"/>
    </row>
    <row r="35" spans="1:42" ht="14.25" customHeight="1">
      <c r="Q35" s="300"/>
      <c r="R35" s="300"/>
      <c r="S35" s="1200"/>
      <c r="T35" s="286"/>
      <c r="U35" s="1158"/>
      <c r="V35" s="3902"/>
      <c r="W35" s="3902"/>
      <c r="X35" s="3902"/>
      <c r="Y35" s="3902"/>
      <c r="Z35" s="3902"/>
      <c r="AA35" s="3902"/>
      <c r="AB35" s="3902"/>
      <c r="AC35" s="3902"/>
      <c r="AD35" s="3902"/>
      <c r="AE35" s="3902"/>
      <c r="AF35" s="3902"/>
      <c r="AG35" s="3902"/>
      <c r="AH35" s="3902"/>
      <c r="AI35" s="3902"/>
    </row>
    <row r="36" spans="1:42" ht="14.25" customHeight="1">
      <c r="Q36" s="300"/>
      <c r="R36" s="300"/>
      <c r="S36" s="3778" t="s">
        <v>329</v>
      </c>
      <c r="T36" s="3778"/>
      <c r="U36" s="3778"/>
      <c r="V36" s="3778"/>
      <c r="W36" s="3778"/>
      <c r="X36" s="3778"/>
      <c r="Y36" s="3778"/>
      <c r="Z36" s="3778"/>
      <c r="AA36" s="3778"/>
      <c r="AB36" s="3778"/>
      <c r="AC36" s="3778"/>
      <c r="AD36" s="3778"/>
      <c r="AE36" s="3778"/>
      <c r="AF36" s="3778"/>
      <c r="AG36" s="3778"/>
      <c r="AH36" s="3778"/>
      <c r="AI36" s="3778"/>
      <c r="AJ36" s="3778"/>
      <c r="AK36" s="3778" t="s">
        <v>330</v>
      </c>
    </row>
    <row r="37" spans="1:42" ht="14.25" customHeight="1">
      <c r="Q37" s="300"/>
      <c r="R37" s="300"/>
      <c r="S37" s="3916" t="s">
        <v>86</v>
      </c>
      <c r="T37" s="3868" t="s">
        <v>457</v>
      </c>
      <c r="U37" s="215"/>
      <c r="V37" s="3917" t="s">
        <v>458</v>
      </c>
      <c r="W37" s="3918"/>
      <c r="X37" s="3918"/>
      <c r="Y37" s="3918"/>
      <c r="Z37" s="3918"/>
      <c r="AA37" s="3919"/>
      <c r="AB37" s="3920" t="s">
        <v>459</v>
      </c>
      <c r="AC37" s="3917" t="s">
        <v>458</v>
      </c>
      <c r="AD37" s="3918"/>
      <c r="AE37" s="3918"/>
      <c r="AF37" s="3918"/>
      <c r="AG37" s="3918"/>
      <c r="AH37" s="3919"/>
      <c r="AI37" s="3920" t="s">
        <v>460</v>
      </c>
      <c r="AJ37" s="3923" t="s">
        <v>461</v>
      </c>
      <c r="AK37" s="3778"/>
    </row>
    <row r="38" spans="1:42" ht="33.75" customHeight="1">
      <c r="Q38" s="300"/>
      <c r="R38" s="300"/>
      <c r="S38" s="3916"/>
      <c r="T38" s="3868"/>
      <c r="U38" s="942"/>
      <c r="V38" s="1398" t="s">
        <v>562</v>
      </c>
      <c r="W38" s="3749" t="s">
        <v>563</v>
      </c>
      <c r="X38" s="3748"/>
      <c r="Y38" s="3749" t="s">
        <v>465</v>
      </c>
      <c r="Z38" s="3754"/>
      <c r="AA38" s="3748"/>
      <c r="AB38" s="3921"/>
      <c r="AC38" s="1398" t="s">
        <v>562</v>
      </c>
      <c r="AD38" s="3749" t="s">
        <v>563</v>
      </c>
      <c r="AE38" s="3748"/>
      <c r="AF38" s="3749" t="s">
        <v>465</v>
      </c>
      <c r="AG38" s="3754"/>
      <c r="AH38" s="3748"/>
      <c r="AI38" s="3921"/>
      <c r="AJ38" s="3924"/>
      <c r="AK38" s="3778"/>
    </row>
    <row r="39" spans="1:42" ht="86.25" customHeight="1">
      <c r="A39" s="1291"/>
      <c r="B39" s="1291" t="s">
        <v>153</v>
      </c>
      <c r="C39" s="1291" t="s">
        <v>154</v>
      </c>
      <c r="D39" s="1291" t="s">
        <v>155</v>
      </c>
      <c r="E39" s="1285" t="s">
        <v>466</v>
      </c>
      <c r="F39" s="1285" t="s">
        <v>467</v>
      </c>
      <c r="G39" s="1285" t="s">
        <v>468</v>
      </c>
      <c r="H39" s="1285"/>
      <c r="I39" s="1285" t="s">
        <v>518</v>
      </c>
      <c r="J39" s="1285" t="s">
        <v>471</v>
      </c>
      <c r="K39" s="1285" t="s">
        <v>519</v>
      </c>
      <c r="L39" s="1285" t="s">
        <v>447</v>
      </c>
      <c r="Q39" s="300"/>
      <c r="R39" s="300"/>
      <c r="S39" s="3916"/>
      <c r="T39" s="3868"/>
      <c r="U39" s="216"/>
      <c r="V39" s="1398" t="s">
        <v>564</v>
      </c>
      <c r="W39" s="1133" t="s">
        <v>565</v>
      </c>
      <c r="X39" s="1133" t="s">
        <v>566</v>
      </c>
      <c r="Y39" s="1404" t="s">
        <v>475</v>
      </c>
      <c r="Z39" s="3876" t="s">
        <v>476</v>
      </c>
      <c r="AA39" s="3878"/>
      <c r="AB39" s="3922"/>
      <c r="AC39" s="1398" t="s">
        <v>564</v>
      </c>
      <c r="AD39" s="1133" t="s">
        <v>565</v>
      </c>
      <c r="AE39" s="1133" t="s">
        <v>566</v>
      </c>
      <c r="AF39" s="1404" t="s">
        <v>475</v>
      </c>
      <c r="AG39" s="3876" t="s">
        <v>476</v>
      </c>
      <c r="AH39" s="3878"/>
      <c r="AI39" s="3922"/>
      <c r="AJ39" s="3925"/>
      <c r="AK39" s="377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129</v>
      </c>
      <c r="T40" s="1177" t="s">
        <v>102</v>
      </c>
      <c r="U40" s="1159" t="str">
        <f ca="1">OFFSET(U40,0,-1)</f>
        <v>2</v>
      </c>
      <c r="V40" s="1397">
        <f ca="1">OFFSET(V40,0,-1)+1</f>
        <v>3</v>
      </c>
      <c r="W40" s="1397">
        <f ca="1">OFFSET(W40,0,-1)+1</f>
        <v>4</v>
      </c>
      <c r="X40" s="1397">
        <f ca="1">OFFSET(X40,0,-1)+1</f>
        <v>5</v>
      </c>
      <c r="Y40" s="1397">
        <f ca="1">OFFSET(Y40,0,-1)+1</f>
        <v>6</v>
      </c>
      <c r="Z40" s="3915">
        <f ca="1">OFFSET(Z40,0,-1)+1</f>
        <v>7</v>
      </c>
      <c r="AA40" s="3915"/>
      <c r="AB40" s="1397">
        <f ca="1">OFFSET(AB40,0,-2)+1</f>
        <v>8</v>
      </c>
      <c r="AC40" s="1397">
        <f ca="1">OFFSET(AC40,0,-1)+1</f>
        <v>9</v>
      </c>
      <c r="AD40" s="1397">
        <f ca="1">OFFSET(AD40,0,-1)+1</f>
        <v>10</v>
      </c>
      <c r="AE40" s="1397">
        <f ca="1">OFFSET(AE40,0,-1)+1</f>
        <v>11</v>
      </c>
      <c r="AF40" s="1397">
        <f ca="1">OFFSET(AF40,0,-1)+1</f>
        <v>12</v>
      </c>
      <c r="AG40" s="3915">
        <f ca="1">OFFSET(AG40,0,-1)+1</f>
        <v>13</v>
      </c>
      <c r="AH40" s="3915"/>
      <c r="AI40" s="1397">
        <f ca="1">OFFSET(AI40,0,-2)+1</f>
        <v>14</v>
      </c>
      <c r="AJ40" s="1159">
        <f ca="1">OFFSET(AJ40,0,-1)</f>
        <v>14</v>
      </c>
      <c r="AK40" s="1397">
        <f ca="1">OFFSET(AK40,0,-1)+1</f>
        <v>15</v>
      </c>
      <c r="AL40" s="435"/>
      <c r="AM40" s="435"/>
      <c r="AN40" s="435"/>
      <c r="AO40" s="435"/>
      <c r="AP40" s="435"/>
    </row>
    <row r="41" spans="1:42" ht="23.25" customHeight="1">
      <c r="A41" s="1284" t="s">
        <v>280</v>
      </c>
      <c r="B41" s="1284"/>
      <c r="C41" s="1284"/>
      <c r="D41" s="1284"/>
      <c r="E41" s="3908">
        <v>1</v>
      </c>
      <c r="F41" s="1284"/>
      <c r="G41" s="1284"/>
      <c r="H41" s="1284"/>
      <c r="I41" s="1284"/>
      <c r="J41" s="1284"/>
      <c r="K41" s="1284"/>
      <c r="L41" s="1285"/>
      <c r="M41" s="1286"/>
      <c r="N41" s="1286"/>
      <c r="O41" s="1286"/>
      <c r="P41" s="282"/>
      <c r="Q41" s="281"/>
      <c r="R41" s="276"/>
      <c r="S41" s="1408">
        <f>INDEX(PT_DIFFERENTIATION_NUM_NTAR,MATCH(A41,PT_DIFFERENTIATION_NTAR_ID,0))</f>
        <v>0</v>
      </c>
      <c r="T41" s="212" t="s">
        <v>141</v>
      </c>
      <c r="U41" s="214"/>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280</v>
      </c>
      <c r="B42" s="1284" t="s">
        <v>281</v>
      </c>
      <c r="C42" s="1284"/>
      <c r="D42" s="1284"/>
      <c r="E42" s="3909"/>
      <c r="F42" s="3908">
        <v>1</v>
      </c>
      <c r="G42" s="1284"/>
      <c r="H42" s="1284"/>
      <c r="I42" s="1284"/>
      <c r="J42" s="1284"/>
      <c r="K42" s="1284"/>
      <c r="L42" s="1285"/>
      <c r="M42" s="1286"/>
      <c r="N42" s="1286"/>
      <c r="O42" s="1286"/>
      <c r="P42" s="1402"/>
      <c r="Q42" s="273"/>
      <c r="R42" s="274"/>
      <c r="S42" s="1408" t="str">
        <f>INDEX(PT_DIFFERENTIATION_NUM_TER,MATCH(B42,PT_DIFFERENTIATION_TER_ID,0))</f>
        <v>.</v>
      </c>
      <c r="T42" s="224" t="s">
        <v>428</v>
      </c>
      <c r="U42" s="214"/>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182" t="s">
        <v>429</v>
      </c>
      <c r="AM42" s="424"/>
      <c r="AN42" s="424" t="str">
        <f t="shared" si="1"/>
        <v>Территория действия тарифа</v>
      </c>
      <c r="AO42" s="424"/>
      <c r="AP42" s="424"/>
    </row>
    <row r="43" spans="1:42" ht="23.25" customHeight="1">
      <c r="A43" s="1284" t="s">
        <v>280</v>
      </c>
      <c r="B43" s="1284" t="s">
        <v>281</v>
      </c>
      <c r="C43" s="1284" t="s">
        <v>282</v>
      </c>
      <c r="D43" s="1284"/>
      <c r="E43" s="3909"/>
      <c r="F43" s="3909"/>
      <c r="G43" s="3908">
        <v>1</v>
      </c>
      <c r="H43" s="1284"/>
      <c r="I43" s="1284"/>
      <c r="J43" s="1284"/>
      <c r="K43" s="1284"/>
      <c r="L43" s="1285"/>
      <c r="M43" s="1286"/>
      <c r="N43" s="1286"/>
      <c r="O43" s="1286"/>
      <c r="P43" s="275"/>
      <c r="Q43" s="273"/>
      <c r="R43" s="274"/>
      <c r="S43" s="1408" t="str">
        <f>INDEX(PT_DIFFERENTIATION_NUM_CS,MATCH(C43,PT_DIFFERENTIATION_CS_ID,0))</f>
        <v>..</v>
      </c>
      <c r="T43" s="225" t="s">
        <v>560</v>
      </c>
      <c r="U43" s="214"/>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182" t="s">
        <v>561</v>
      </c>
      <c r="AM43" s="424"/>
      <c r="AN43" s="424" t="str">
        <f t="shared" si="1"/>
        <v>Наименование централизованной системы горячего водоснабжения</v>
      </c>
      <c r="AO43" s="424"/>
      <c r="AP43" s="424"/>
    </row>
    <row r="44" spans="1:42" ht="23.25" customHeight="1">
      <c r="A44" s="1284" t="s">
        <v>280</v>
      </c>
      <c r="B44" s="1284" t="s">
        <v>281</v>
      </c>
      <c r="C44" s="1284" t="s">
        <v>282</v>
      </c>
      <c r="D44" s="1284" t="s">
        <v>567</v>
      </c>
      <c r="E44" s="3909"/>
      <c r="F44" s="3909"/>
      <c r="G44" s="3909"/>
      <c r="H44" s="3909"/>
      <c r="I44" s="3906" t="str">
        <f>S43&amp;".1"</f>
        <v>...1</v>
      </c>
      <c r="J44" s="1284"/>
      <c r="K44" s="1284"/>
      <c r="L44" s="1285"/>
      <c r="P44" s="3907">
        <v>1</v>
      </c>
      <c r="Q44" s="1396"/>
      <c r="R44" s="277"/>
      <c r="S44" s="1408" t="str">
        <f>$I44</f>
        <v>...1</v>
      </c>
      <c r="T44" s="200" t="s">
        <v>511</v>
      </c>
      <c r="U44" s="214"/>
      <c r="V44" s="3967"/>
      <c r="W44" s="3968"/>
      <c r="X44" s="3968"/>
      <c r="Y44" s="3968"/>
      <c r="Z44" s="3968"/>
      <c r="AA44" s="3968"/>
      <c r="AB44" s="3969"/>
      <c r="AC44" s="3970"/>
      <c r="AD44" s="3971"/>
      <c r="AE44" s="3971"/>
      <c r="AF44" s="3971"/>
      <c r="AG44" s="3971"/>
      <c r="AH44" s="3971"/>
      <c r="AI44" s="3971"/>
      <c r="AJ44" s="3972"/>
      <c r="AK44" s="1182" t="s">
        <v>512</v>
      </c>
      <c r="AM44" s="424"/>
      <c r="AN44" s="424" t="str">
        <f t="shared" si="1"/>
        <v>Наименование признака дифференциации</v>
      </c>
      <c r="AO44" s="424"/>
      <c r="AP44" s="424"/>
    </row>
    <row r="45" spans="1:42" ht="23.25" customHeight="1">
      <c r="A45" s="1284" t="s">
        <v>280</v>
      </c>
      <c r="B45" s="1284" t="s">
        <v>281</v>
      </c>
      <c r="C45" s="1284" t="s">
        <v>282</v>
      </c>
      <c r="D45" s="1284" t="s">
        <v>567</v>
      </c>
      <c r="E45" s="3909"/>
      <c r="F45" s="3909"/>
      <c r="G45" s="3909"/>
      <c r="H45" s="3909"/>
      <c r="I45" s="3929"/>
      <c r="J45" s="3906" t="str">
        <f>I44&amp;".1"</f>
        <v>...1.1</v>
      </c>
      <c r="K45" s="1284"/>
      <c r="L45" s="1285" t="s">
        <v>437</v>
      </c>
      <c r="P45" s="3907"/>
      <c r="Q45" s="3907">
        <v>1</v>
      </c>
      <c r="R45" s="278"/>
      <c r="S45" s="1408" t="str">
        <f>$J45</f>
        <v>...1.1</v>
      </c>
      <c r="T45" s="201" t="s">
        <v>438</v>
      </c>
      <c r="U45" s="214"/>
      <c r="V45" s="3897"/>
      <c r="W45" s="3898"/>
      <c r="X45" s="3898"/>
      <c r="Y45" s="3898"/>
      <c r="Z45" s="3898"/>
      <c r="AA45" s="3898"/>
      <c r="AB45" s="3899"/>
      <c r="AC45" s="3897"/>
      <c r="AD45" s="3898"/>
      <c r="AE45" s="3898"/>
      <c r="AF45" s="3898"/>
      <c r="AG45" s="3898"/>
      <c r="AH45" s="3898"/>
      <c r="AI45" s="3898"/>
      <c r="AJ45" s="3899"/>
      <c r="AK45" s="1231" t="s">
        <v>513</v>
      </c>
      <c r="AM45" s="424"/>
      <c r="AN45" s="424" t="str">
        <f t="shared" si="1"/>
        <v>Группа потребителей</v>
      </c>
      <c r="AO45" s="424"/>
      <c r="AP45" s="424"/>
    </row>
    <row r="46" spans="1:42" ht="23.25" customHeight="1">
      <c r="A46" s="1284" t="s">
        <v>280</v>
      </c>
      <c r="B46" s="1284" t="s">
        <v>281</v>
      </c>
      <c r="C46" s="1284" t="s">
        <v>282</v>
      </c>
      <c r="D46" s="1284" t="s">
        <v>567</v>
      </c>
      <c r="E46" s="3909"/>
      <c r="F46" s="3909"/>
      <c r="G46" s="3909"/>
      <c r="H46" s="3909"/>
      <c r="I46" s="3929"/>
      <c r="J46" s="3929"/>
      <c r="K46" s="3906" t="str">
        <f>J45&amp;".1"</f>
        <v>...1.1.1</v>
      </c>
      <c r="L46" s="1285"/>
      <c r="P46" s="3907"/>
      <c r="Q46" s="3907"/>
      <c r="R46" s="278">
        <v>1</v>
      </c>
      <c r="S46" s="1408" t="str">
        <f>$K46</f>
        <v>...1.1.1</v>
      </c>
      <c r="T46" s="1357"/>
      <c r="U46" s="214"/>
      <c r="V46" s="1281"/>
      <c r="W46" s="1281"/>
      <c r="X46" s="1282"/>
      <c r="Y46" s="3913"/>
      <c r="Z46" s="3914" t="s">
        <v>60</v>
      </c>
      <c r="AA46" s="3913"/>
      <c r="AB46" s="3914" t="s">
        <v>60</v>
      </c>
      <c r="AC46" s="666"/>
      <c r="AD46" s="666"/>
      <c r="AE46" s="1181"/>
      <c r="AF46" s="3911"/>
      <c r="AG46" s="3759" t="s">
        <v>60</v>
      </c>
      <c r="AH46" s="3930"/>
      <c r="AI46" s="3759" t="s">
        <v>55</v>
      </c>
      <c r="AJ46" s="1358"/>
      <c r="AK46" s="39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280</v>
      </c>
      <c r="B47" s="1284" t="s">
        <v>281</v>
      </c>
      <c r="C47" s="1284" t="s">
        <v>282</v>
      </c>
      <c r="D47" s="1284" t="s">
        <v>567</v>
      </c>
      <c r="E47" s="3909"/>
      <c r="F47" s="3909"/>
      <c r="G47" s="3909"/>
      <c r="H47" s="3909"/>
      <c r="I47" s="3929"/>
      <c r="J47" s="3929"/>
      <c r="K47" s="3906"/>
      <c r="L47" s="1285"/>
      <c r="P47" s="3907"/>
      <c r="Q47" s="3907"/>
      <c r="R47" s="278"/>
      <c r="S47" s="1405"/>
      <c r="T47" s="214"/>
      <c r="U47" s="214"/>
      <c r="V47" s="1281"/>
      <c r="W47" s="1281"/>
      <c r="X47" s="250" t="str">
        <f>Y46&amp;"-"&amp;AA46</f>
        <v>-</v>
      </c>
      <c r="Y47" s="3914"/>
      <c r="Z47" s="3914"/>
      <c r="AA47" s="3914"/>
      <c r="AB47" s="3914"/>
      <c r="AC47" s="246"/>
      <c r="AD47" s="246"/>
      <c r="AE47" s="250" t="str">
        <f>AF46&amp;"-"&amp;AH46</f>
        <v>-</v>
      </c>
      <c r="AF47" s="3912"/>
      <c r="AG47" s="3759"/>
      <c r="AH47" s="3931"/>
      <c r="AI47" s="3759"/>
      <c r="AJ47" s="1359"/>
      <c r="AK47" s="3966"/>
      <c r="AM47" s="424"/>
      <c r="AN47" s="424" t="str">
        <f t="shared" si="1"/>
        <v/>
      </c>
      <c r="AO47" s="424"/>
      <c r="AP47" s="424"/>
    </row>
    <row r="48" spans="1:42" ht="21" customHeight="1">
      <c r="A48" s="1284" t="s">
        <v>280</v>
      </c>
      <c r="B48" s="1284" t="s">
        <v>281</v>
      </c>
      <c r="C48" s="1284" t="s">
        <v>282</v>
      </c>
      <c r="D48" s="1284" t="s">
        <v>567</v>
      </c>
      <c r="E48" s="3909"/>
      <c r="F48" s="3909"/>
      <c r="G48" s="3909"/>
      <c r="H48" s="3909"/>
      <c r="I48" s="3929"/>
      <c r="J48" s="3906"/>
      <c r="K48" s="1284"/>
      <c r="L48" s="1285"/>
      <c r="P48" s="3907"/>
      <c r="Q48" s="3907"/>
      <c r="R48" s="277"/>
      <c r="S48" s="1203"/>
      <c r="T48" s="202" t="s">
        <v>514</v>
      </c>
      <c r="U48" s="291"/>
      <c r="V48" s="291"/>
      <c r="W48" s="291"/>
      <c r="X48" s="291"/>
      <c r="Y48" s="291"/>
      <c r="Z48" s="291"/>
      <c r="AA48" s="291"/>
      <c r="AB48" s="291"/>
      <c r="AC48" s="291"/>
      <c r="AD48" s="291"/>
      <c r="AE48" s="291"/>
      <c r="AF48" s="291"/>
      <c r="AG48" s="291"/>
      <c r="AH48" s="291"/>
      <c r="AI48" s="291"/>
      <c r="AJ48" s="291"/>
      <c r="AK48" s="1182" t="s">
        <v>515</v>
      </c>
      <c r="AM48" s="424"/>
      <c r="AN48" s="424" t="str">
        <f t="shared" si="1"/>
        <v>Добавить значение признака дифференциации</v>
      </c>
      <c r="AO48" s="424"/>
      <c r="AP48" s="424"/>
    </row>
    <row r="49" spans="1:42" ht="21" customHeight="1">
      <c r="A49" s="1284" t="s">
        <v>280</v>
      </c>
      <c r="B49" s="1284" t="s">
        <v>281</v>
      </c>
      <c r="C49" s="1284" t="s">
        <v>282</v>
      </c>
      <c r="D49" s="1284" t="s">
        <v>567</v>
      </c>
      <c r="E49" s="3909"/>
      <c r="F49" s="3909"/>
      <c r="G49" s="3909"/>
      <c r="H49" s="3909"/>
      <c r="I49" s="3906"/>
      <c r="J49" s="1284"/>
      <c r="K49" s="1284"/>
      <c r="L49" s="1285"/>
      <c r="P49" s="3907"/>
      <c r="Q49" s="1396"/>
      <c r="R49" s="277"/>
      <c r="S49" s="1203"/>
      <c r="T49" s="288" t="s">
        <v>443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280</v>
      </c>
      <c r="B50" s="1284" t="s">
        <v>281</v>
      </c>
      <c r="C50" s="1284" t="s">
        <v>282</v>
      </c>
      <c r="D50" s="1284" t="s">
        <v>567</v>
      </c>
      <c r="E50" s="3909"/>
      <c r="F50" s="3909"/>
      <c r="G50" s="3909"/>
      <c r="H50" s="3908"/>
      <c r="I50" s="1284"/>
      <c r="J50" s="1284"/>
      <c r="K50" s="1284"/>
      <c r="L50" s="1285"/>
      <c r="M50" s="1286"/>
      <c r="N50" s="1286"/>
      <c r="O50" s="460"/>
      <c r="P50" s="281"/>
      <c r="Q50" s="299"/>
      <c r="R50" s="276"/>
      <c r="S50" s="1203"/>
      <c r="T50" s="296" t="s">
        <v>516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280</v>
      </c>
      <c r="B51" s="1265" t="s">
        <v>281</v>
      </c>
      <c r="C51" s="1237"/>
      <c r="D51" s="1237"/>
      <c r="E51" s="3909"/>
      <c r="F51" s="3908"/>
      <c r="G51" s="1237"/>
      <c r="H51" s="1237"/>
      <c r="I51" s="1237"/>
      <c r="J51" s="1237"/>
      <c r="K51" s="1237"/>
      <c r="L51" s="1409"/>
      <c r="M51" s="1244"/>
      <c r="N51" s="1244"/>
      <c r="P51" s="1239"/>
      <c r="Q51" s="1240"/>
      <c r="R51" s="1239"/>
      <c r="S51" s="1245"/>
      <c r="T51" s="1248" t="s">
        <v>240</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280</v>
      </c>
      <c r="B52" s="1265"/>
      <c r="C52" s="1265"/>
      <c r="D52" s="1265"/>
      <c r="E52" s="3908"/>
      <c r="F52" s="1265"/>
      <c r="G52" s="1265"/>
      <c r="H52" s="1265"/>
      <c r="I52" s="1265"/>
      <c r="J52" s="1265"/>
      <c r="K52" s="1265"/>
      <c r="L52" s="1268"/>
      <c r="M52" s="1244"/>
      <c r="N52" s="1244"/>
      <c r="O52" s="442"/>
      <c r="P52" s="308"/>
      <c r="Q52" s="1266"/>
      <c r="R52" s="308"/>
      <c r="S52" s="1245"/>
      <c r="T52" s="1248" t="s">
        <v>241</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262</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3928"/>
      <c r="U55" s="3928"/>
      <c r="V55" s="3928"/>
      <c r="W55" s="3928"/>
      <c r="X55" s="3928"/>
      <c r="Y55" s="3928"/>
      <c r="Z55" s="3928"/>
      <c r="AA55" s="3928"/>
      <c r="AB55" s="3928"/>
      <c r="AC55" s="3928"/>
      <c r="AD55" s="3928"/>
      <c r="AE55" s="3928"/>
      <c r="AF55" s="3928"/>
      <c r="AG55" s="3928"/>
      <c r="AH55" s="3928"/>
      <c r="AI55" s="3928"/>
      <c r="AJ55" s="3928"/>
      <c r="AK55" s="3928"/>
    </row>
    <row r="56" spans="1:42" ht="14.25" customHeight="1">
      <c r="O56" s="460"/>
    </row>
    <row r="57" spans="1:42" ht="14.25" customHeight="1">
      <c r="O57" s="460"/>
      <c r="S57" s="1169"/>
      <c r="T57" s="3928"/>
      <c r="U57" s="3928"/>
      <c r="V57" s="3928"/>
      <c r="W57" s="3928"/>
      <c r="X57" s="3928"/>
      <c r="Y57" s="3928"/>
      <c r="Z57" s="3928"/>
      <c r="AA57" s="3928"/>
      <c r="AB57" s="3928"/>
      <c r="AC57" s="3928"/>
      <c r="AD57" s="3928"/>
      <c r="AE57" s="3928"/>
      <c r="AF57" s="3928"/>
      <c r="AG57" s="3928"/>
      <c r="AH57" s="3928"/>
      <c r="AI57" s="3928"/>
      <c r="AJ57" s="3928"/>
      <c r="AK57" s="39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5"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0"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3908">
        <v>1</v>
      </c>
      <c r="F2" s="1284"/>
      <c r="G2" s="1284"/>
      <c r="H2" s="1284"/>
      <c r="I2" s="1284"/>
      <c r="J2" s="1284"/>
      <c r="K2" s="1284"/>
      <c r="L2" s="1285"/>
      <c r="M2" s="1286"/>
      <c r="N2" s="1286"/>
      <c r="O2" s="1286"/>
      <c r="P2" s="1330"/>
      <c r="Q2" s="787"/>
      <c r="R2" s="276"/>
      <c r="S2" s="1408" t="e">
        <f>INDEX(PT_DIFFERENTIATION_NUM_NTAR,MATCH(A2,PT_DIFFERENTIATION_NTAR_ID,0))</f>
        <v>#N/A</v>
      </c>
      <c r="T2" s="212" t="s">
        <v>141</v>
      </c>
      <c r="U2" s="214"/>
      <c r="V2" s="3895"/>
      <c r="W2" s="3895"/>
      <c r="X2" s="3895"/>
      <c r="Y2" s="3895"/>
      <c r="Z2" s="3895"/>
      <c r="AA2" s="3895"/>
      <c r="AB2" s="3895"/>
      <c r="AC2" s="3896"/>
      <c r="AD2" s="3894" t="e">
        <f>INDEX(PT_DIFFERENTIATION_NTAR,MATCH(A2,PT_DIFFERENTIATION_NTAR_ID,0))</f>
        <v>#N/A</v>
      </c>
      <c r="AE2" s="3895"/>
      <c r="AF2" s="3895"/>
      <c r="AG2" s="3895"/>
      <c r="AH2" s="3895"/>
      <c r="AI2" s="3895"/>
      <c r="AJ2" s="3895"/>
      <c r="AK2" s="3895"/>
      <c r="AL2" s="3895"/>
      <c r="AM2" s="3895"/>
      <c r="AN2" s="3895"/>
      <c r="AO2" s="3895"/>
      <c r="AP2" s="3895"/>
      <c r="AQ2" s="3895"/>
      <c r="AR2" s="3895"/>
      <c r="AS2" s="3895"/>
      <c r="AT2" s="3895"/>
      <c r="AU2" s="3895"/>
      <c r="AV2" s="3895"/>
      <c r="AW2" s="3895"/>
      <c r="AX2" s="3895"/>
      <c r="AY2" s="3895"/>
      <c r="AZ2" s="3895"/>
      <c r="BA2" s="3895"/>
      <c r="BB2" s="389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3909"/>
      <c r="F3" s="3908">
        <v>1</v>
      </c>
      <c r="G3" s="1284"/>
      <c r="H3" s="1284"/>
      <c r="I3" s="1284"/>
      <c r="J3" s="1284"/>
      <c r="K3" s="1284"/>
      <c r="L3" s="1285"/>
      <c r="M3" s="1286"/>
      <c r="N3" s="1286"/>
      <c r="O3" s="1286"/>
      <c r="P3" s="1331"/>
      <c r="Q3" s="1332"/>
      <c r="R3" s="274"/>
      <c r="S3" s="1408" t="e">
        <f>INDEX(PT_DIFFERENTIATION_NUM_TER,MATCH(B3,PT_DIFFERENTIATION_TER_ID,0))</f>
        <v>#N/A</v>
      </c>
      <c r="T3" s="224" t="s">
        <v>428</v>
      </c>
      <c r="U3" s="214"/>
      <c r="V3" s="3895"/>
      <c r="W3" s="3895"/>
      <c r="X3" s="3895"/>
      <c r="Y3" s="3895"/>
      <c r="Z3" s="3895"/>
      <c r="AA3" s="3895"/>
      <c r="AB3" s="3895"/>
      <c r="AC3" s="3896"/>
      <c r="AD3" s="3894" t="e">
        <f>INDEX(PT_DIFFERENTIATION_TER,MATCH(B3,PT_DIFFERENTIATION_TER_ID,0))</f>
        <v>#N/A</v>
      </c>
      <c r="AE3" s="3895"/>
      <c r="AF3" s="3895"/>
      <c r="AG3" s="3895"/>
      <c r="AH3" s="3895"/>
      <c r="AI3" s="3895"/>
      <c r="AJ3" s="3895"/>
      <c r="AK3" s="3895"/>
      <c r="AL3" s="3895"/>
      <c r="AM3" s="3895"/>
      <c r="AN3" s="3895"/>
      <c r="AO3" s="3895"/>
      <c r="AP3" s="3895"/>
      <c r="AQ3" s="3895"/>
      <c r="AR3" s="3895"/>
      <c r="AS3" s="3895"/>
      <c r="AT3" s="3895"/>
      <c r="AU3" s="3895"/>
      <c r="AV3" s="3895"/>
      <c r="AW3" s="3895"/>
      <c r="AX3" s="3895"/>
      <c r="AY3" s="3895"/>
      <c r="AZ3" s="3895"/>
      <c r="BA3" s="3895"/>
      <c r="BB3" s="3896"/>
      <c r="BC3" s="1182" t="s">
        <v>429</v>
      </c>
      <c r="BE3" s="424"/>
      <c r="BF3" s="424" t="str">
        <f t="shared" si="0"/>
        <v>Территория действия тарифа</v>
      </c>
      <c r="BG3" s="424"/>
      <c r="BH3" s="424"/>
    </row>
    <row r="4" spans="1:60" ht="33.75" hidden="1" customHeight="1">
      <c r="A4" s="1284"/>
      <c r="B4" s="1284"/>
      <c r="C4" s="1284"/>
      <c r="D4" s="1284"/>
      <c r="E4" s="3909"/>
      <c r="F4" s="3909"/>
      <c r="G4" s="3908">
        <v>1</v>
      </c>
      <c r="H4" s="1284"/>
      <c r="I4" s="1284"/>
      <c r="J4" s="1284"/>
      <c r="K4" s="1284"/>
      <c r="L4" s="1285"/>
      <c r="M4" s="1286"/>
      <c r="N4" s="1286"/>
      <c r="O4" s="1286"/>
      <c r="P4" s="1333"/>
      <c r="Q4" s="1332"/>
      <c r="R4" s="274"/>
      <c r="S4" s="1408" t="e">
        <f>INDEX(PT_DIFFERENTIATION_NUM_CS,MATCH(C4,PT_DIFFERENTIATION_CS_ID,0))</f>
        <v>#N/A</v>
      </c>
      <c r="T4" s="225" t="s">
        <v>560</v>
      </c>
      <c r="U4" s="214"/>
      <c r="V4" s="3895"/>
      <c r="W4" s="3895"/>
      <c r="X4" s="3895"/>
      <c r="Y4" s="3895"/>
      <c r="Z4" s="3895"/>
      <c r="AA4" s="3895"/>
      <c r="AB4" s="3895"/>
      <c r="AC4" s="3896"/>
      <c r="AD4" s="3894" t="e">
        <f>INDEX(PT_DIFFERENTIATION_CS,MATCH(C4,PT_DIFFERENTIATION_CS_ID,0))</f>
        <v>#N/A</v>
      </c>
      <c r="AE4" s="3895"/>
      <c r="AF4" s="3895"/>
      <c r="AG4" s="3895"/>
      <c r="AH4" s="3895"/>
      <c r="AI4" s="3895"/>
      <c r="AJ4" s="3895"/>
      <c r="AK4" s="3895"/>
      <c r="AL4" s="3895"/>
      <c r="AM4" s="3895"/>
      <c r="AN4" s="3895"/>
      <c r="AO4" s="3895"/>
      <c r="AP4" s="3895"/>
      <c r="AQ4" s="3895"/>
      <c r="AR4" s="3895"/>
      <c r="AS4" s="3895"/>
      <c r="AT4" s="3895"/>
      <c r="AU4" s="3895"/>
      <c r="AV4" s="3895"/>
      <c r="AW4" s="3895"/>
      <c r="AX4" s="3895"/>
      <c r="AY4" s="3895"/>
      <c r="AZ4" s="3895"/>
      <c r="BA4" s="3895"/>
      <c r="BB4" s="3896"/>
      <c r="BC4" s="1182" t="s">
        <v>561</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3909"/>
      <c r="F5" s="3909"/>
      <c r="G5" s="3909"/>
      <c r="H5" s="3908">
        <v>1</v>
      </c>
      <c r="I5" s="1265"/>
      <c r="J5" s="1265"/>
      <c r="K5" s="1265"/>
      <c r="L5" s="1268"/>
      <c r="M5" s="1238"/>
      <c r="N5" s="1238"/>
      <c r="O5" s="1238"/>
      <c r="P5" s="1412"/>
      <c r="Q5" s="1413"/>
      <c r="R5" s="278"/>
      <c r="S5" s="953"/>
      <c r="T5" s="1414"/>
      <c r="U5" s="1305"/>
      <c r="V5" s="3936"/>
      <c r="W5" s="3936"/>
      <c r="X5" s="3936"/>
      <c r="Y5" s="3936"/>
      <c r="Z5" s="3936"/>
      <c r="AA5" s="3936"/>
      <c r="AB5" s="3936"/>
      <c r="AC5" s="3937"/>
      <c r="AD5" s="3935"/>
      <c r="AE5" s="3936"/>
      <c r="AF5" s="3936"/>
      <c r="AG5" s="3936"/>
      <c r="AH5" s="3936"/>
      <c r="AI5" s="3936"/>
      <c r="AJ5" s="3936"/>
      <c r="AK5" s="3936"/>
      <c r="AL5" s="3936"/>
      <c r="AM5" s="3936"/>
      <c r="AN5" s="3936"/>
      <c r="AO5" s="3936"/>
      <c r="AP5" s="3936"/>
      <c r="AQ5" s="3936"/>
      <c r="AR5" s="3936"/>
      <c r="AS5" s="3936"/>
      <c r="AT5" s="3936"/>
      <c r="AU5" s="3936"/>
      <c r="AV5" s="3936"/>
      <c r="AW5" s="3936"/>
      <c r="AX5" s="3936"/>
      <c r="AY5" s="3936"/>
      <c r="AZ5" s="3936"/>
      <c r="BA5" s="3936"/>
      <c r="BB5" s="3937"/>
      <c r="BC5" s="1306" t="s">
        <v>433</v>
      </c>
      <c r="BE5" s="424"/>
      <c r="BF5" s="424" t="str">
        <f t="shared" si="0"/>
        <v/>
      </c>
      <c r="BG5" s="424"/>
      <c r="BH5" s="424"/>
    </row>
    <row r="6" spans="1:60" s="1562" customFormat="1" ht="14.25" hidden="1" customHeight="1">
      <c r="A6" s="1265"/>
      <c r="B6" s="1265"/>
      <c r="C6" s="1265"/>
      <c r="D6" s="1265"/>
      <c r="E6" s="3909"/>
      <c r="F6" s="3909"/>
      <c r="G6" s="3909"/>
      <c r="H6" s="3909"/>
      <c r="I6" s="3906" t="str">
        <f>S5&amp;".1"</f>
        <v>.1</v>
      </c>
      <c r="J6" s="1265"/>
      <c r="K6" s="1265"/>
      <c r="L6" s="1268" t="s">
        <v>434</v>
      </c>
      <c r="M6" s="434"/>
      <c r="N6" s="434"/>
      <c r="O6" s="434"/>
      <c r="P6" s="3907">
        <v>1</v>
      </c>
      <c r="Q6" s="1396"/>
      <c r="R6" s="277"/>
      <c r="S6" s="953"/>
      <c r="T6" s="1304"/>
      <c r="U6" s="1305"/>
      <c r="V6" s="3936"/>
      <c r="W6" s="3936"/>
      <c r="X6" s="3936"/>
      <c r="Y6" s="3936"/>
      <c r="Z6" s="3936"/>
      <c r="AA6" s="3936"/>
      <c r="AB6" s="3936"/>
      <c r="AC6" s="3937"/>
      <c r="AD6" s="3935"/>
      <c r="AE6" s="3936"/>
      <c r="AF6" s="3936"/>
      <c r="AG6" s="3936"/>
      <c r="AH6" s="3936"/>
      <c r="AI6" s="3936"/>
      <c r="AJ6" s="3936"/>
      <c r="AK6" s="3936"/>
      <c r="AL6" s="3936"/>
      <c r="AM6" s="3936"/>
      <c r="AN6" s="3936"/>
      <c r="AO6" s="3936"/>
      <c r="AP6" s="3936"/>
      <c r="AQ6" s="3936"/>
      <c r="AR6" s="3936"/>
      <c r="AS6" s="3936"/>
      <c r="AT6" s="3936"/>
      <c r="AU6" s="3936"/>
      <c r="AV6" s="3936"/>
      <c r="AW6" s="3936"/>
      <c r="AX6" s="3936"/>
      <c r="AY6" s="3936"/>
      <c r="AZ6" s="3936"/>
      <c r="BA6" s="3936"/>
      <c r="BB6" s="3937"/>
      <c r="BC6" s="1306"/>
      <c r="BE6" s="424"/>
      <c r="BF6" s="424" t="str">
        <f t="shared" si="0"/>
        <v/>
      </c>
      <c r="BG6" s="424"/>
      <c r="BH6" s="424"/>
    </row>
    <row r="7" spans="1:60" s="1562" customFormat="1" ht="14.25" hidden="1" customHeight="1">
      <c r="A7" s="1265"/>
      <c r="B7" s="1265"/>
      <c r="C7" s="1265"/>
      <c r="D7" s="1265"/>
      <c r="E7" s="3909"/>
      <c r="F7" s="3909"/>
      <c r="G7" s="3909"/>
      <c r="H7" s="3909"/>
      <c r="I7" s="3929"/>
      <c r="J7" s="3906" t="str">
        <f>S5&amp;".1"</f>
        <v>.1</v>
      </c>
      <c r="K7" s="1265"/>
      <c r="L7" s="1268"/>
      <c r="M7" s="434"/>
      <c r="N7" s="434"/>
      <c r="O7" s="434"/>
      <c r="P7" s="3907"/>
      <c r="Q7" s="3907">
        <v>1</v>
      </c>
      <c r="R7" s="278"/>
      <c r="S7" s="953"/>
      <c r="T7" s="1320"/>
      <c r="U7" s="1305"/>
      <c r="V7" s="3936"/>
      <c r="W7" s="3936"/>
      <c r="X7" s="3936"/>
      <c r="Y7" s="3936"/>
      <c r="Z7" s="3936"/>
      <c r="AA7" s="3936"/>
      <c r="AB7" s="3936"/>
      <c r="AC7" s="3937"/>
      <c r="AD7" s="3935"/>
      <c r="AE7" s="3936"/>
      <c r="AF7" s="3936"/>
      <c r="AG7" s="3936"/>
      <c r="AH7" s="3936"/>
      <c r="AI7" s="3936"/>
      <c r="AJ7" s="3936"/>
      <c r="AK7" s="3936"/>
      <c r="AL7" s="3936"/>
      <c r="AM7" s="3936"/>
      <c r="AN7" s="3936"/>
      <c r="AO7" s="3936"/>
      <c r="AP7" s="3936"/>
      <c r="AQ7" s="3936"/>
      <c r="AR7" s="3936"/>
      <c r="AS7" s="3936"/>
      <c r="AT7" s="3936"/>
      <c r="AU7" s="3936"/>
      <c r="AV7" s="3936"/>
      <c r="AW7" s="3936"/>
      <c r="AX7" s="3936"/>
      <c r="AY7" s="3936"/>
      <c r="AZ7" s="3936"/>
      <c r="BA7" s="3936"/>
      <c r="BB7" s="3937"/>
      <c r="BC7" s="1306"/>
      <c r="BE7" s="424"/>
      <c r="BF7" s="424" t="str">
        <f t="shared" si="0"/>
        <v/>
      </c>
      <c r="BG7" s="424"/>
      <c r="BH7" s="424"/>
    </row>
    <row r="8" spans="1:60" ht="11.25" hidden="1" customHeight="1">
      <c r="A8" s="1284"/>
      <c r="B8" s="1284"/>
      <c r="C8" s="1284"/>
      <c r="D8" s="1284"/>
      <c r="E8" s="3909"/>
      <c r="F8" s="3909"/>
      <c r="G8" s="3909"/>
      <c r="H8" s="3909"/>
      <c r="I8" s="3929"/>
      <c r="J8" s="3929"/>
      <c r="K8" s="3906" t="e">
        <f>S4&amp;".1"</f>
        <v>#N/A</v>
      </c>
      <c r="L8" s="1285"/>
      <c r="P8" s="3907"/>
      <c r="Q8" s="3907"/>
      <c r="R8" s="3964">
        <v>1</v>
      </c>
      <c r="S8" s="3958" t="e">
        <f>$K8</f>
        <v>#N/A</v>
      </c>
      <c r="T8" s="3977"/>
      <c r="U8" s="214"/>
      <c r="V8" s="666"/>
      <c r="W8" s="1181"/>
      <c r="X8" s="666"/>
      <c r="Y8" s="1181"/>
      <c r="Z8" s="1653"/>
      <c r="AA8" s="1385" t="s">
        <v>60</v>
      </c>
      <c r="AB8" s="1653"/>
      <c r="AC8" s="1385" t="s">
        <v>60</v>
      </c>
      <c r="AD8" s="3833" t="s">
        <v>60</v>
      </c>
      <c r="AE8" s="3944"/>
      <c r="AF8" s="3863">
        <v>1</v>
      </c>
      <c r="AG8" s="3981"/>
      <c r="AH8" s="3759" t="s">
        <v>60</v>
      </c>
      <c r="AI8" s="3944"/>
      <c r="AJ8" s="3863">
        <v>1</v>
      </c>
      <c r="AK8" s="3980" t="s">
        <v>24</v>
      </c>
      <c r="AL8" s="3759" t="s">
        <v>60</v>
      </c>
      <c r="AM8" s="3853"/>
      <c r="AN8" s="3863">
        <v>1</v>
      </c>
      <c r="AO8" s="3974"/>
      <c r="AP8" s="3975" t="s">
        <v>60</v>
      </c>
      <c r="AQ8" s="227"/>
      <c r="AR8" s="1401">
        <v>1</v>
      </c>
      <c r="AS8" s="1407" t="s">
        <v>24</v>
      </c>
      <c r="AT8" s="666"/>
      <c r="AU8" s="1181"/>
      <c r="AV8" s="666"/>
      <c r="AW8" s="1181"/>
      <c r="AX8" s="1653"/>
      <c r="AY8" s="1385" t="s">
        <v>60</v>
      </c>
      <c r="AZ8" s="1653"/>
      <c r="BA8" s="1385" t="s">
        <v>60</v>
      </c>
      <c r="BB8" s="1270"/>
      <c r="BC8" s="3903" t="s">
        <v>531</v>
      </c>
      <c r="BE8" s="424"/>
      <c r="BF8" s="424" t="str">
        <f t="shared" si="0"/>
        <v/>
      </c>
      <c r="BG8" s="424"/>
      <c r="BH8" s="424"/>
    </row>
    <row r="9" spans="1:60" ht="11.25" hidden="1" customHeight="1">
      <c r="A9" s="1284"/>
      <c r="B9" s="1284"/>
      <c r="C9" s="1284"/>
      <c r="D9" s="1284"/>
      <c r="E9" s="3909"/>
      <c r="F9" s="3909"/>
      <c r="G9" s="3909"/>
      <c r="H9" s="3909"/>
      <c r="I9" s="3929"/>
      <c r="J9" s="3929"/>
      <c r="K9" s="3906"/>
      <c r="L9" s="1285"/>
      <c r="P9" s="3907"/>
      <c r="Q9" s="3907"/>
      <c r="R9" s="3964"/>
      <c r="S9" s="3959"/>
      <c r="T9" s="3978"/>
      <c r="U9" s="214"/>
      <c r="V9" s="1314"/>
      <c r="W9" s="1411"/>
      <c r="X9" s="1314"/>
      <c r="Y9" s="1411"/>
      <c r="Z9" s="1314"/>
      <c r="AA9" s="1314"/>
      <c r="AB9" s="1314"/>
      <c r="AC9" s="1314"/>
      <c r="AD9" s="3834"/>
      <c r="AE9" s="3944"/>
      <c r="AF9" s="3863"/>
      <c r="AG9" s="3981"/>
      <c r="AH9" s="3759"/>
      <c r="AI9" s="3944"/>
      <c r="AJ9" s="3863"/>
      <c r="AK9" s="3980"/>
      <c r="AL9" s="3759"/>
      <c r="AM9" s="3858"/>
      <c r="AN9" s="3863"/>
      <c r="AO9" s="3974"/>
      <c r="AP9" s="3976"/>
      <c r="AQ9" s="234"/>
      <c r="AR9" s="345"/>
      <c r="AS9" s="345" t="s">
        <v>532</v>
      </c>
      <c r="AT9" s="1314"/>
      <c r="AU9" s="1411"/>
      <c r="AV9" s="1314"/>
      <c r="AW9" s="1411"/>
      <c r="AX9" s="1314"/>
      <c r="AY9" s="1314"/>
      <c r="AZ9" s="1314"/>
      <c r="BA9" s="1314"/>
      <c r="BB9" s="1318"/>
      <c r="BC9" s="3904"/>
      <c r="BE9" s="424"/>
      <c r="BF9" s="424"/>
      <c r="BG9" s="424"/>
      <c r="BH9" s="424"/>
    </row>
    <row r="10" spans="1:60" ht="11.25" hidden="1" customHeight="1">
      <c r="A10" s="1284"/>
      <c r="B10" s="1284"/>
      <c r="C10" s="1284"/>
      <c r="D10" s="1284"/>
      <c r="E10" s="3909"/>
      <c r="F10" s="3909"/>
      <c r="G10" s="3909"/>
      <c r="H10" s="3909"/>
      <c r="I10" s="3929"/>
      <c r="J10" s="3929"/>
      <c r="K10" s="3906"/>
      <c r="L10" s="1285"/>
      <c r="P10" s="3907"/>
      <c r="Q10" s="3907"/>
      <c r="R10" s="3964"/>
      <c r="S10" s="3959"/>
      <c r="T10" s="3978"/>
      <c r="U10" s="214"/>
      <c r="V10" s="1314"/>
      <c r="W10" s="1411"/>
      <c r="X10" s="1314"/>
      <c r="Y10" s="1411"/>
      <c r="Z10" s="1314"/>
      <c r="AA10" s="1314"/>
      <c r="AB10" s="1314"/>
      <c r="AC10" s="1314"/>
      <c r="AD10" s="3834"/>
      <c r="AE10" s="3944"/>
      <c r="AF10" s="3863"/>
      <c r="AG10" s="3981"/>
      <c r="AH10" s="3759"/>
      <c r="AI10" s="3944"/>
      <c r="AJ10" s="3863"/>
      <c r="AK10" s="3980"/>
      <c r="AL10" s="3759"/>
      <c r="AM10" s="234"/>
      <c r="AN10" s="1415"/>
      <c r="AO10" s="1415" t="s">
        <v>533</v>
      </c>
      <c r="AP10" s="345"/>
      <c r="AQ10" s="345"/>
      <c r="AR10" s="345"/>
      <c r="AS10" s="1314"/>
      <c r="AT10" s="1314"/>
      <c r="AU10" s="1411"/>
      <c r="AV10" s="1314"/>
      <c r="AW10" s="1411"/>
      <c r="AX10" s="1314"/>
      <c r="AY10" s="1314"/>
      <c r="AZ10" s="1314"/>
      <c r="BA10" s="1314"/>
      <c r="BB10" s="1318"/>
      <c r="BC10" s="3904"/>
      <c r="BE10" s="424"/>
      <c r="BF10" s="424"/>
      <c r="BG10" s="424"/>
      <c r="BH10" s="424"/>
    </row>
    <row r="11" spans="1:60" ht="11.25" hidden="1" customHeight="1">
      <c r="A11" s="1284"/>
      <c r="B11" s="1284"/>
      <c r="C11" s="1284"/>
      <c r="D11" s="1284"/>
      <c r="E11" s="3909"/>
      <c r="F11" s="3909"/>
      <c r="G11" s="3909"/>
      <c r="H11" s="3909"/>
      <c r="I11" s="3929"/>
      <c r="J11" s="3929"/>
      <c r="K11" s="3906"/>
      <c r="L11" s="1285"/>
      <c r="P11" s="3907"/>
      <c r="Q11" s="3907"/>
      <c r="R11" s="3964"/>
      <c r="S11" s="3959"/>
      <c r="T11" s="3978"/>
      <c r="U11" s="214"/>
      <c r="V11" s="1314"/>
      <c r="W11" s="1411"/>
      <c r="X11" s="1314"/>
      <c r="Y11" s="1411"/>
      <c r="Z11" s="1314"/>
      <c r="AA11" s="1314"/>
      <c r="AB11" s="1314"/>
      <c r="AC11" s="1314"/>
      <c r="AD11" s="3834"/>
      <c r="AE11" s="3944"/>
      <c r="AF11" s="3863"/>
      <c r="AG11" s="3981"/>
      <c r="AH11" s="3759"/>
      <c r="AI11" s="208"/>
      <c r="AJ11" s="344"/>
      <c r="AK11" s="229" t="s">
        <v>534</v>
      </c>
      <c r="AL11" s="1314"/>
      <c r="AM11" s="1314"/>
      <c r="AN11" s="1314"/>
      <c r="AO11" s="1314"/>
      <c r="AP11" s="1314"/>
      <c r="AQ11" s="1314"/>
      <c r="AR11" s="1314"/>
      <c r="AS11" s="1314"/>
      <c r="AT11" s="1314"/>
      <c r="AU11" s="1411"/>
      <c r="AV11" s="1314"/>
      <c r="AW11" s="1411"/>
      <c r="AX11" s="1314"/>
      <c r="AY11" s="1314"/>
      <c r="AZ11" s="1314"/>
      <c r="BA11" s="1314"/>
      <c r="BB11" s="1318"/>
      <c r="BC11" s="3904"/>
      <c r="BE11" s="424"/>
      <c r="BF11" s="424"/>
      <c r="BG11" s="424"/>
      <c r="BH11" s="424"/>
    </row>
    <row r="12" spans="1:60" ht="11.25" hidden="1" customHeight="1">
      <c r="A12" s="1284"/>
      <c r="B12" s="1284"/>
      <c r="C12" s="1284"/>
      <c r="D12" s="1284"/>
      <c r="E12" s="3909"/>
      <c r="F12" s="3909"/>
      <c r="G12" s="3909"/>
      <c r="H12" s="3909"/>
      <c r="I12" s="3929"/>
      <c r="J12" s="3929"/>
      <c r="K12" s="3906"/>
      <c r="L12" s="1285"/>
      <c r="P12" s="3907"/>
      <c r="Q12" s="3907"/>
      <c r="R12" s="3964"/>
      <c r="S12" s="3960"/>
      <c r="T12" s="3979"/>
      <c r="U12" s="214"/>
      <c r="V12" s="1314"/>
      <c r="W12" s="1315" t="str">
        <f>Z8&amp;"-"&amp;AB8</f>
        <v>-</v>
      </c>
      <c r="X12" s="1314"/>
      <c r="Y12" s="1315" t="str">
        <f>AB8&amp;"-"&amp;AD8</f>
        <v>-да</v>
      </c>
      <c r="Z12" s="1314"/>
      <c r="AA12" s="1314"/>
      <c r="AB12" s="1314"/>
      <c r="AC12" s="1314"/>
      <c r="AD12" s="3764"/>
      <c r="AE12" s="228"/>
      <c r="AF12" s="230"/>
      <c r="AG12" s="345" t="s">
        <v>535</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3904"/>
      <c r="BE12" s="424"/>
      <c r="BF12" s="424" t="str">
        <f t="shared" ref="BF12:BF18" si="1">IF(T12="","",T12)</f>
        <v/>
      </c>
      <c r="BG12" s="424"/>
      <c r="BH12" s="424"/>
    </row>
    <row r="13" spans="1:60" ht="11.25" hidden="1" customHeight="1">
      <c r="A13" s="1284"/>
      <c r="B13" s="1284"/>
      <c r="C13" s="1284"/>
      <c r="D13" s="1284"/>
      <c r="E13" s="3909"/>
      <c r="F13" s="3909"/>
      <c r="G13" s="3909"/>
      <c r="H13" s="3909"/>
      <c r="I13" s="3929"/>
      <c r="J13" s="3906"/>
      <c r="K13" s="1284"/>
      <c r="L13" s="1285"/>
      <c r="P13" s="3907"/>
      <c r="Q13" s="3907"/>
      <c r="R13" s="277"/>
      <c r="S13" s="1203"/>
      <c r="T13" s="202" t="s">
        <v>495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3905"/>
      <c r="BE13" s="424"/>
      <c r="BF13" s="424" t="str">
        <f t="shared" si="1"/>
        <v>Добавить строку</v>
      </c>
      <c r="BG13" s="424"/>
      <c r="BH13" s="424"/>
    </row>
    <row r="14" spans="1:60" s="1562" customFormat="1" ht="14.25" hidden="1" customHeight="1">
      <c r="A14" s="1265"/>
      <c r="B14" s="1265"/>
      <c r="C14" s="1265"/>
      <c r="D14" s="1265"/>
      <c r="E14" s="3909"/>
      <c r="F14" s="3909"/>
      <c r="G14" s="3909"/>
      <c r="H14" s="3909"/>
      <c r="I14" s="3906"/>
      <c r="J14" s="1265"/>
      <c r="K14" s="1265"/>
      <c r="L14" s="1268"/>
      <c r="M14" s="434"/>
      <c r="N14" s="434"/>
      <c r="O14" s="434"/>
      <c r="P14" s="3907"/>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3909"/>
      <c r="F15" s="3909"/>
      <c r="G15" s="3909"/>
      <c r="H15" s="3908"/>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3909"/>
      <c r="F16" s="3909"/>
      <c r="G16" s="3908"/>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3909"/>
      <c r="F17" s="3908"/>
      <c r="G17" s="1237"/>
      <c r="H17" s="1237"/>
      <c r="I17" s="1237"/>
      <c r="J17" s="1237"/>
      <c r="K17" s="1237"/>
      <c r="L17" s="1409"/>
      <c r="M17" s="1244"/>
      <c r="N17" s="1244"/>
      <c r="P17" s="1239"/>
      <c r="Q17" s="1240"/>
      <c r="R17" s="1239"/>
      <c r="S17" s="1245"/>
      <c r="T17" s="1248" t="s">
        <v>240</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3908"/>
      <c r="F18" s="1265"/>
      <c r="G18" s="1265"/>
      <c r="H18" s="1265"/>
      <c r="I18" s="1265"/>
      <c r="J18" s="1265"/>
      <c r="K18" s="1265"/>
      <c r="L18" s="1268"/>
      <c r="M18" s="1244"/>
      <c r="N18" s="1244"/>
      <c r="O18" s="442"/>
      <c r="P18" s="308"/>
      <c r="Q18" s="1266"/>
      <c r="R18" s="308"/>
      <c r="S18" s="1245"/>
      <c r="T18" s="1248" t="s">
        <v>241</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446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447</v>
      </c>
      <c r="P24" s="1423"/>
      <c r="Q24" s="1425"/>
      <c r="R24" s="1425"/>
      <c r="AA24" s="1422" t="s">
        <v>449</v>
      </c>
      <c r="AC24" s="1422" t="s">
        <v>450</v>
      </c>
      <c r="AD24" s="1422" t="s">
        <v>496</v>
      </c>
      <c r="AH24" s="1422" t="s">
        <v>496</v>
      </c>
      <c r="AK24" s="1422" t="s">
        <v>536</v>
      </c>
      <c r="AL24" s="1422" t="s">
        <v>496</v>
      </c>
      <c r="AP24" s="1422" t="s">
        <v>496</v>
      </c>
      <c r="AY24" s="1422" t="s">
        <v>449</v>
      </c>
      <c r="BA24" s="1422" t="s">
        <v>450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38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892"/>
      <c r="U28" s="3892"/>
      <c r="V28" s="3892"/>
      <c r="W28" s="3892"/>
      <c r="X28" s="3892"/>
      <c r="Y28" s="3892"/>
      <c r="Z28" s="3892"/>
      <c r="AA28" s="3892"/>
      <c r="AB28" s="3892"/>
      <c r="AC28" s="3892"/>
      <c r="AD28" s="3892"/>
      <c r="AE28" s="3892"/>
      <c r="AF28" s="3892"/>
      <c r="AG28" s="3892"/>
      <c r="AH28" s="3892"/>
      <c r="AI28" s="3892"/>
      <c r="AJ28" s="3892"/>
      <c r="AK28" s="3892"/>
      <c r="AL28" s="3892"/>
      <c r="AM28" s="3892"/>
      <c r="AN28" s="3892"/>
      <c r="AO28" s="3892"/>
      <c r="AP28" s="3892"/>
      <c r="AQ28" s="3892"/>
      <c r="AR28" s="3892"/>
      <c r="AS28" s="3892"/>
      <c r="AT28" s="3892"/>
      <c r="AU28" s="3892"/>
      <c r="AV28" s="3892"/>
      <c r="AW28" s="3892"/>
      <c r="AX28" s="3892"/>
      <c r="AY28" s="3892"/>
      <c r="AZ28" s="3892"/>
      <c r="BA28" s="1157"/>
    </row>
    <row r="29" spans="1:60" ht="14.25" customHeight="1">
      <c r="Q29" s="206"/>
      <c r="R29" s="300"/>
      <c r="S29" s="3839" t="str">
        <f>IF(org=0,"Не определено",org)</f>
        <v>ГУП СК "Ставрополькрайводоканал"</v>
      </c>
      <c r="T29" s="3839"/>
      <c r="U29" s="3839"/>
      <c r="V29" s="3839"/>
      <c r="W29" s="3839"/>
      <c r="X29" s="3839"/>
      <c r="Y29" s="3839"/>
      <c r="Z29" s="3839"/>
      <c r="AA29" s="3839"/>
      <c r="AB29" s="3839"/>
      <c r="AC29" s="3839"/>
      <c r="AD29" s="3839"/>
      <c r="AE29" s="3839"/>
      <c r="AF29" s="3839"/>
      <c r="AG29" s="3839"/>
      <c r="AH29" s="3839"/>
      <c r="AI29" s="3839"/>
      <c r="AJ29" s="3839"/>
      <c r="AK29" s="3839"/>
      <c r="AL29" s="3839"/>
      <c r="AM29" s="3839"/>
      <c r="AN29" s="3839"/>
      <c r="AO29" s="3839"/>
      <c r="AP29" s="3839"/>
      <c r="AQ29" s="3839"/>
      <c r="AR29" s="3839"/>
      <c r="AS29" s="3839"/>
      <c r="AT29" s="3839"/>
      <c r="AU29" s="3839"/>
      <c r="AV29" s="3839"/>
      <c r="AW29" s="3839"/>
      <c r="AX29" s="3839"/>
      <c r="AY29" s="3839"/>
      <c r="AZ29" s="383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3900" t="s">
        <v>38</v>
      </c>
      <c r="T31" s="3900"/>
      <c r="U31" s="1293"/>
      <c r="V31" s="3901" t="str">
        <f>IF(TITLE_NAME_OR_PR_CHANGE="",IF(TITLE_NAME_OR_PR="","",TITLE_NAME_OR_PR),TITLE_NAME_OR_PR_CHANGE)</f>
        <v>Региональная тарифная комиссия Ставропольского края</v>
      </c>
      <c r="W31" s="3901"/>
      <c r="X31" s="3901"/>
      <c r="Y31" s="3901"/>
      <c r="Z31" s="3901"/>
      <c r="AA31" s="3901"/>
      <c r="AB31" s="3901"/>
      <c r="AC31" s="248"/>
      <c r="AD31" s="3901" t="str">
        <f>IF(TITLE_NAME_OR_PR_CHANGE="",IF(TITLE_NAME_OR_PR="","",TITLE_NAME_OR_PR),TITLE_NAME_OR_PR_CHANGE)</f>
        <v>Региональная тарифная комиссия Ставропольского края</v>
      </c>
      <c r="AE31" s="3901"/>
      <c r="AF31" s="3901"/>
      <c r="AG31" s="3901"/>
      <c r="AH31" s="3901"/>
      <c r="AI31" s="3901"/>
      <c r="AJ31" s="3901"/>
      <c r="AK31" s="3901"/>
      <c r="AL31" s="3901"/>
      <c r="AM31" s="3901"/>
      <c r="AN31" s="3901"/>
      <c r="AO31" s="3901"/>
      <c r="AP31" s="3901"/>
      <c r="AQ31" s="3901"/>
      <c r="AR31" s="3901"/>
      <c r="AS31" s="3901"/>
      <c r="AT31" s="3901"/>
      <c r="AU31" s="3901"/>
      <c r="AV31" s="3901"/>
      <c r="AW31" s="3901"/>
      <c r="AX31" s="3901"/>
      <c r="AY31" s="3901"/>
      <c r="AZ31" s="3901"/>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3900" t="s">
        <v>452</v>
      </c>
      <c r="T32" s="3900"/>
      <c r="U32" s="1293"/>
      <c r="V32" s="3910">
        <f>IF(TITLE_DATE_PR_CHANGE="",IF(TITLE_DATE_PR="","",TITLE_DATE_PR),TITLE_DATE_PR_CHANGE)</f>
        <v>45278</v>
      </c>
      <c r="W32" s="3910"/>
      <c r="X32" s="3910"/>
      <c r="Y32" s="3910"/>
      <c r="Z32" s="3910"/>
      <c r="AA32" s="3910"/>
      <c r="AB32" s="3910"/>
      <c r="AC32" s="248"/>
      <c r="AD32" s="3910">
        <f>IF(TITLE_DATE_PR_CHANGE="",IF(TITLE_DATE_PR="","",TITLE_DATE_PR),TITLE_DATE_PR_CHANGE)</f>
        <v>45278</v>
      </c>
      <c r="AE32" s="3910"/>
      <c r="AF32" s="3910"/>
      <c r="AG32" s="3910"/>
      <c r="AH32" s="3910"/>
      <c r="AI32" s="3910"/>
      <c r="AJ32" s="3910"/>
      <c r="AK32" s="3910"/>
      <c r="AL32" s="3910"/>
      <c r="AM32" s="3910"/>
      <c r="AN32" s="3910"/>
      <c r="AO32" s="3910"/>
      <c r="AP32" s="3910"/>
      <c r="AQ32" s="3910"/>
      <c r="AR32" s="3910"/>
      <c r="AS32" s="3910"/>
      <c r="AT32" s="3910"/>
      <c r="AU32" s="3910"/>
      <c r="AV32" s="3910"/>
      <c r="AW32" s="3910"/>
      <c r="AX32" s="3910"/>
      <c r="AY32" s="3910"/>
      <c r="AZ32" s="3910"/>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3900" t="s">
        <v>453</v>
      </c>
      <c r="T33" s="3900"/>
      <c r="U33" s="1293"/>
      <c r="V33" s="3901" t="str">
        <f>IF(TITLE_NUMBER_PR_CHANGE="",IF(TITLE_NUMBER_PR="","",TITLE_NUMBER_PR),TITLE_NUMBER_PR_CHANGE)</f>
        <v>79/2</v>
      </c>
      <c r="W33" s="3901"/>
      <c r="X33" s="3901"/>
      <c r="Y33" s="3901"/>
      <c r="Z33" s="3901"/>
      <c r="AA33" s="3901"/>
      <c r="AB33" s="3901"/>
      <c r="AC33" s="248"/>
      <c r="AD33" s="3901" t="str">
        <f>IF(TITLE_NUMBER_PR_CHANGE="",IF(TITLE_NUMBER_PR="","",TITLE_NUMBER_PR),TITLE_NUMBER_PR_CHANGE)</f>
        <v>79/2</v>
      </c>
      <c r="AE33" s="3901"/>
      <c r="AF33" s="3901"/>
      <c r="AG33" s="3901"/>
      <c r="AH33" s="3901"/>
      <c r="AI33" s="3901"/>
      <c r="AJ33" s="3901"/>
      <c r="AK33" s="3901"/>
      <c r="AL33" s="3901"/>
      <c r="AM33" s="3901"/>
      <c r="AN33" s="3901"/>
      <c r="AO33" s="3901"/>
      <c r="AP33" s="3901"/>
      <c r="AQ33" s="3901"/>
      <c r="AR33" s="3901"/>
      <c r="AS33" s="3901"/>
      <c r="AT33" s="3901"/>
      <c r="AU33" s="3901"/>
      <c r="AV33" s="3901"/>
      <c r="AW33" s="3901"/>
      <c r="AX33" s="3901"/>
      <c r="AY33" s="3901"/>
      <c r="AZ33" s="3901"/>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3900" t="s">
        <v>40</v>
      </c>
      <c r="T34" s="3900"/>
      <c r="U34" s="1293"/>
      <c r="V34" s="3901" t="str">
        <f>IF(TITLE_IST_PUB_CHANGE="",IF(TITLE_IST_PUB="","",TITLE_IST_PUB),TITLE_IST_PUB_CHANGE)</f>
        <v>http://pravo.stavregion.ru/</v>
      </c>
      <c r="W34" s="3901"/>
      <c r="X34" s="3901"/>
      <c r="Y34" s="3901"/>
      <c r="Z34" s="3901"/>
      <c r="AA34" s="3901"/>
      <c r="AB34" s="3901"/>
      <c r="AC34" s="248"/>
      <c r="AD34" s="3901" t="str">
        <f>IF(TITLE_IST_PUB_CHANGE="",IF(TITLE_IST_PUB="","",TITLE_IST_PUB),TITLE_IST_PUB_CHANGE)</f>
        <v>http://pravo.stavregion.ru/</v>
      </c>
      <c r="AE34" s="3901"/>
      <c r="AF34" s="3901"/>
      <c r="AG34" s="3901"/>
      <c r="AH34" s="3901"/>
      <c r="AI34" s="3901"/>
      <c r="AJ34" s="3901"/>
      <c r="AK34" s="3901"/>
      <c r="AL34" s="3901"/>
      <c r="AM34" s="3901"/>
      <c r="AN34" s="3901"/>
      <c r="AO34" s="3901"/>
      <c r="AP34" s="3901"/>
      <c r="AQ34" s="3901"/>
      <c r="AR34" s="3901"/>
      <c r="AS34" s="3901"/>
      <c r="AT34" s="3901"/>
      <c r="AU34" s="3901"/>
      <c r="AV34" s="3901"/>
      <c r="AW34" s="3901"/>
      <c r="AX34" s="3901"/>
      <c r="AY34" s="3901"/>
      <c r="AZ34" s="3901"/>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3900" t="s">
        <v>452</v>
      </c>
      <c r="T36" s="3900"/>
      <c r="U36" s="1293"/>
      <c r="V36" s="3910">
        <f>IF(TITLE_DATE_PR_CHANGE="",IF(TITLE_DATE_PR="","",TITLE_DATE_PR),TITLE_DATE_PR_CHANGE)</f>
        <v>45278</v>
      </c>
      <c r="W36" s="3910"/>
      <c r="X36" s="3910"/>
      <c r="Y36" s="3910"/>
      <c r="Z36" s="3910"/>
      <c r="AA36" s="3910"/>
      <c r="AB36" s="3910"/>
      <c r="AC36" s="248"/>
      <c r="AD36" s="3910">
        <f>IF(TITLE_DATE_PR_CHANGE="",IF(TITLE_DATE_PR="","",TITLE_DATE_PR),TITLE_DATE_PR_CHANGE)</f>
        <v>45278</v>
      </c>
      <c r="AE36" s="3910"/>
      <c r="AF36" s="3910"/>
      <c r="AG36" s="3910"/>
      <c r="AH36" s="3910"/>
      <c r="AI36" s="3910"/>
      <c r="AJ36" s="3910"/>
      <c r="AK36" s="3910"/>
      <c r="AL36" s="3910"/>
      <c r="AM36" s="3910"/>
      <c r="AN36" s="3910"/>
      <c r="AO36" s="3910"/>
      <c r="AP36" s="3910"/>
      <c r="AQ36" s="3910"/>
      <c r="AR36" s="3910"/>
      <c r="AS36" s="3910"/>
      <c r="AT36" s="3910"/>
      <c r="AU36" s="3910"/>
      <c r="AV36" s="3910"/>
      <c r="AW36" s="3910"/>
      <c r="AX36" s="3910"/>
      <c r="AY36" s="3910"/>
      <c r="AZ36" s="3910"/>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3900" t="s">
        <v>453</v>
      </c>
      <c r="T37" s="3900"/>
      <c r="U37" s="1293"/>
      <c r="V37" s="3901" t="str">
        <f>IF(TITLE_NUMBER_PR_CHANGE="",IF(TITLE_NUMBER_PR="","",TITLE_NUMBER_PR),TITLE_NUMBER_PR_CHANGE)</f>
        <v>79/2</v>
      </c>
      <c r="W37" s="3901"/>
      <c r="X37" s="3901"/>
      <c r="Y37" s="3901"/>
      <c r="Z37" s="3901"/>
      <c r="AA37" s="3901"/>
      <c r="AB37" s="3901"/>
      <c r="AC37" s="248"/>
      <c r="AD37" s="3901" t="str">
        <f>IF(TITLE_NUMBER_PR_CHANGE="",IF(TITLE_NUMBER_PR="","",TITLE_NUMBER_PR),TITLE_NUMBER_PR_CHANGE)</f>
        <v>79/2</v>
      </c>
      <c r="AE37" s="3901"/>
      <c r="AF37" s="3901"/>
      <c r="AG37" s="3901"/>
      <c r="AH37" s="3901"/>
      <c r="AI37" s="3901"/>
      <c r="AJ37" s="3901"/>
      <c r="AK37" s="3901"/>
      <c r="AL37" s="3901"/>
      <c r="AM37" s="3901"/>
      <c r="AN37" s="3901"/>
      <c r="AO37" s="3901"/>
      <c r="AP37" s="3901"/>
      <c r="AQ37" s="3901"/>
      <c r="AR37" s="3901"/>
      <c r="AS37" s="3901"/>
      <c r="AT37" s="3901"/>
      <c r="AU37" s="3901"/>
      <c r="AV37" s="3901"/>
      <c r="AW37" s="3901"/>
      <c r="AX37" s="3901"/>
      <c r="AY37" s="3901"/>
      <c r="AZ37" s="3901"/>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456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456</v>
      </c>
      <c r="BD38" s="292"/>
      <c r="BE38" s="292"/>
      <c r="BF38" s="292"/>
      <c r="BG38" s="292"/>
      <c r="BH38" s="292"/>
    </row>
    <row r="39" spans="1:60" ht="14.25" customHeight="1">
      <c r="Q39" s="206"/>
      <c r="R39" s="300"/>
      <c r="S39" s="1200"/>
      <c r="T39" s="286"/>
      <c r="U39" s="1158"/>
      <c r="V39" s="3902"/>
      <c r="W39" s="3902"/>
      <c r="X39" s="3902"/>
      <c r="Y39" s="3902"/>
      <c r="Z39" s="3902"/>
      <c r="AA39" s="3902"/>
      <c r="AB39" s="3902"/>
      <c r="AC39" s="3902"/>
      <c r="AD39" s="3902"/>
      <c r="AE39" s="3902"/>
      <c r="AF39" s="3902"/>
      <c r="AG39" s="3902"/>
      <c r="AH39" s="3902"/>
      <c r="AI39" s="3902"/>
      <c r="AJ39" s="3902"/>
      <c r="AK39" s="3902"/>
      <c r="AL39" s="3902"/>
      <c r="AM39" s="3902"/>
      <c r="AN39" s="3902"/>
      <c r="AO39" s="3902"/>
      <c r="AP39" s="3902"/>
      <c r="AQ39" s="3902"/>
      <c r="AR39" s="3902"/>
      <c r="AS39" s="3902"/>
      <c r="AT39" s="3902"/>
      <c r="AU39" s="3902"/>
      <c r="AV39" s="3902"/>
      <c r="AW39" s="3902"/>
      <c r="AX39" s="3902"/>
      <c r="AY39" s="3902"/>
      <c r="AZ39" s="3902"/>
      <c r="BA39" s="3902"/>
    </row>
    <row r="40" spans="1:60" ht="14.25" customHeight="1">
      <c r="Q40" s="206"/>
      <c r="R40" s="300"/>
      <c r="S40" s="3778" t="s">
        <v>329</v>
      </c>
      <c r="T40" s="3778"/>
      <c r="U40" s="3778"/>
      <c r="V40" s="3778"/>
      <c r="W40" s="3778"/>
      <c r="X40" s="3778"/>
      <c r="Y40" s="3778"/>
      <c r="Z40" s="3778"/>
      <c r="AA40" s="3778"/>
      <c r="AB40" s="3778"/>
      <c r="AC40" s="3778"/>
      <c r="AD40" s="3778"/>
      <c r="AE40" s="3778"/>
      <c r="AF40" s="3778"/>
      <c r="AG40" s="3778"/>
      <c r="AH40" s="3778"/>
      <c r="AI40" s="3778"/>
      <c r="AJ40" s="3778"/>
      <c r="AK40" s="3778"/>
      <c r="AL40" s="3778"/>
      <c r="AM40" s="3778"/>
      <c r="AN40" s="3778"/>
      <c r="AO40" s="3778"/>
      <c r="AP40" s="3778"/>
      <c r="AQ40" s="3778"/>
      <c r="AR40" s="3778"/>
      <c r="AS40" s="3778"/>
      <c r="AT40" s="3778"/>
      <c r="AU40" s="3778"/>
      <c r="AV40" s="3778"/>
      <c r="AW40" s="3778"/>
      <c r="AX40" s="3778"/>
      <c r="AY40" s="3778"/>
      <c r="AZ40" s="3778"/>
      <c r="BA40" s="3778"/>
      <c r="BB40" s="3778"/>
      <c r="BC40" s="3778" t="s">
        <v>330</v>
      </c>
    </row>
    <row r="41" spans="1:60" ht="14.25" customHeight="1">
      <c r="Q41" s="206"/>
      <c r="R41" s="300"/>
      <c r="S41" s="3916" t="s">
        <v>86</v>
      </c>
      <c r="T41" s="3868" t="s">
        <v>537</v>
      </c>
      <c r="U41" s="215"/>
      <c r="V41" s="3917" t="s">
        <v>458</v>
      </c>
      <c r="W41" s="3918"/>
      <c r="X41" s="3918"/>
      <c r="Y41" s="3918"/>
      <c r="Z41" s="3918"/>
      <c r="AA41" s="3918"/>
      <c r="AB41" s="3919"/>
      <c r="AC41" s="3920" t="s">
        <v>459</v>
      </c>
      <c r="AD41" s="3946" t="s">
        <v>538</v>
      </c>
      <c r="AE41" s="3932"/>
      <c r="AF41" s="3932"/>
      <c r="AG41" s="3947"/>
      <c r="AH41" s="3946" t="s">
        <v>539</v>
      </c>
      <c r="AI41" s="3932"/>
      <c r="AJ41" s="3932"/>
      <c r="AK41" s="3947"/>
      <c r="AL41" s="3946" t="s">
        <v>540</v>
      </c>
      <c r="AM41" s="3932"/>
      <c r="AN41" s="3932"/>
      <c r="AO41" s="3947"/>
      <c r="AP41" s="3946" t="s">
        <v>541</v>
      </c>
      <c r="AQ41" s="3932"/>
      <c r="AR41" s="3932"/>
      <c r="AS41" s="3947"/>
      <c r="AT41" s="3917" t="s">
        <v>458</v>
      </c>
      <c r="AU41" s="3918"/>
      <c r="AV41" s="3918"/>
      <c r="AW41" s="3918"/>
      <c r="AX41" s="3918"/>
      <c r="AY41" s="3918"/>
      <c r="AZ41" s="3919"/>
      <c r="BA41" s="3920" t="s">
        <v>459</v>
      </c>
      <c r="BB41" s="3923" t="s">
        <v>461</v>
      </c>
      <c r="BC41" s="3778"/>
    </row>
    <row r="42" spans="1:60" ht="33.75" customHeight="1">
      <c r="Q42" s="206"/>
      <c r="R42" s="300"/>
      <c r="S42" s="3916"/>
      <c r="T42" s="3868"/>
      <c r="U42" s="942"/>
      <c r="V42" s="3853" t="s">
        <v>542</v>
      </c>
      <c r="W42" s="3854"/>
      <c r="X42" s="3853" t="s">
        <v>543</v>
      </c>
      <c r="Y42" s="3854"/>
      <c r="Z42" s="3853" t="s">
        <v>544</v>
      </c>
      <c r="AA42" s="3941"/>
      <c r="AB42" s="3854"/>
      <c r="AC42" s="3921"/>
      <c r="AD42" s="3948"/>
      <c r="AE42" s="3949"/>
      <c r="AF42" s="3949"/>
      <c r="AG42" s="3950"/>
      <c r="AH42" s="3948"/>
      <c r="AI42" s="3949"/>
      <c r="AJ42" s="3949"/>
      <c r="AK42" s="3950"/>
      <c r="AL42" s="3948"/>
      <c r="AM42" s="3949"/>
      <c r="AN42" s="3949"/>
      <c r="AO42" s="3950"/>
      <c r="AP42" s="3948"/>
      <c r="AQ42" s="3949"/>
      <c r="AR42" s="3949"/>
      <c r="AS42" s="3950"/>
      <c r="AT42" s="3853" t="s">
        <v>542</v>
      </c>
      <c r="AU42" s="3854"/>
      <c r="AV42" s="3853" t="s">
        <v>543</v>
      </c>
      <c r="AW42" s="3854"/>
      <c r="AX42" s="3853" t="s">
        <v>544</v>
      </c>
      <c r="AY42" s="3941"/>
      <c r="AZ42" s="3854"/>
      <c r="BA42" s="3921"/>
      <c r="BB42" s="3924"/>
      <c r="BC42" s="3778"/>
    </row>
    <row r="43" spans="1:60" ht="14.25" customHeight="1">
      <c r="Q43" s="206"/>
      <c r="R43" s="300"/>
      <c r="S43" s="3916"/>
      <c r="T43" s="3868"/>
      <c r="U43" s="942"/>
      <c r="V43" s="3858"/>
      <c r="W43" s="3859"/>
      <c r="X43" s="3858"/>
      <c r="Y43" s="3859"/>
      <c r="Z43" s="3858"/>
      <c r="AA43" s="3942"/>
      <c r="AB43" s="3859"/>
      <c r="AC43" s="3921"/>
      <c r="AD43" s="3948"/>
      <c r="AE43" s="3949"/>
      <c r="AF43" s="3949"/>
      <c r="AG43" s="3950"/>
      <c r="AH43" s="3948"/>
      <c r="AI43" s="3949"/>
      <c r="AJ43" s="3949"/>
      <c r="AK43" s="3950"/>
      <c r="AL43" s="3948"/>
      <c r="AM43" s="3949"/>
      <c r="AN43" s="3949"/>
      <c r="AO43" s="3950"/>
      <c r="AP43" s="3948"/>
      <c r="AQ43" s="3949"/>
      <c r="AR43" s="3949"/>
      <c r="AS43" s="3950"/>
      <c r="AT43" s="3858"/>
      <c r="AU43" s="3859"/>
      <c r="AV43" s="3858"/>
      <c r="AW43" s="3859"/>
      <c r="AX43" s="3858"/>
      <c r="AY43" s="3942"/>
      <c r="AZ43" s="3859"/>
      <c r="BA43" s="3921"/>
      <c r="BB43" s="3924"/>
      <c r="BC43" s="3778"/>
    </row>
    <row r="44" spans="1:60" ht="14.25" customHeight="1">
      <c r="A44" s="1291"/>
      <c r="B44" s="1291" t="s">
        <v>153</v>
      </c>
      <c r="C44" s="1291" t="s">
        <v>154</v>
      </c>
      <c r="D44" s="1291" t="s">
        <v>155</v>
      </c>
      <c r="E44" s="1285" t="s">
        <v>466</v>
      </c>
      <c r="F44" s="1285" t="s">
        <v>467</v>
      </c>
      <c r="G44" s="1285" t="s">
        <v>468</v>
      </c>
      <c r="H44" s="1285" t="s">
        <v>469</v>
      </c>
      <c r="I44" s="1285" t="s">
        <v>470</v>
      </c>
      <c r="J44" s="1285" t="s">
        <v>471</v>
      </c>
      <c r="K44" s="1285" t="s">
        <v>472</v>
      </c>
      <c r="L44" s="1285" t="s">
        <v>447</v>
      </c>
      <c r="Q44" s="206"/>
      <c r="R44" s="300"/>
      <c r="S44" s="3916"/>
      <c r="T44" s="3868"/>
      <c r="U44" s="216"/>
      <c r="V44" s="1394" t="s">
        <v>506</v>
      </c>
      <c r="W44" s="1394" t="s">
        <v>507</v>
      </c>
      <c r="X44" s="1394" t="s">
        <v>506</v>
      </c>
      <c r="Y44" s="1394" t="s">
        <v>507</v>
      </c>
      <c r="Z44" s="1404" t="s">
        <v>475</v>
      </c>
      <c r="AA44" s="3876" t="s">
        <v>476</v>
      </c>
      <c r="AB44" s="3878"/>
      <c r="AC44" s="3922"/>
      <c r="AD44" s="3951"/>
      <c r="AE44" s="3952"/>
      <c r="AF44" s="3952"/>
      <c r="AG44" s="3953"/>
      <c r="AH44" s="3951"/>
      <c r="AI44" s="3952"/>
      <c r="AJ44" s="3952"/>
      <c r="AK44" s="3953"/>
      <c r="AL44" s="3951"/>
      <c r="AM44" s="3952"/>
      <c r="AN44" s="3952"/>
      <c r="AO44" s="3953"/>
      <c r="AP44" s="3951"/>
      <c r="AQ44" s="3952"/>
      <c r="AR44" s="3952"/>
      <c r="AS44" s="3953"/>
      <c r="AT44" s="1394" t="s">
        <v>506</v>
      </c>
      <c r="AU44" s="1394" t="s">
        <v>507</v>
      </c>
      <c r="AV44" s="1394" t="s">
        <v>506</v>
      </c>
      <c r="AW44" s="1394" t="s">
        <v>507</v>
      </c>
      <c r="AX44" s="1404" t="s">
        <v>475</v>
      </c>
      <c r="AY44" s="3876" t="s">
        <v>476</v>
      </c>
      <c r="AZ44" s="3878"/>
      <c r="BA44" s="3922"/>
      <c r="BB44" s="3925"/>
      <c r="BC44" s="3778"/>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129</v>
      </c>
      <c r="T45" s="1177" t="s">
        <v>102</v>
      </c>
      <c r="U45" s="1159" t="str">
        <f ca="1">OFFSET(U45,0,-1)</f>
        <v>2</v>
      </c>
      <c r="V45" s="1397">
        <f t="shared" ref="V45:AA45" ca="1" si="2">OFFSET(V45,0,-1)+1</f>
        <v>3</v>
      </c>
      <c r="W45" s="1397">
        <f t="shared" ca="1" si="2"/>
        <v>4</v>
      </c>
      <c r="X45" s="1397">
        <f t="shared" ca="1" si="2"/>
        <v>5</v>
      </c>
      <c r="Y45" s="1397">
        <f t="shared" ca="1" si="2"/>
        <v>6</v>
      </c>
      <c r="Z45" s="1397">
        <f t="shared" ca="1" si="2"/>
        <v>7</v>
      </c>
      <c r="AA45" s="3915">
        <f t="shared" ca="1" si="2"/>
        <v>8</v>
      </c>
      <c r="AB45" s="3915"/>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3915">
        <f ca="1">OFFSET(AY45,0,-1)+1</f>
        <v>3</v>
      </c>
      <c r="AZ45" s="3915"/>
      <c r="BA45" s="1397">
        <f ca="1">OFFSET(BA45,0,-2)+1</f>
        <v>4</v>
      </c>
      <c r="BB45" s="1159">
        <f ca="1">OFFSET(BB45,0,-1)</f>
        <v>4</v>
      </c>
      <c r="BC45" s="1397">
        <f ca="1">OFFSET(BC45,0,-1)+1</f>
        <v>5</v>
      </c>
      <c r="BD45" s="435"/>
      <c r="BE45" s="435"/>
      <c r="BF45" s="435"/>
      <c r="BG45" s="435"/>
      <c r="BH45" s="435"/>
    </row>
    <row r="46" spans="1:60" ht="21" customHeight="1">
      <c r="A46" s="1284" t="s">
        <v>290</v>
      </c>
      <c r="B46" s="1284"/>
      <c r="C46" s="1284"/>
      <c r="D46" s="1284"/>
      <c r="E46" s="3908">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141</v>
      </c>
      <c r="U46" s="214"/>
      <c r="V46" s="3895"/>
      <c r="W46" s="3895"/>
      <c r="X46" s="3895"/>
      <c r="Y46" s="3895"/>
      <c r="Z46" s="3895"/>
      <c r="AA46" s="3895"/>
      <c r="AB46" s="3895"/>
      <c r="AC46" s="3896"/>
      <c r="AD46" s="3894" t="str">
        <f>INDEX(PT_DIFFERENTIATION_NTAR,MATCH(A46,PT_DIFFERENTIATION_NTAR_ID,0))</f>
        <v/>
      </c>
      <c r="AE46" s="3895"/>
      <c r="AF46" s="3895"/>
      <c r="AG46" s="3895"/>
      <c r="AH46" s="3895"/>
      <c r="AI46" s="3895"/>
      <c r="AJ46" s="3895"/>
      <c r="AK46" s="3895"/>
      <c r="AL46" s="3895"/>
      <c r="AM46" s="3895"/>
      <c r="AN46" s="3895"/>
      <c r="AO46" s="3895"/>
      <c r="AP46" s="3895"/>
      <c r="AQ46" s="3895"/>
      <c r="AR46" s="3895"/>
      <c r="AS46" s="3895"/>
      <c r="AT46" s="3895"/>
      <c r="AU46" s="3895"/>
      <c r="AV46" s="3895"/>
      <c r="AW46" s="3895"/>
      <c r="AX46" s="3895"/>
      <c r="AY46" s="3895"/>
      <c r="AZ46" s="3895"/>
      <c r="BA46" s="3895"/>
      <c r="BB46" s="389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290</v>
      </c>
      <c r="B47" s="1284" t="s">
        <v>291</v>
      </c>
      <c r="C47" s="1284"/>
      <c r="D47" s="1284"/>
      <c r="E47" s="3909"/>
      <c r="F47" s="3908">
        <v>1</v>
      </c>
      <c r="G47" s="1284"/>
      <c r="H47" s="1284"/>
      <c r="I47" s="1284"/>
      <c r="J47" s="1284"/>
      <c r="K47" s="1284"/>
      <c r="L47" s="1285"/>
      <c r="M47" s="1286"/>
      <c r="N47" s="1286"/>
      <c r="O47" s="1286"/>
      <c r="P47" s="1331"/>
      <c r="Q47" s="1332"/>
      <c r="R47" s="274"/>
      <c r="S47" s="1408" t="str">
        <f>INDEX(PT_DIFFERENTIATION_NUM_TER,MATCH(B47,PT_DIFFERENTIATION_TER_ID,0))</f>
        <v>.</v>
      </c>
      <c r="T47" s="224" t="s">
        <v>428</v>
      </c>
      <c r="U47" s="214"/>
      <c r="V47" s="3895"/>
      <c r="W47" s="3895"/>
      <c r="X47" s="3895"/>
      <c r="Y47" s="3895"/>
      <c r="Z47" s="3895"/>
      <c r="AA47" s="3895"/>
      <c r="AB47" s="3895"/>
      <c r="AC47" s="3896"/>
      <c r="AD47" s="3894" t="str">
        <f>INDEX(PT_DIFFERENTIATION_TER,MATCH(B47,PT_DIFFERENTIATION_TER_ID,0))</f>
        <v/>
      </c>
      <c r="AE47" s="3895"/>
      <c r="AF47" s="3895"/>
      <c r="AG47" s="3895"/>
      <c r="AH47" s="3895"/>
      <c r="AI47" s="3895"/>
      <c r="AJ47" s="3895"/>
      <c r="AK47" s="3895"/>
      <c r="AL47" s="3895"/>
      <c r="AM47" s="3895"/>
      <c r="AN47" s="3895"/>
      <c r="AO47" s="3895"/>
      <c r="AP47" s="3895"/>
      <c r="AQ47" s="3895"/>
      <c r="AR47" s="3895"/>
      <c r="AS47" s="3895"/>
      <c r="AT47" s="3895"/>
      <c r="AU47" s="3895"/>
      <c r="AV47" s="3895"/>
      <c r="AW47" s="3895"/>
      <c r="AX47" s="3895"/>
      <c r="AY47" s="3895"/>
      <c r="AZ47" s="3895"/>
      <c r="BA47" s="3895"/>
      <c r="BB47" s="3896"/>
      <c r="BC47" s="1182" t="s">
        <v>429</v>
      </c>
      <c r="BE47" s="424"/>
      <c r="BF47" s="424" t="str">
        <f t="shared" si="3"/>
        <v>Территория действия тарифа</v>
      </c>
      <c r="BG47" s="424"/>
      <c r="BH47" s="424"/>
    </row>
    <row r="48" spans="1:60" ht="33.75" customHeight="1">
      <c r="A48" s="1284" t="s">
        <v>290</v>
      </c>
      <c r="B48" s="1284" t="s">
        <v>291</v>
      </c>
      <c r="C48" s="1284" t="s">
        <v>292</v>
      </c>
      <c r="D48" s="1284"/>
      <c r="E48" s="3909"/>
      <c r="F48" s="3909"/>
      <c r="G48" s="3908">
        <v>1</v>
      </c>
      <c r="H48" s="1284"/>
      <c r="I48" s="1284"/>
      <c r="J48" s="1284"/>
      <c r="K48" s="1284"/>
      <c r="L48" s="1285"/>
      <c r="M48" s="1286"/>
      <c r="N48" s="1286"/>
      <c r="O48" s="1286"/>
      <c r="P48" s="1333"/>
      <c r="Q48" s="1332"/>
      <c r="R48" s="274"/>
      <c r="S48" s="1408" t="str">
        <f>INDEX(PT_DIFFERENTIATION_NUM_CS,MATCH(C48,PT_DIFFERENTIATION_CS_ID,0))</f>
        <v>..</v>
      </c>
      <c r="T48" s="225" t="s">
        <v>560</v>
      </c>
      <c r="U48" s="214"/>
      <c r="V48" s="3895"/>
      <c r="W48" s="3895"/>
      <c r="X48" s="3895"/>
      <c r="Y48" s="3895"/>
      <c r="Z48" s="3895"/>
      <c r="AA48" s="3895"/>
      <c r="AB48" s="3895"/>
      <c r="AC48" s="3896"/>
      <c r="AD48" s="3894" t="str">
        <f>INDEX(PT_DIFFERENTIATION_CS,MATCH(C48,PT_DIFFERENTIATION_CS_ID,0))</f>
        <v/>
      </c>
      <c r="AE48" s="3895"/>
      <c r="AF48" s="3895"/>
      <c r="AG48" s="3895"/>
      <c r="AH48" s="3895"/>
      <c r="AI48" s="3895"/>
      <c r="AJ48" s="3895"/>
      <c r="AK48" s="3895"/>
      <c r="AL48" s="3895"/>
      <c r="AM48" s="3895"/>
      <c r="AN48" s="3895"/>
      <c r="AO48" s="3895"/>
      <c r="AP48" s="3895"/>
      <c r="AQ48" s="3895"/>
      <c r="AR48" s="3895"/>
      <c r="AS48" s="3895"/>
      <c r="AT48" s="3895"/>
      <c r="AU48" s="3895"/>
      <c r="AV48" s="3895"/>
      <c r="AW48" s="3895"/>
      <c r="AX48" s="3895"/>
      <c r="AY48" s="3895"/>
      <c r="AZ48" s="3895"/>
      <c r="BA48" s="3895"/>
      <c r="BB48" s="3896"/>
      <c r="BC48" s="1182" t="s">
        <v>561</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290</v>
      </c>
      <c r="B49" s="1265" t="s">
        <v>291</v>
      </c>
      <c r="C49" s="1265" t="s">
        <v>292</v>
      </c>
      <c r="D49" s="1265" t="s">
        <v>568</v>
      </c>
      <c r="E49" s="3909"/>
      <c r="F49" s="3909"/>
      <c r="G49" s="3909"/>
      <c r="H49" s="3908">
        <v>1</v>
      </c>
      <c r="I49" s="1265"/>
      <c r="J49" s="1265"/>
      <c r="K49" s="1265"/>
      <c r="L49" s="1268"/>
      <c r="M49" s="1238"/>
      <c r="N49" s="1238"/>
      <c r="O49" s="1238"/>
      <c r="P49" s="1412"/>
      <c r="Q49" s="1413"/>
      <c r="R49" s="278"/>
      <c r="S49" s="953"/>
      <c r="T49" s="1414"/>
      <c r="U49" s="1305"/>
      <c r="V49" s="3936"/>
      <c r="W49" s="3936"/>
      <c r="X49" s="3936"/>
      <c r="Y49" s="3936"/>
      <c r="Z49" s="3936"/>
      <c r="AA49" s="3936"/>
      <c r="AB49" s="3936"/>
      <c r="AC49" s="3937"/>
      <c r="AD49" s="3935"/>
      <c r="AE49" s="3936"/>
      <c r="AF49" s="3936"/>
      <c r="AG49" s="3936"/>
      <c r="AH49" s="3936"/>
      <c r="AI49" s="3936"/>
      <c r="AJ49" s="3936"/>
      <c r="AK49" s="3936"/>
      <c r="AL49" s="3936"/>
      <c r="AM49" s="3936"/>
      <c r="AN49" s="3936"/>
      <c r="AO49" s="3936"/>
      <c r="AP49" s="3936"/>
      <c r="AQ49" s="3936"/>
      <c r="AR49" s="3936"/>
      <c r="AS49" s="3936"/>
      <c r="AT49" s="3936"/>
      <c r="AU49" s="3936"/>
      <c r="AV49" s="3936"/>
      <c r="AW49" s="3936"/>
      <c r="AX49" s="3936"/>
      <c r="AY49" s="3936"/>
      <c r="AZ49" s="3936"/>
      <c r="BA49" s="3936"/>
      <c r="BB49" s="3937"/>
      <c r="BC49" s="1306" t="s">
        <v>433</v>
      </c>
      <c r="BE49" s="424"/>
      <c r="BF49" s="424" t="str">
        <f t="shared" si="3"/>
        <v/>
      </c>
      <c r="BG49" s="424"/>
      <c r="BH49" s="424"/>
    </row>
    <row r="50" spans="1:60" s="1562" customFormat="1" ht="0" hidden="1" customHeight="1">
      <c r="A50" s="1265" t="s">
        <v>290</v>
      </c>
      <c r="B50" s="1265" t="s">
        <v>291</v>
      </c>
      <c r="C50" s="1265" t="s">
        <v>292</v>
      </c>
      <c r="D50" s="1265" t="s">
        <v>568</v>
      </c>
      <c r="E50" s="3909"/>
      <c r="F50" s="3909"/>
      <c r="G50" s="3909"/>
      <c r="H50" s="3909"/>
      <c r="I50" s="3906" t="str">
        <f>S49&amp;".1"</f>
        <v>.1</v>
      </c>
      <c r="J50" s="1265"/>
      <c r="K50" s="1265"/>
      <c r="L50" s="1268" t="s">
        <v>434</v>
      </c>
      <c r="M50" s="434"/>
      <c r="N50" s="434"/>
      <c r="O50" s="434"/>
      <c r="P50" s="3907">
        <v>1</v>
      </c>
      <c r="Q50" s="1396"/>
      <c r="R50" s="277"/>
      <c r="S50" s="953"/>
      <c r="T50" s="1304"/>
      <c r="U50" s="1305"/>
      <c r="V50" s="3936"/>
      <c r="W50" s="3936"/>
      <c r="X50" s="3936"/>
      <c r="Y50" s="3936"/>
      <c r="Z50" s="3936"/>
      <c r="AA50" s="3936"/>
      <c r="AB50" s="3936"/>
      <c r="AC50" s="3937"/>
      <c r="AD50" s="3935"/>
      <c r="AE50" s="3936"/>
      <c r="AF50" s="3936"/>
      <c r="AG50" s="3936"/>
      <c r="AH50" s="3936"/>
      <c r="AI50" s="3936"/>
      <c r="AJ50" s="3936"/>
      <c r="AK50" s="3936"/>
      <c r="AL50" s="3936"/>
      <c r="AM50" s="3936"/>
      <c r="AN50" s="3936"/>
      <c r="AO50" s="3936"/>
      <c r="AP50" s="3936"/>
      <c r="AQ50" s="3936"/>
      <c r="AR50" s="3936"/>
      <c r="AS50" s="3936"/>
      <c r="AT50" s="3936"/>
      <c r="AU50" s="3936"/>
      <c r="AV50" s="3936"/>
      <c r="AW50" s="3936"/>
      <c r="AX50" s="3936"/>
      <c r="AY50" s="3936"/>
      <c r="AZ50" s="3936"/>
      <c r="BA50" s="3936"/>
      <c r="BB50" s="3937"/>
      <c r="BC50" s="1306"/>
      <c r="BE50" s="424"/>
      <c r="BF50" s="424" t="str">
        <f t="shared" si="3"/>
        <v/>
      </c>
      <c r="BG50" s="424"/>
      <c r="BH50" s="424"/>
    </row>
    <row r="51" spans="1:60" s="1562" customFormat="1" ht="0" hidden="1" customHeight="1">
      <c r="A51" s="1265" t="s">
        <v>290</v>
      </c>
      <c r="B51" s="1265" t="s">
        <v>291</v>
      </c>
      <c r="C51" s="1265" t="s">
        <v>292</v>
      </c>
      <c r="D51" s="1265" t="s">
        <v>568</v>
      </c>
      <c r="E51" s="3909"/>
      <c r="F51" s="3909"/>
      <c r="G51" s="3909"/>
      <c r="H51" s="3909"/>
      <c r="I51" s="3929"/>
      <c r="J51" s="3906" t="str">
        <f>S49&amp;".1"</f>
        <v>.1</v>
      </c>
      <c r="K51" s="1265"/>
      <c r="L51" s="1268"/>
      <c r="M51" s="434"/>
      <c r="N51" s="434"/>
      <c r="O51" s="434"/>
      <c r="P51" s="3907"/>
      <c r="Q51" s="3907">
        <v>1</v>
      </c>
      <c r="R51" s="278"/>
      <c r="S51" s="953"/>
      <c r="T51" s="1320"/>
      <c r="U51" s="1305"/>
      <c r="V51" s="3936"/>
      <c r="W51" s="3936"/>
      <c r="X51" s="3936"/>
      <c r="Y51" s="3936"/>
      <c r="Z51" s="3936"/>
      <c r="AA51" s="3936"/>
      <c r="AB51" s="3936"/>
      <c r="AC51" s="3937"/>
      <c r="AD51" s="3935"/>
      <c r="AE51" s="3936"/>
      <c r="AF51" s="3936"/>
      <c r="AG51" s="3936"/>
      <c r="AH51" s="3936"/>
      <c r="AI51" s="3936"/>
      <c r="AJ51" s="3936"/>
      <c r="AK51" s="3936"/>
      <c r="AL51" s="3936"/>
      <c r="AM51" s="3936"/>
      <c r="AN51" s="3982"/>
      <c r="AO51" s="3982"/>
      <c r="AP51" s="3936"/>
      <c r="AQ51" s="3936"/>
      <c r="AR51" s="3936"/>
      <c r="AS51" s="3936"/>
      <c r="AT51" s="3936"/>
      <c r="AU51" s="3936"/>
      <c r="AV51" s="3936"/>
      <c r="AW51" s="3936"/>
      <c r="AX51" s="3936"/>
      <c r="AY51" s="3936"/>
      <c r="AZ51" s="3936"/>
      <c r="BA51" s="3936"/>
      <c r="BB51" s="3937"/>
      <c r="BC51" s="1306"/>
      <c r="BE51" s="424"/>
      <c r="BF51" s="424" t="str">
        <f t="shared" si="3"/>
        <v/>
      </c>
      <c r="BG51" s="424"/>
      <c r="BH51" s="424"/>
    </row>
    <row r="52" spans="1:60" ht="11.25" customHeight="1">
      <c r="A52" s="1284" t="s">
        <v>290</v>
      </c>
      <c r="B52" s="1284" t="s">
        <v>291</v>
      </c>
      <c r="C52" s="1284" t="s">
        <v>292</v>
      </c>
      <c r="D52" s="1284" t="s">
        <v>568</v>
      </c>
      <c r="E52" s="3909"/>
      <c r="F52" s="3909"/>
      <c r="G52" s="3909"/>
      <c r="H52" s="3909"/>
      <c r="I52" s="3929"/>
      <c r="J52" s="3929"/>
      <c r="K52" s="3906" t="str">
        <f>S48&amp;".1"</f>
        <v>...1</v>
      </c>
      <c r="L52" s="1285"/>
      <c r="P52" s="3907"/>
      <c r="Q52" s="3907"/>
      <c r="R52" s="278">
        <v>1</v>
      </c>
      <c r="S52" s="3958" t="str">
        <f>$K52</f>
        <v>...1</v>
      </c>
      <c r="T52" s="3977"/>
      <c r="U52" s="214"/>
      <c r="V52" s="666"/>
      <c r="W52" s="1181"/>
      <c r="X52" s="666"/>
      <c r="Y52" s="1181"/>
      <c r="Z52" s="1653"/>
      <c r="AA52" s="1385" t="s">
        <v>60</v>
      </c>
      <c r="AB52" s="1653"/>
      <c r="AC52" s="1385" t="s">
        <v>60</v>
      </c>
      <c r="AD52" s="3833" t="s">
        <v>60</v>
      </c>
      <c r="AE52" s="3944"/>
      <c r="AF52" s="3863">
        <v>1</v>
      </c>
      <c r="AG52" s="3981"/>
      <c r="AH52" s="3759" t="s">
        <v>60</v>
      </c>
      <c r="AI52" s="3944"/>
      <c r="AJ52" s="3863">
        <v>1</v>
      </c>
      <c r="AK52" s="3980" t="s">
        <v>24</v>
      </c>
      <c r="AL52" s="3759" t="s">
        <v>60</v>
      </c>
      <c r="AM52" s="3853"/>
      <c r="AN52" s="3863">
        <v>1</v>
      </c>
      <c r="AO52" s="3974"/>
      <c r="AP52" s="3975" t="s">
        <v>60</v>
      </c>
      <c r="AQ52" s="227"/>
      <c r="AR52" s="1401">
        <v>1</v>
      </c>
      <c r="AS52" s="1407" t="s">
        <v>24</v>
      </c>
      <c r="AT52" s="666"/>
      <c r="AU52" s="1181"/>
      <c r="AV52" s="666"/>
      <c r="AW52" s="1181"/>
      <c r="AX52" s="1653"/>
      <c r="AY52" s="1385" t="s">
        <v>60</v>
      </c>
      <c r="AZ52" s="1653"/>
      <c r="BA52" s="1385" t="s">
        <v>60</v>
      </c>
      <c r="BB52" s="1270"/>
      <c r="BC52" s="3903" t="s">
        <v>531</v>
      </c>
      <c r="BE52" s="424"/>
      <c r="BF52" s="424" t="str">
        <f t="shared" si="3"/>
        <v/>
      </c>
      <c r="BG52" s="424"/>
      <c r="BH52" s="424"/>
    </row>
    <row r="53" spans="1:60" ht="11.25" customHeight="1">
      <c r="A53" s="1284"/>
      <c r="B53" s="1284"/>
      <c r="C53" s="1284"/>
      <c r="D53" s="1284"/>
      <c r="E53" s="3909"/>
      <c r="F53" s="3909"/>
      <c r="G53" s="3909"/>
      <c r="H53" s="3909"/>
      <c r="I53" s="3929"/>
      <c r="J53" s="3929"/>
      <c r="K53" s="3906"/>
      <c r="L53" s="1285"/>
      <c r="P53" s="3907"/>
      <c r="Q53" s="3907"/>
      <c r="R53" s="278"/>
      <c r="S53" s="3959"/>
      <c r="T53" s="3978"/>
      <c r="U53" s="214"/>
      <c r="V53" s="1314"/>
      <c r="W53" s="1411"/>
      <c r="X53" s="1314"/>
      <c r="Y53" s="1411"/>
      <c r="Z53" s="1314"/>
      <c r="AA53" s="1314"/>
      <c r="AB53" s="1314"/>
      <c r="AC53" s="1314"/>
      <c r="AD53" s="3834"/>
      <c r="AE53" s="3944"/>
      <c r="AF53" s="3863"/>
      <c r="AG53" s="3981"/>
      <c r="AH53" s="3759"/>
      <c r="AI53" s="3944"/>
      <c r="AJ53" s="3863"/>
      <c r="AK53" s="3980"/>
      <c r="AL53" s="3759"/>
      <c r="AM53" s="3858"/>
      <c r="AN53" s="3863"/>
      <c r="AO53" s="3974"/>
      <c r="AP53" s="3976"/>
      <c r="AQ53" s="234"/>
      <c r="AR53" s="345"/>
      <c r="AS53" s="345" t="s">
        <v>532</v>
      </c>
      <c r="AT53" s="1314"/>
      <c r="AU53" s="1411"/>
      <c r="AV53" s="1314"/>
      <c r="AW53" s="1411"/>
      <c r="AX53" s="1314"/>
      <c r="AY53" s="1314"/>
      <c r="AZ53" s="1314"/>
      <c r="BA53" s="1314"/>
      <c r="BB53" s="1318"/>
      <c r="BC53" s="3904"/>
      <c r="BE53" s="424"/>
      <c r="BF53" s="424"/>
      <c r="BG53" s="424"/>
      <c r="BH53" s="424"/>
    </row>
    <row r="54" spans="1:60" ht="11.25" customHeight="1">
      <c r="A54" s="1284" t="s">
        <v>290</v>
      </c>
      <c r="B54" s="1284"/>
      <c r="C54" s="1284"/>
      <c r="D54" s="1284"/>
      <c r="E54" s="3909"/>
      <c r="F54" s="3909"/>
      <c r="G54" s="3909"/>
      <c r="H54" s="3909"/>
      <c r="I54" s="3929"/>
      <c r="J54" s="3929"/>
      <c r="K54" s="3906"/>
      <c r="L54" s="1285"/>
      <c r="P54" s="3907"/>
      <c r="Q54" s="3907"/>
      <c r="R54" s="278"/>
      <c r="S54" s="3959"/>
      <c r="T54" s="3978"/>
      <c r="U54" s="214"/>
      <c r="V54" s="1314"/>
      <c r="W54" s="1411"/>
      <c r="X54" s="1314"/>
      <c r="Y54" s="1411"/>
      <c r="Z54" s="1314"/>
      <c r="AA54" s="1314"/>
      <c r="AB54" s="1314"/>
      <c r="AC54" s="1314"/>
      <c r="AD54" s="3834"/>
      <c r="AE54" s="3944"/>
      <c r="AF54" s="3863"/>
      <c r="AG54" s="3981"/>
      <c r="AH54" s="3759"/>
      <c r="AI54" s="3944"/>
      <c r="AJ54" s="3863"/>
      <c r="AK54" s="3980"/>
      <c r="AL54" s="3759"/>
      <c r="AM54" s="234"/>
      <c r="AN54" s="1415"/>
      <c r="AO54" s="1415" t="s">
        <v>533</v>
      </c>
      <c r="AP54" s="345"/>
      <c r="AQ54" s="345"/>
      <c r="AR54" s="345"/>
      <c r="AS54" s="1314"/>
      <c r="AT54" s="1314"/>
      <c r="AU54" s="1411"/>
      <c r="AV54" s="1314"/>
      <c r="AW54" s="1411"/>
      <c r="AX54" s="1314"/>
      <c r="AY54" s="1314"/>
      <c r="AZ54" s="1314"/>
      <c r="BA54" s="1314"/>
      <c r="BB54" s="1318"/>
      <c r="BC54" s="3904"/>
      <c r="BE54" s="424"/>
      <c r="BF54" s="424"/>
      <c r="BG54" s="424"/>
      <c r="BH54" s="424"/>
    </row>
    <row r="55" spans="1:60" ht="11.25" customHeight="1">
      <c r="A55" s="1284" t="s">
        <v>290</v>
      </c>
      <c r="B55" s="1284"/>
      <c r="C55" s="1284"/>
      <c r="D55" s="1284"/>
      <c r="E55" s="3909"/>
      <c r="F55" s="3909"/>
      <c r="G55" s="3909"/>
      <c r="H55" s="3909"/>
      <c r="I55" s="3929"/>
      <c r="J55" s="3929"/>
      <c r="K55" s="3906"/>
      <c r="L55" s="1285"/>
      <c r="P55" s="3907"/>
      <c r="Q55" s="3907"/>
      <c r="R55" s="278"/>
      <c r="S55" s="3959"/>
      <c r="T55" s="3978"/>
      <c r="U55" s="214"/>
      <c r="V55" s="1314"/>
      <c r="W55" s="1411"/>
      <c r="X55" s="1314"/>
      <c r="Y55" s="1411"/>
      <c r="Z55" s="1314"/>
      <c r="AA55" s="1314"/>
      <c r="AB55" s="1314"/>
      <c r="AC55" s="1314"/>
      <c r="AD55" s="3834"/>
      <c r="AE55" s="3944"/>
      <c r="AF55" s="3863"/>
      <c r="AG55" s="3981"/>
      <c r="AH55" s="3759"/>
      <c r="AI55" s="208"/>
      <c r="AJ55" s="344"/>
      <c r="AK55" s="229" t="s">
        <v>534</v>
      </c>
      <c r="AL55" s="1314"/>
      <c r="AM55" s="1314"/>
      <c r="AN55" s="1314"/>
      <c r="AO55" s="1314"/>
      <c r="AP55" s="1314"/>
      <c r="AQ55" s="1314"/>
      <c r="AR55" s="1314"/>
      <c r="AS55" s="1314"/>
      <c r="AT55" s="1314"/>
      <c r="AU55" s="1411"/>
      <c r="AV55" s="1314"/>
      <c r="AW55" s="1411"/>
      <c r="AX55" s="1314"/>
      <c r="AY55" s="1314"/>
      <c r="AZ55" s="1314"/>
      <c r="BA55" s="1314"/>
      <c r="BB55" s="1318"/>
      <c r="BC55" s="3904"/>
      <c r="BE55" s="424"/>
      <c r="BF55" s="424"/>
      <c r="BG55" s="424"/>
      <c r="BH55" s="424"/>
    </row>
    <row r="56" spans="1:60" ht="11.25" customHeight="1">
      <c r="A56" s="1284" t="s">
        <v>290</v>
      </c>
      <c r="B56" s="1284" t="s">
        <v>291</v>
      </c>
      <c r="C56" s="1284" t="s">
        <v>292</v>
      </c>
      <c r="D56" s="1284" t="s">
        <v>568</v>
      </c>
      <c r="E56" s="3909"/>
      <c r="F56" s="3909"/>
      <c r="G56" s="3909"/>
      <c r="H56" s="3909"/>
      <c r="I56" s="3929"/>
      <c r="J56" s="3929"/>
      <c r="K56" s="3906"/>
      <c r="L56" s="1285"/>
      <c r="P56" s="3907"/>
      <c r="Q56" s="3907"/>
      <c r="R56" s="278"/>
      <c r="S56" s="3960"/>
      <c r="T56" s="3979"/>
      <c r="U56" s="214"/>
      <c r="V56" s="1314"/>
      <c r="W56" s="1315" t="str">
        <f>Z52&amp;"-"&amp;AB52</f>
        <v>-</v>
      </c>
      <c r="X56" s="1314"/>
      <c r="Y56" s="1315" t="str">
        <f>AB52&amp;"-"&amp;AD52</f>
        <v>-да</v>
      </c>
      <c r="Z56" s="1314"/>
      <c r="AA56" s="1314"/>
      <c r="AB56" s="1314"/>
      <c r="AC56" s="1314"/>
      <c r="AD56" s="3764"/>
      <c r="AE56" s="228"/>
      <c r="AF56" s="230"/>
      <c r="AG56" s="345" t="s">
        <v>535</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3904"/>
      <c r="BE56" s="424"/>
      <c r="BF56" s="424" t="str">
        <f t="shared" ref="BF56:BF63" si="4">IF(T56="","",T56)</f>
        <v/>
      </c>
      <c r="BG56" s="424"/>
      <c r="BH56" s="424"/>
    </row>
    <row r="57" spans="1:60" ht="11.25" customHeight="1">
      <c r="A57" s="1284" t="s">
        <v>290</v>
      </c>
      <c r="B57" s="1284" t="s">
        <v>291</v>
      </c>
      <c r="C57" s="1284" t="s">
        <v>292</v>
      </c>
      <c r="D57" s="1284" t="s">
        <v>568</v>
      </c>
      <c r="E57" s="3909"/>
      <c r="F57" s="3909"/>
      <c r="G57" s="3909"/>
      <c r="H57" s="3909"/>
      <c r="I57" s="3929"/>
      <c r="J57" s="3906"/>
      <c r="K57" s="1284"/>
      <c r="L57" s="1285"/>
      <c r="P57" s="3907"/>
      <c r="Q57" s="3907"/>
      <c r="R57" s="277"/>
      <c r="S57" s="1203"/>
      <c r="T57" s="202" t="s">
        <v>495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3905"/>
      <c r="BE57" s="424"/>
      <c r="BF57" s="424" t="str">
        <f t="shared" si="4"/>
        <v>Добавить строку</v>
      </c>
      <c r="BG57" s="424"/>
      <c r="BH57" s="424"/>
    </row>
    <row r="58" spans="1:60" s="1562" customFormat="1" ht="0" hidden="1" customHeight="1">
      <c r="A58" s="1265" t="s">
        <v>290</v>
      </c>
      <c r="B58" s="1265" t="s">
        <v>291</v>
      </c>
      <c r="C58" s="1265" t="s">
        <v>292</v>
      </c>
      <c r="D58" s="1265" t="s">
        <v>568</v>
      </c>
      <c r="E58" s="3909"/>
      <c r="F58" s="3909"/>
      <c r="G58" s="3909"/>
      <c r="H58" s="3909"/>
      <c r="I58" s="3906"/>
      <c r="J58" s="1265"/>
      <c r="K58" s="1265"/>
      <c r="L58" s="1268"/>
      <c r="M58" s="434"/>
      <c r="N58" s="434"/>
      <c r="O58" s="434"/>
      <c r="P58" s="3907"/>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290</v>
      </c>
      <c r="B59" s="1265" t="s">
        <v>291</v>
      </c>
      <c r="C59" s="1265" t="s">
        <v>292</v>
      </c>
      <c r="D59" s="1265" t="s">
        <v>568</v>
      </c>
      <c r="E59" s="3909"/>
      <c r="F59" s="3909"/>
      <c r="G59" s="3909"/>
      <c r="H59" s="3908"/>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290</v>
      </c>
      <c r="B60" s="1265" t="s">
        <v>291</v>
      </c>
      <c r="C60" s="1265" t="s">
        <v>292</v>
      </c>
      <c r="D60" s="1237"/>
      <c r="E60" s="3909"/>
      <c r="F60" s="3909"/>
      <c r="G60" s="3908"/>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290</v>
      </c>
      <c r="B61" s="1265" t="s">
        <v>291</v>
      </c>
      <c r="C61" s="1237"/>
      <c r="D61" s="1237"/>
      <c r="E61" s="3909"/>
      <c r="F61" s="3908"/>
      <c r="G61" s="1237"/>
      <c r="H61" s="1237"/>
      <c r="I61" s="1237"/>
      <c r="J61" s="1237"/>
      <c r="K61" s="1237"/>
      <c r="L61" s="1409"/>
      <c r="M61" s="1244"/>
      <c r="N61" s="1244"/>
      <c r="P61" s="1239"/>
      <c r="Q61" s="1240"/>
      <c r="R61" s="1239"/>
      <c r="S61" s="1245"/>
      <c r="T61" s="1248" t="s">
        <v>240</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290</v>
      </c>
      <c r="B62" s="1265"/>
      <c r="C62" s="1265"/>
      <c r="D62" s="1265"/>
      <c r="E62" s="3908"/>
      <c r="F62" s="1265"/>
      <c r="G62" s="1265"/>
      <c r="H62" s="1265"/>
      <c r="I62" s="1265"/>
      <c r="J62" s="1265"/>
      <c r="K62" s="1265"/>
      <c r="L62" s="1268"/>
      <c r="M62" s="1244"/>
      <c r="N62" s="1244"/>
      <c r="O62" s="442"/>
      <c r="P62" s="308"/>
      <c r="Q62" s="1266"/>
      <c r="R62" s="308"/>
      <c r="S62" s="1245"/>
      <c r="T62" s="1248" t="s">
        <v>241</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262</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3928"/>
      <c r="U65" s="3928"/>
      <c r="V65" s="3928"/>
      <c r="W65" s="3928"/>
      <c r="X65" s="3928"/>
      <c r="Y65" s="3928"/>
      <c r="Z65" s="3928"/>
      <c r="AA65" s="3928"/>
      <c r="AB65" s="3928"/>
      <c r="AC65" s="3928"/>
      <c r="AD65" s="3928"/>
      <c r="AE65" s="3928"/>
      <c r="AF65" s="3928"/>
      <c r="AG65" s="3928"/>
      <c r="AH65" s="3928"/>
      <c r="AI65" s="3928"/>
      <c r="AJ65" s="3928"/>
      <c r="AK65" s="3928"/>
      <c r="AL65" s="3928"/>
      <c r="AM65" s="3928"/>
      <c r="AN65" s="3928"/>
      <c r="AO65" s="3928"/>
      <c r="AP65" s="3928"/>
      <c r="AQ65" s="3928"/>
      <c r="AR65" s="3928"/>
      <c r="AS65" s="3928"/>
      <c r="AT65" s="3928"/>
      <c r="AU65" s="3928"/>
      <c r="AV65" s="3928"/>
      <c r="AW65" s="3928"/>
      <c r="AX65" s="3928"/>
      <c r="AY65" s="3928"/>
      <c r="AZ65" s="3928"/>
      <c r="BA65" s="3928"/>
      <c r="BB65" s="3928"/>
      <c r="BC65" s="3928"/>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3928"/>
      <c r="U67" s="3928"/>
      <c r="V67" s="3928"/>
      <c r="W67" s="3928"/>
      <c r="X67" s="3928"/>
      <c r="Y67" s="3928"/>
      <c r="Z67" s="3928"/>
      <c r="AA67" s="3928"/>
      <c r="AB67" s="3928"/>
      <c r="AC67" s="3928"/>
      <c r="AD67" s="3928"/>
      <c r="AE67" s="3928"/>
      <c r="AF67" s="3928"/>
      <c r="AG67" s="3928"/>
      <c r="AH67" s="3928"/>
      <c r="AI67" s="3928"/>
      <c r="AJ67" s="3928"/>
      <c r="AK67" s="3928"/>
      <c r="AL67" s="3928"/>
      <c r="AM67" s="3928"/>
      <c r="AN67" s="3928"/>
      <c r="AO67" s="3928"/>
      <c r="AP67" s="3928"/>
      <c r="AQ67" s="3928"/>
      <c r="AR67" s="3928"/>
      <c r="AS67" s="3928"/>
      <c r="AT67" s="3928"/>
      <c r="AU67" s="3928"/>
      <c r="AV67" s="3928"/>
      <c r="AW67" s="3928"/>
      <c r="AX67" s="3928"/>
      <c r="AY67" s="3928"/>
      <c r="AZ67" s="3928"/>
      <c r="BA67" s="3928"/>
      <c r="BB67" s="3928"/>
      <c r="BC67" s="3928"/>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3752"/>
      <c r="C2" s="1072" t="s">
        <v>569</v>
      </c>
      <c r="D2" s="1558"/>
      <c r="E2" s="469">
        <f>B2</f>
        <v>0</v>
      </c>
      <c r="F2" s="470"/>
      <c r="G2" s="1566" t="s">
        <v>570</v>
      </c>
      <c r="H2" s="1566" t="s">
        <v>570</v>
      </c>
      <c r="I2" s="1566" t="s">
        <v>570</v>
      </c>
      <c r="J2" s="204" t="s">
        <v>571</v>
      </c>
      <c r="K2" s="466"/>
    </row>
    <row r="3" spans="1:31" s="1562" customFormat="1" ht="0.75" hidden="1" customHeight="1">
      <c r="B3" s="3752"/>
      <c r="C3" s="1072"/>
      <c r="D3" s="471"/>
      <c r="E3" s="472"/>
      <c r="F3" s="473" t="s">
        <v>572</v>
      </c>
      <c r="G3" s="474"/>
      <c r="H3" s="474">
        <f>H4*H5+H7</f>
        <v>0</v>
      </c>
      <c r="I3" s="474">
        <f>I4*I5+I6</f>
        <v>0</v>
      </c>
      <c r="J3" s="475"/>
    </row>
    <row r="4" spans="1:31" ht="23.25" hidden="1" customHeight="1">
      <c r="B4" s="3752"/>
      <c r="C4" s="1072"/>
      <c r="D4" s="1558"/>
      <c r="E4" s="469" t="str">
        <f>B2&amp;".1"</f>
        <v>.1</v>
      </c>
      <c r="F4" s="476" t="s">
        <v>573</v>
      </c>
      <c r="G4" s="477"/>
      <c r="H4" s="464"/>
      <c r="I4" s="464"/>
      <c r="J4" s="204" t="s">
        <v>574</v>
      </c>
      <c r="K4" s="466"/>
    </row>
    <row r="5" spans="1:31" ht="18.75" hidden="1" customHeight="1">
      <c r="B5" s="3752"/>
      <c r="C5" s="1072"/>
      <c r="D5" s="1558"/>
      <c r="E5" s="469" t="str">
        <f>B2&amp;".2"</f>
        <v>.2</v>
      </c>
      <c r="F5" s="476" t="s">
        <v>575</v>
      </c>
      <c r="G5" s="1566" t="s">
        <v>576</v>
      </c>
      <c r="H5" s="464"/>
      <c r="I5" s="464"/>
      <c r="J5" s="204"/>
      <c r="K5" s="466"/>
    </row>
    <row r="6" spans="1:31" ht="18.75" hidden="1" customHeight="1">
      <c r="B6" s="3752"/>
      <c r="C6" s="1072"/>
      <c r="D6" s="1558"/>
      <c r="E6" s="469" t="str">
        <f>B2&amp;".3"</f>
        <v>.3</v>
      </c>
      <c r="F6" s="476" t="s">
        <v>577</v>
      </c>
      <c r="G6" s="1566" t="s">
        <v>576</v>
      </c>
      <c r="H6" s="464"/>
      <c r="I6" s="464"/>
      <c r="J6" s="204"/>
      <c r="K6" s="466"/>
    </row>
    <row r="7" spans="1:31" ht="18.75" hidden="1" customHeight="1">
      <c r="B7" s="3752"/>
      <c r="C7" s="1072"/>
      <c r="D7" s="1558"/>
      <c r="E7" s="469" t="str">
        <f>B2&amp;".4"</f>
        <v>.4</v>
      </c>
      <c r="F7" s="476" t="s">
        <v>578</v>
      </c>
      <c r="G7" s="1566" t="s">
        <v>570</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576</v>
      </c>
      <c r="H9" s="464"/>
      <c r="I9" s="464"/>
      <c r="J9" s="465" t="s">
        <v>579</v>
      </c>
      <c r="K9" s="466"/>
      <c r="L9" s="1556"/>
      <c r="M9" s="1556"/>
      <c r="R9" s="1556"/>
      <c r="U9" s="467"/>
      <c r="AA9" s="1552"/>
      <c r="AB9" s="1552"/>
      <c r="AC9" s="1552"/>
      <c r="AD9" s="1552"/>
      <c r="AE9" s="1552"/>
    </row>
    <row r="10" spans="1:31" ht="11.25" hidden="1" customHeight="1"/>
    <row r="11" spans="1:31" ht="18.75" hidden="1" customHeight="1">
      <c r="D11" s="1558"/>
      <c r="E11" s="469"/>
      <c r="F11" s="463"/>
      <c r="G11" s="1566" t="s">
        <v>580</v>
      </c>
      <c r="H11" s="464"/>
      <c r="I11" s="464"/>
      <c r="J11" s="204" t="s">
        <v>581</v>
      </c>
      <c r="K11" s="466"/>
    </row>
    <row r="12" spans="1:31" ht="11.25" hidden="1" customHeight="1"/>
    <row r="13" spans="1:31" ht="22.5" hidden="1" customHeight="1">
      <c r="D13" s="1558"/>
      <c r="E13" s="469"/>
      <c r="F13" s="463"/>
      <c r="G13" s="880" t="s">
        <v>582</v>
      </c>
      <c r="H13" s="468"/>
      <c r="I13" s="468"/>
      <c r="J13" s="661" t="s">
        <v>583</v>
      </c>
      <c r="K13" s="466"/>
    </row>
    <row r="14" spans="1:31" ht="11.25" hidden="1" customHeight="1"/>
    <row r="15" spans="1:31" ht="22.5" hidden="1" customHeight="1">
      <c r="D15" s="1558"/>
      <c r="E15" s="469"/>
      <c r="F15" s="463"/>
      <c r="G15" s="1566" t="s">
        <v>584</v>
      </c>
      <c r="H15" s="468"/>
      <c r="I15" s="468"/>
      <c r="J15" s="204" t="s">
        <v>585</v>
      </c>
      <c r="K15" s="466"/>
    </row>
    <row r="16" spans="1:31" ht="11.25" hidden="1" customHeight="1"/>
    <row r="17" spans="1:26" ht="22.5" hidden="1" customHeight="1">
      <c r="D17" s="1558"/>
      <c r="E17" s="469"/>
      <c r="F17" s="463"/>
      <c r="G17" s="1566" t="s">
        <v>586</v>
      </c>
      <c r="H17" s="468"/>
      <c r="I17" s="468"/>
      <c r="J17" s="204" t="s">
        <v>587</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38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892"/>
      <c r="G21" s="3892"/>
      <c r="H21" s="3892"/>
      <c r="I21" s="3892"/>
      <c r="J21" s="479"/>
    </row>
    <row r="22" spans="1:26" ht="24" customHeight="1">
      <c r="E22" s="3839" t="str">
        <f>IF(org=0,"Не определено",org)</f>
        <v>ГУП СК "Ставрополькрайводоканал"</v>
      </c>
      <c r="F22" s="3839"/>
      <c r="G22" s="3839"/>
      <c r="H22" s="3839"/>
      <c r="I22" s="3839"/>
    </row>
    <row r="23" spans="1:26" ht="11.25" customHeight="1">
      <c r="E23" s="1042"/>
      <c r="F23" s="1042"/>
      <c r="G23" s="1042"/>
      <c r="H23" s="1042"/>
      <c r="I23" s="1042"/>
    </row>
    <row r="24" spans="1:26" s="1562" customFormat="1" ht="0.75" customHeight="1">
      <c r="A24" s="1072"/>
      <c r="H24" s="803"/>
      <c r="I24" s="803" t="s">
        <v>135</v>
      </c>
    </row>
    <row r="25" spans="1:26" ht="11.25" customHeight="1">
      <c r="E25" s="628"/>
      <c r="F25" s="3983" t="s">
        <v>125</v>
      </c>
      <c r="G25" s="3984"/>
      <c r="H25" s="1572" t="str">
        <f>IF(H24="","",INDEX(DIFFERENTIATION_UNMERGE_VD,MATCH(H24,DIFFERENTIATION_ID_DIFF,0)))</f>
        <v/>
      </c>
      <c r="I25" s="1572">
        <f>IF(I24="","",INDEX(DIFFERENTIATION_UNMERGE_VD,MATCH(I24,DIFFERENTIATION_ID_DIFF,0)))</f>
        <v>0</v>
      </c>
      <c r="J25" s="3778"/>
    </row>
    <row r="26" spans="1:26" ht="11.25" customHeight="1">
      <c r="E26" s="628"/>
      <c r="F26" s="3983" t="s">
        <v>588</v>
      </c>
      <c r="G26" s="3984"/>
      <c r="H26" s="1572" t="str">
        <f>IF(H24="","",INDEX(DIFFERENTIATION_UNMERGE_AREA,MATCH(H24,DIFFERENTIATION_ID_DIFF,0)))</f>
        <v/>
      </c>
      <c r="I26" s="1572" t="str">
        <f>IF(I24="","",INDEX(DIFFERENTIATION_UNMERGE_AREA,MATCH(I24,DIFFERENTIATION_ID_DIFF,0)))</f>
        <v/>
      </c>
      <c r="J26" s="3778"/>
    </row>
    <row r="27" spans="1:26" ht="11.25" customHeight="1">
      <c r="E27" s="628"/>
      <c r="F27" s="3983" t="s">
        <v>589</v>
      </c>
      <c r="G27" s="3984"/>
      <c r="H27" s="1572" t="str">
        <f>IF(H24="","",INDEX(DIFFERENTIATION_UNMERGE_SYSTEM,MATCH(H24,DIFFERENTIATION_ID_DIFF,0)))</f>
        <v/>
      </c>
      <c r="I27" s="1572" t="str">
        <f>IF(I24="","",INDEX(DIFFERENTIATION_UNMERGE_SYSTEM,MATCH(I24,DIFFERENTIATION_ID_DIFF,0)))</f>
        <v>без дифференциации</v>
      </c>
      <c r="J27" s="3778"/>
    </row>
    <row r="28" spans="1:26" ht="11.25" customHeight="1">
      <c r="E28" s="3985" t="s">
        <v>329</v>
      </c>
      <c r="F28" s="3986"/>
      <c r="G28" s="3986"/>
      <c r="H28" s="1565"/>
      <c r="I28" s="1565"/>
      <c r="J28" s="3778"/>
    </row>
    <row r="29" spans="1:26" ht="22.5" customHeight="1">
      <c r="E29" s="1566" t="s">
        <v>86</v>
      </c>
      <c r="F29" s="1573" t="s">
        <v>331</v>
      </c>
      <c r="G29" s="1573" t="s">
        <v>590</v>
      </c>
      <c r="H29" s="1573" t="s">
        <v>332</v>
      </c>
      <c r="I29" s="1573" t="s">
        <v>332</v>
      </c>
      <c r="J29" s="3778"/>
    </row>
    <row r="30" spans="1:26" ht="18.75" customHeight="1">
      <c r="D30" s="1558"/>
      <c r="E30" s="469">
        <f>FHD_NUM_P_1</f>
        <v>1</v>
      </c>
      <c r="F30" s="1799" t="str">
        <f>FHD_P_1</f>
        <v>Выручка от регулируемых видов деятельности в сфере холодного водоснабжения</v>
      </c>
      <c r="G30" s="1797" t="s">
        <v>576</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576</v>
      </c>
      <c r="H31" s="481">
        <f>SUMIF($K33:$K71,$K31,H33:H71)</f>
        <v>0</v>
      </c>
      <c r="I31" s="481">
        <f>SUMIF($K33:$K71,$K31,I33:I71)</f>
        <v>0</v>
      </c>
      <c r="J31" s="204" t="str">
        <f>FHD_NOTE_P_2</f>
        <v>Указывается суммарная себестоимость производимых товаров.</v>
      </c>
      <c r="K31" s="1556" t="s">
        <v>591</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576</v>
      </c>
      <c r="H32" s="480"/>
      <c r="I32" s="480"/>
      <c r="J32" s="204" t="str">
        <f>FHD_NOTE_P_3</f>
        <v/>
      </c>
      <c r="K32" s="1556" t="str">
        <f t="shared" ref="K32:K70" si="0">IF((LEN(E32)-LEN(SUBSTITUTE(E32,".","")))/LEN(".")=1,"p","")</f>
        <v>p</v>
      </c>
    </row>
    <row r="33" spans="1:31" ht="11.25" hidden="1" customHeight="1">
      <c r="A33" s="3987" t="s">
        <v>592</v>
      </c>
      <c r="D33" s="1558"/>
      <c r="E33" s="469" t="str">
        <f>FHD_NUM_P_4</f>
        <v/>
      </c>
      <c r="F33" s="1439" t="str">
        <f>FHD_P_4</f>
        <v/>
      </c>
      <c r="G33" s="1797" t="s">
        <v>576</v>
      </c>
      <c r="H33" s="481">
        <f>SUMIF($F34:$F40,$F3,H34:H40)</f>
        <v>0</v>
      </c>
      <c r="I33" s="481">
        <f>SUMIF($F34:$F40,$F3,I34:I40)</f>
        <v>0</v>
      </c>
      <c r="J33" s="204" t="str">
        <f>FHD_NOTE_P_4</f>
        <v/>
      </c>
      <c r="K33" s="1556" t="str">
        <f t="shared" si="0"/>
        <v/>
      </c>
    </row>
    <row r="34" spans="1:31" s="1561" customFormat="1" ht="0.75" hidden="1" customHeight="1">
      <c r="A34" s="3987"/>
      <c r="B34" s="3988"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3987"/>
      <c r="B35" s="3988"/>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3987"/>
      <c r="B36" s="3988"/>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3987"/>
      <c r="B37" s="3988"/>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3987"/>
      <c r="B38" s="3988"/>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3987"/>
      <c r="B39" s="3988"/>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3987"/>
      <c r="C40" s="1556"/>
      <c r="D40" s="1553"/>
      <c r="E40" s="493"/>
      <c r="F40" s="494" t="s">
        <v>593</v>
      </c>
      <c r="G40" s="495"/>
      <c r="H40" s="496"/>
      <c r="I40" s="496"/>
      <c r="J40" s="215"/>
      <c r="K40" s="1556" t="str">
        <f t="shared" si="0"/>
        <v/>
      </c>
      <c r="L40" s="1556"/>
      <c r="M40" s="1556"/>
      <c r="R40" s="1556"/>
      <c r="U40" s="467"/>
      <c r="AA40" s="1552"/>
      <c r="AB40" s="1552"/>
      <c r="AC40" s="1552"/>
      <c r="AD40" s="1552"/>
      <c r="AE40" s="1552"/>
    </row>
    <row r="41" spans="1:31" ht="11.25" hidden="1" customHeight="1">
      <c r="A41" s="3987" t="s">
        <v>594</v>
      </c>
      <c r="D41" s="1558"/>
      <c r="E41" s="469" t="str">
        <f>FHD_NUM_P_5</f>
        <v/>
      </c>
      <c r="F41" s="1439" t="str">
        <f>FHD_P_5</f>
        <v/>
      </c>
      <c r="G41" s="1797" t="s">
        <v>576</v>
      </c>
      <c r="H41" s="480"/>
      <c r="I41" s="480"/>
      <c r="J41" s="204" t="str">
        <f>FHD_NOTE_P_5</f>
        <v/>
      </c>
      <c r="K41" s="1556" t="str">
        <f t="shared" si="0"/>
        <v/>
      </c>
    </row>
    <row r="42" spans="1:31" ht="11.25" hidden="1" customHeight="1">
      <c r="A42" s="3987"/>
      <c r="D42" s="1558"/>
      <c r="E42" s="469" t="str">
        <f>FHD_NUM_P_6</f>
        <v/>
      </c>
      <c r="F42" s="1439" t="str">
        <f>FHD_P_6</f>
        <v/>
      </c>
      <c r="G42" s="1797" t="s">
        <v>576</v>
      </c>
      <c r="H42" s="480"/>
      <c r="I42" s="480"/>
      <c r="J42" s="204" t="str">
        <f>FHD_NOTE_P_6</f>
        <v/>
      </c>
      <c r="K42" s="1556" t="str">
        <f t="shared" si="0"/>
        <v/>
      </c>
    </row>
    <row r="43" spans="1:31" ht="11.25" hidden="1" customHeight="1">
      <c r="A43" s="3987"/>
      <c r="D43" s="1558"/>
      <c r="E43" s="469" t="str">
        <f>FHD_NUM_P_7</f>
        <v/>
      </c>
      <c r="F43" s="1439" t="str">
        <f>FHD_P_7</f>
        <v/>
      </c>
      <c r="G43" s="1797" t="s">
        <v>576</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576</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595</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596</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597</v>
      </c>
      <c r="C47" s="1556"/>
      <c r="D47" s="498"/>
      <c r="E47" s="469" t="str">
        <f>FHD_NUM_P_11</f>
        <v/>
      </c>
      <c r="F47" s="1439" t="str">
        <f>FHD_P_11</f>
        <v/>
      </c>
      <c r="G47" s="1797" t="s">
        <v>576</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598</v>
      </c>
      <c r="C48" s="1556"/>
      <c r="D48" s="1558"/>
      <c r="E48" s="469" t="str">
        <f>FHD_NUM_P_12</f>
        <v>2.3</v>
      </c>
      <c r="F48" s="1439" t="str">
        <f>FHD_P_12</f>
        <v>Расходы на химические реагенты, используемые в технологическом процессе</v>
      </c>
      <c r="G48" s="1797" t="s">
        <v>576</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576</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576</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576</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576</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576</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576</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576</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576</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576</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576</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576</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576</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576</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576</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576</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576</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576</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335</v>
      </c>
      <c r="H66" s="1569" t="s">
        <v>599</v>
      </c>
      <c r="I66" s="1569" t="s">
        <v>599</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3987" t="s">
        <v>600</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576</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3987"/>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335</v>
      </c>
      <c r="H68" s="1569" t="s">
        <v>599</v>
      </c>
      <c r="I68" s="1569" t="s">
        <v>599</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576</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601</v>
      </c>
      <c r="G71" s="495"/>
      <c r="H71" s="496"/>
      <c r="I71" s="496"/>
      <c r="J71" s="215"/>
      <c r="K71" s="1556"/>
      <c r="L71" s="1556"/>
      <c r="M71" s="1556"/>
      <c r="R71" s="1556"/>
      <c r="U71" s="467"/>
      <c r="AA71" s="1552"/>
      <c r="AB71" s="1552"/>
      <c r="AC71" s="1552"/>
      <c r="AD71" s="1552"/>
      <c r="AE71" s="1552"/>
    </row>
    <row r="72" spans="1:31" s="1287" customFormat="1" ht="18.75" hidden="1" customHeight="1">
      <c r="A72" s="900" t="s">
        <v>602</v>
      </c>
      <c r="C72" s="1556"/>
      <c r="D72" s="1558"/>
      <c r="E72" s="469" t="str">
        <f>FHD_NUM_P_34</f>
        <v/>
      </c>
      <c r="F72" s="1799" t="str">
        <f>FHD_P_34</f>
        <v/>
      </c>
      <c r="G72" s="1797" t="s">
        <v>576</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576</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576</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576</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576</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576</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576</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576</v>
      </c>
      <c r="H79" s="480"/>
      <c r="I79" s="480"/>
      <c r="J79" s="204" t="str">
        <f>FHD_NOTE_P_41</f>
        <v/>
      </c>
      <c r="K79" s="466"/>
      <c r="L79" s="1556"/>
      <c r="M79" s="1556"/>
      <c r="R79" s="1556"/>
      <c r="U79" s="467"/>
      <c r="AA79" s="1552"/>
      <c r="AB79" s="1552"/>
      <c r="AC79" s="1552"/>
      <c r="AD79" s="1552"/>
      <c r="AE79" s="1552"/>
    </row>
    <row r="80" spans="1:31" s="1287" customFormat="1" ht="18.75" customHeight="1">
      <c r="A80" s="900" t="s">
        <v>603</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576</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335</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3987" t="s">
        <v>604</v>
      </c>
      <c r="C82" s="652"/>
      <c r="D82" s="650"/>
      <c r="E82" s="469" t="str">
        <f>FHD_NUM_P_44</f>
        <v>7</v>
      </c>
      <c r="F82" s="1799" t="str">
        <f>FHD_P_44</f>
        <v>Объём поднятой воды</v>
      </c>
      <c r="G82" s="1800" t="s">
        <v>605</v>
      </c>
      <c r="H82" s="888"/>
      <c r="I82" s="500"/>
      <c r="J82" s="204" t="str">
        <f>FHD_NOTE_P_44</f>
        <v/>
      </c>
      <c r="K82" s="651"/>
      <c r="L82" s="652"/>
      <c r="M82" s="652"/>
      <c r="R82" s="652"/>
      <c r="U82" s="653"/>
      <c r="AA82" s="654"/>
      <c r="AB82" s="654"/>
      <c r="AC82" s="654"/>
      <c r="AD82" s="654"/>
      <c r="AE82" s="654"/>
    </row>
    <row r="83" spans="1:31" s="1287" customFormat="1" ht="18.75" customHeight="1">
      <c r="A83" s="3987"/>
      <c r="C83" s="652"/>
      <c r="D83" s="650"/>
      <c r="E83" s="469" t="str">
        <f>FHD_NUM_P_45</f>
        <v>8</v>
      </c>
      <c r="F83" s="1799" t="str">
        <f>FHD_P_45</f>
        <v>Объём покупной воды</v>
      </c>
      <c r="G83" s="1800" t="s">
        <v>605</v>
      </c>
      <c r="H83" s="888"/>
      <c r="I83" s="500"/>
      <c r="J83" s="204" t="str">
        <f>FHD_NOTE_P_45</f>
        <v/>
      </c>
      <c r="K83" s="651"/>
      <c r="L83" s="652"/>
      <c r="M83" s="652"/>
      <c r="R83" s="652"/>
      <c r="U83" s="653"/>
      <c r="AA83" s="654"/>
      <c r="AB83" s="654"/>
      <c r="AC83" s="654"/>
      <c r="AD83" s="654"/>
      <c r="AE83" s="654"/>
    </row>
    <row r="84" spans="1:31" s="1287" customFormat="1" ht="18.75" customHeight="1">
      <c r="A84" s="3987"/>
      <c r="C84" s="652"/>
      <c r="D84" s="655"/>
      <c r="E84" s="469" t="str">
        <f>FHD_NUM_P_46</f>
        <v>9</v>
      </c>
      <c r="F84" s="1799" t="str">
        <f>FHD_P_46</f>
        <v>Объём воды, пропущенной через очистные сооружения</v>
      </c>
      <c r="G84" s="1800" t="s">
        <v>605</v>
      </c>
      <c r="H84" s="888"/>
      <c r="I84" s="500"/>
      <c r="J84" s="204" t="str">
        <f>FHD_NOTE_P_46</f>
        <v/>
      </c>
      <c r="K84" s="651"/>
      <c r="L84" s="652"/>
      <c r="M84" s="652"/>
      <c r="R84" s="652"/>
      <c r="U84" s="653"/>
      <c r="AA84" s="654"/>
      <c r="AB84" s="654"/>
      <c r="AC84" s="654"/>
      <c r="AD84" s="654"/>
      <c r="AE84" s="654"/>
    </row>
    <row r="85" spans="1:31" s="1287" customFormat="1" ht="18.75" customHeight="1">
      <c r="A85" s="3987"/>
      <c r="C85" s="652"/>
      <c r="D85" s="650"/>
      <c r="E85" s="469" t="str">
        <f>FHD_NUM_P_47</f>
        <v>10</v>
      </c>
      <c r="F85" s="1799" t="str">
        <f>FHD_P_47</f>
        <v>Объём отпущенной потребителям воды, в том числе:</v>
      </c>
      <c r="G85" s="1800" t="s">
        <v>605</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3987"/>
      <c r="B86" s="824"/>
      <c r="C86" s="652"/>
      <c r="D86" s="650"/>
      <c r="E86" s="469" t="str">
        <f>FHD_NUM_P_48</f>
        <v>10.1</v>
      </c>
      <c r="F86" s="1799" t="str">
        <f>FHD_P_48</f>
        <v>Объём отпущенной потребителям воды, определенный по приборам учета</v>
      </c>
      <c r="G86" s="1800" t="s">
        <v>605</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3987"/>
      <c r="B87" s="824"/>
      <c r="C87" s="652"/>
      <c r="D87" s="650"/>
      <c r="E87" s="469" t="str">
        <f>FHD_NUM_P_49</f>
        <v>10.2</v>
      </c>
      <c r="F87" s="1799" t="str">
        <f>FHD_P_49</f>
        <v>Объём отпущенной потребителям воды, определенный расчетным способом</v>
      </c>
      <c r="G87" s="1800" t="s">
        <v>605</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3987"/>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605</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3987"/>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605</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3987"/>
      <c r="B90" s="824"/>
      <c r="C90" s="652"/>
      <c r="D90" s="650"/>
      <c r="E90" s="469" t="str">
        <f>FHD_NUM_P_52</f>
        <v>11</v>
      </c>
      <c r="F90" s="1799" t="str">
        <f>FHD_P_52</f>
        <v>Потери воды в сетях</v>
      </c>
      <c r="G90" s="1800" t="s">
        <v>582</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3987" t="s">
        <v>606</v>
      </c>
      <c r="C91" s="652"/>
      <c r="D91" s="650"/>
      <c r="E91" s="469" t="str">
        <f>FHD_NUM_P_53</f>
        <v/>
      </c>
      <c r="F91" s="1799" t="str">
        <f>FHD_P_53</f>
        <v/>
      </c>
      <c r="G91" s="1800" t="s">
        <v>605</v>
      </c>
      <c r="H91" s="888"/>
      <c r="I91" s="500"/>
      <c r="J91" s="204" t="str">
        <f>FHD_NOTE_P_53</f>
        <v/>
      </c>
      <c r="K91" s="651"/>
      <c r="L91" s="652"/>
      <c r="M91" s="652"/>
      <c r="R91" s="652"/>
      <c r="U91" s="653"/>
      <c r="AA91" s="654"/>
      <c r="AB91" s="654"/>
      <c r="AC91" s="654"/>
      <c r="AD91" s="654"/>
      <c r="AE91" s="654"/>
    </row>
    <row r="92" spans="1:31" s="1287" customFormat="1" ht="18.75" hidden="1" customHeight="1">
      <c r="A92" s="3987"/>
      <c r="C92" s="652"/>
      <c r="D92" s="650"/>
      <c r="E92" s="469" t="str">
        <f>FHD_NUM_P_54</f>
        <v/>
      </c>
      <c r="F92" s="1799" t="str">
        <f>FHD_P_54</f>
        <v/>
      </c>
      <c r="G92" s="1800" t="s">
        <v>605</v>
      </c>
      <c r="H92" s="888"/>
      <c r="I92" s="500"/>
      <c r="J92" s="204" t="str">
        <f>FHD_NOTE_P_54</f>
        <v/>
      </c>
      <c r="K92" s="651"/>
      <c r="L92" s="652"/>
      <c r="M92" s="652"/>
      <c r="R92" s="652"/>
      <c r="U92" s="653"/>
      <c r="AA92" s="654"/>
      <c r="AB92" s="654"/>
      <c r="AC92" s="654"/>
      <c r="AD92" s="654"/>
      <c r="AE92" s="654"/>
    </row>
    <row r="93" spans="1:31" s="1287" customFormat="1" ht="18.75" hidden="1" customHeight="1">
      <c r="A93" s="3987"/>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3987"/>
      <c r="C94" s="652"/>
      <c r="D94" s="650"/>
      <c r="E94" s="469" t="str">
        <f>FHD_NUM_P_56</f>
        <v/>
      </c>
      <c r="F94" s="1799" t="str">
        <f>FHD_P_56</f>
        <v/>
      </c>
      <c r="G94" s="1800" t="s">
        <v>607</v>
      </c>
      <c r="H94" s="888"/>
      <c r="I94" s="500"/>
      <c r="J94" s="204" t="str">
        <f>FHD_NOTE_P_56</f>
        <v/>
      </c>
      <c r="K94" s="651"/>
      <c r="L94" s="652"/>
      <c r="M94" s="652"/>
      <c r="R94" s="652"/>
      <c r="U94" s="653"/>
      <c r="AA94" s="654"/>
      <c r="AB94" s="654"/>
      <c r="AC94" s="654"/>
      <c r="AD94" s="654"/>
      <c r="AE94" s="654"/>
    </row>
    <row r="95" spans="1:31" s="1555" customFormat="1" ht="18.75" hidden="1" customHeight="1">
      <c r="A95" s="3987"/>
      <c r="B95" s="824"/>
      <c r="C95" s="652"/>
      <c r="D95" s="650"/>
      <c r="E95" s="469" t="str">
        <f>FHD_NUM_P_57</f>
        <v/>
      </c>
      <c r="F95" s="1799" t="str">
        <f>FHD_P_57</f>
        <v/>
      </c>
      <c r="G95" s="1800" t="s">
        <v>582</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3987" t="s">
        <v>608</v>
      </c>
      <c r="D96" s="1558"/>
      <c r="E96" s="469" t="str">
        <f>FHD_NUM_P_58</f>
        <v/>
      </c>
      <c r="F96" s="1799" t="str">
        <f>FHD_P_58</f>
        <v/>
      </c>
      <c r="G96" s="1800" t="s">
        <v>605</v>
      </c>
      <c r="H96" s="888"/>
      <c r="I96" s="500"/>
      <c r="J96" s="204" t="str">
        <f>FHD_NOTE_P_58</f>
        <v/>
      </c>
      <c r="K96" s="466"/>
    </row>
    <row r="97" spans="1:31" ht="18.75" hidden="1" customHeight="1">
      <c r="A97" s="3987"/>
      <c r="D97" s="1558"/>
      <c r="E97" s="469" t="str">
        <f>FHD_NUM_P_59</f>
        <v/>
      </c>
      <c r="F97" s="1799" t="str">
        <f>FHD_P_59</f>
        <v/>
      </c>
      <c r="G97" s="1800" t="s">
        <v>605</v>
      </c>
      <c r="H97" s="888"/>
      <c r="I97" s="500"/>
      <c r="J97" s="204" t="str">
        <f>FHD_NOTE_P_59</f>
        <v/>
      </c>
      <c r="K97" s="466"/>
    </row>
    <row r="98" spans="1:31" ht="18.75" hidden="1" customHeight="1">
      <c r="A98" s="3987"/>
      <c r="D98" s="1558"/>
      <c r="E98" s="469" t="str">
        <f>FHD_NUM_P_60</f>
        <v/>
      </c>
      <c r="F98" s="1799" t="str">
        <f>FHD_P_60</f>
        <v/>
      </c>
      <c r="G98" s="1800" t="s">
        <v>605</v>
      </c>
      <c r="H98" s="888"/>
      <c r="I98" s="500"/>
      <c r="J98" s="204" t="str">
        <f>FHD_NOTE_P_60</f>
        <v/>
      </c>
      <c r="K98" s="466"/>
    </row>
    <row r="99" spans="1:31" s="1287" customFormat="1" ht="18.75" hidden="1" customHeight="1">
      <c r="A99" s="3987" t="s">
        <v>609</v>
      </c>
      <c r="C99" s="1556"/>
      <c r="D99" s="1558"/>
      <c r="E99" s="469" t="str">
        <f>FHD_NUM_P_61</f>
        <v/>
      </c>
      <c r="F99" s="1799" t="str">
        <f>FHD_P_61</f>
        <v/>
      </c>
      <c r="G99" s="1797" t="s">
        <v>580</v>
      </c>
      <c r="H99" s="890"/>
      <c r="I99" s="658"/>
      <c r="J99" s="204" t="str">
        <f>FHD_NOTE_P_61</f>
        <v/>
      </c>
      <c r="K99" s="466"/>
      <c r="L99" s="1556"/>
      <c r="M99" s="1556"/>
      <c r="R99" s="1556"/>
      <c r="U99" s="467"/>
      <c r="AA99" s="1552"/>
      <c r="AB99" s="1552"/>
      <c r="AC99" s="1552"/>
      <c r="AD99" s="1552"/>
      <c r="AE99" s="1552"/>
    </row>
    <row r="100" spans="1:31" s="1562" customFormat="1" ht="0.75" hidden="1" customHeight="1">
      <c r="A100" s="3987"/>
      <c r="D100" s="471"/>
      <c r="E100" s="924" t="str">
        <f>E99&amp;".0"</f>
        <v>.0</v>
      </c>
      <c r="F100" s="905"/>
      <c r="G100" s="906"/>
      <c r="H100" s="903"/>
      <c r="I100" s="903"/>
      <c r="J100" s="907"/>
    </row>
    <row r="101" spans="1:31" ht="15" hidden="1" customHeight="1">
      <c r="A101" s="3987"/>
      <c r="D101" s="1553"/>
      <c r="E101" s="882"/>
      <c r="F101" s="883" t="s">
        <v>610</v>
      </c>
      <c r="G101" s="495"/>
      <c r="H101" s="496"/>
      <c r="I101" s="496"/>
      <c r="J101" s="915" t="s">
        <v>611</v>
      </c>
      <c r="K101" s="466"/>
    </row>
    <row r="102" spans="1:31" s="1287" customFormat="1" ht="18.75" hidden="1" customHeight="1">
      <c r="A102" s="3987"/>
      <c r="C102" s="1556"/>
      <c r="D102" s="1558"/>
      <c r="E102" s="469" t="str">
        <f>FHD_NUM_P_62</f>
        <v/>
      </c>
      <c r="F102" s="1799" t="str">
        <f>FHD_P_62</f>
        <v/>
      </c>
      <c r="G102" s="1796" t="s">
        <v>580</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3987"/>
      <c r="C103" s="1556"/>
      <c r="D103" s="1558"/>
      <c r="E103" s="469" t="str">
        <f>FHD_NUM_P_63</f>
        <v/>
      </c>
      <c r="F103" s="1799" t="str">
        <f>FHD_P_63</f>
        <v/>
      </c>
      <c r="G103" s="1796" t="s">
        <v>607</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3987"/>
      <c r="C104" s="1556" t="s">
        <v>612</v>
      </c>
      <c r="D104" s="1558"/>
      <c r="E104" s="469" t="str">
        <f>FHD_NUM_P_64</f>
        <v/>
      </c>
      <c r="F104" s="1799" t="str">
        <f>FHD_P_64</f>
        <v/>
      </c>
      <c r="G104" s="1796" t="s">
        <v>607</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3987"/>
      <c r="C105" s="1556"/>
      <c r="D105" s="1558"/>
      <c r="E105" s="469" t="str">
        <f>FHD_NUM_P_65</f>
        <v/>
      </c>
      <c r="F105" s="1799" t="str">
        <f>FHD_P_65</f>
        <v/>
      </c>
      <c r="G105" s="1796" t="s">
        <v>607</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3987"/>
      <c r="C106" s="1556"/>
      <c r="D106" s="1558"/>
      <c r="E106" s="469" t="str">
        <f>FHD_NUM_P_66</f>
        <v/>
      </c>
      <c r="F106" s="1439" t="str">
        <f>FHD_P_66</f>
        <v/>
      </c>
      <c r="G106" s="1796" t="s">
        <v>607</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3987"/>
      <c r="C107" s="1556"/>
      <c r="D107" s="1558"/>
      <c r="E107" s="469" t="str">
        <f>FHD_NUM_P_67</f>
        <v/>
      </c>
      <c r="F107" s="1570" t="str">
        <f>FHD_P_67</f>
        <v/>
      </c>
      <c r="G107" s="1796" t="s">
        <v>607</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3987"/>
      <c r="C108" s="1556"/>
      <c r="D108" s="1558"/>
      <c r="E108" s="469" t="str">
        <f>FHD_NUM_P_68</f>
        <v/>
      </c>
      <c r="F108" s="1439" t="str">
        <f>FHD_P_68</f>
        <v/>
      </c>
      <c r="G108" s="1796" t="s">
        <v>607</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3987"/>
      <c r="C109" s="1556"/>
      <c r="D109" s="1558"/>
      <c r="E109" s="469" t="str">
        <f>FHD_NUM_P_69</f>
        <v/>
      </c>
      <c r="F109" s="1439" t="str">
        <f>FHD_P_69</f>
        <v/>
      </c>
      <c r="G109" s="1796" t="s">
        <v>607</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3987"/>
      <c r="C110" s="1556"/>
      <c r="D110" s="1558"/>
      <c r="E110" s="469" t="str">
        <f>FHD_NUM_P_70</f>
        <v/>
      </c>
      <c r="F110" s="1799" t="str">
        <f>FHD_P_70</f>
        <v/>
      </c>
      <c r="G110" s="1796" t="s">
        <v>613</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3987"/>
      <c r="C111" s="1556"/>
      <c r="D111" s="1558"/>
      <c r="E111" s="469" t="str">
        <f>FHD_NUM_P_71</f>
        <v/>
      </c>
      <c r="F111" s="1799" t="str">
        <f>FHD_P_71</f>
        <v/>
      </c>
      <c r="G111" s="1796" t="s">
        <v>613</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614</v>
      </c>
      <c r="H112" s="500"/>
      <c r="I112" s="500"/>
      <c r="J112" s="204" t="str">
        <f>FHD_NOTE_P_72</f>
        <v/>
      </c>
      <c r="K112" s="466"/>
    </row>
    <row r="113" spans="1:31" ht="18.75" hidden="1" customHeight="1">
      <c r="A113" s="900" t="s">
        <v>615</v>
      </c>
      <c r="D113" s="1558"/>
      <c r="E113" s="469" t="str">
        <f>FHD_NUM_P_73</f>
        <v/>
      </c>
      <c r="F113" s="1799" t="str">
        <f>FHD_P_73</f>
        <v/>
      </c>
      <c r="G113" s="881" t="s">
        <v>614</v>
      </c>
      <c r="H113" s="879"/>
      <c r="I113" s="879"/>
      <c r="J113" s="204" t="str">
        <f>FHD_NOTE_P_73</f>
        <v/>
      </c>
      <c r="K113" s="466"/>
    </row>
    <row r="114" spans="1:31" ht="33.75" customHeight="1">
      <c r="A114" s="900" t="s">
        <v>616</v>
      </c>
      <c r="D114" s="1558"/>
      <c r="E114" s="469" t="str">
        <f>FHD_NUM_P_74</f>
        <v>13</v>
      </c>
      <c r="F114" s="1799" t="str">
        <f>FHD_P_74</f>
        <v>Удельный расход электрической энергии на подачу воды в сеть</v>
      </c>
      <c r="G114" s="1795" t="s">
        <v>617</v>
      </c>
      <c r="H114" s="500"/>
      <c r="I114" s="500"/>
      <c r="J114" s="204" t="str">
        <f>FHD_NOTE_P_74</f>
        <v/>
      </c>
      <c r="K114" s="466"/>
    </row>
    <row r="115" spans="1:31" s="1555" customFormat="1" ht="18.75" customHeight="1">
      <c r="A115" s="3987" t="s">
        <v>618</v>
      </c>
      <c r="B115" s="824"/>
      <c r="C115" s="652"/>
      <c r="D115" s="650"/>
      <c r="E115" s="469" t="str">
        <f>FHD_NUM_P_75</f>
        <v>14</v>
      </c>
      <c r="F115" s="1799" t="str">
        <f>FHD_P_75</f>
        <v>Расход воды на собственные нужды, в том числе:</v>
      </c>
      <c r="G115" s="1795" t="s">
        <v>582</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3987"/>
      <c r="B116" s="824"/>
      <c r="C116" s="652"/>
      <c r="D116" s="650"/>
      <c r="E116" s="469" t="str">
        <f>FHD_NUM_P_76</f>
        <v>14.1</v>
      </c>
      <c r="F116" s="1799" t="str">
        <f>FHD_P_76</f>
        <v>Расход воды на хозяйственно-бытовые нужды</v>
      </c>
      <c r="G116" s="1795" t="s">
        <v>582</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3987"/>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582</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3987"/>
      <c r="D118" s="471"/>
      <c r="E118" s="924" t="str">
        <f>E117&amp;".0"</f>
        <v>15.0</v>
      </c>
      <c r="F118" s="908"/>
      <c r="G118" s="1571"/>
      <c r="H118" s="903"/>
      <c r="I118" s="903"/>
      <c r="J118" s="907"/>
    </row>
    <row r="119" spans="1:31" s="1555" customFormat="1" ht="15" customHeight="1">
      <c r="A119" s="3987"/>
      <c r="B119" s="824"/>
      <c r="C119" s="652"/>
      <c r="D119" s="662"/>
      <c r="E119" s="884"/>
      <c r="F119" s="885" t="s">
        <v>619</v>
      </c>
      <c r="G119" s="663"/>
      <c r="H119" s="664"/>
      <c r="I119" s="664"/>
      <c r="J119" s="914" t="s">
        <v>620</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3987" t="s">
        <v>621</v>
      </c>
      <c r="D120" s="1558"/>
      <c r="E120" s="469" t="str">
        <f>FHD_NUM_P_78</f>
        <v/>
      </c>
      <c r="F120" s="1799" t="str">
        <f>FHD_P_78</f>
        <v/>
      </c>
      <c r="G120" s="1796" t="s">
        <v>584</v>
      </c>
      <c r="H120" s="500"/>
      <c r="I120" s="500"/>
      <c r="J120" s="204" t="str">
        <f>FHD_NOTE_P_78</f>
        <v/>
      </c>
      <c r="K120" s="466"/>
    </row>
    <row r="121" spans="1:31" s="1562" customFormat="1" ht="0.75" hidden="1" customHeight="1">
      <c r="A121" s="3987"/>
      <c r="D121" s="471"/>
      <c r="E121" s="924" t="str">
        <f>E120&amp;".0"</f>
        <v>.0</v>
      </c>
      <c r="F121" s="908"/>
      <c r="G121" s="1571"/>
      <c r="H121" s="903"/>
      <c r="I121" s="903"/>
      <c r="J121" s="907"/>
    </row>
    <row r="122" spans="1:31" ht="15" hidden="1" customHeight="1">
      <c r="A122" s="3987"/>
      <c r="D122" s="1553"/>
      <c r="E122" s="493"/>
      <c r="F122" s="1073" t="s">
        <v>610</v>
      </c>
      <c r="G122" s="495"/>
      <c r="H122" s="496"/>
      <c r="I122" s="496"/>
      <c r="J122" s="915" t="s">
        <v>622</v>
      </c>
      <c r="K122" s="466"/>
    </row>
    <row r="123" spans="1:31" ht="22.5" hidden="1" customHeight="1">
      <c r="A123" s="3987"/>
      <c r="D123" s="1558"/>
      <c r="E123" s="469" t="str">
        <f>FHD_NUM_P_79</f>
        <v/>
      </c>
      <c r="F123" s="1799" t="str">
        <f>FHD_P_79</f>
        <v/>
      </c>
      <c r="G123" s="1797" t="s">
        <v>586</v>
      </c>
      <c r="H123" s="500"/>
      <c r="I123" s="500"/>
      <c r="J123" s="204" t="str">
        <f>FHD_NOTE_P_79</f>
        <v/>
      </c>
      <c r="K123" s="466"/>
    </row>
    <row r="124" spans="1:31" s="1562" customFormat="1" ht="0.75" hidden="1" customHeight="1">
      <c r="A124" s="3987"/>
      <c r="D124" s="471"/>
      <c r="E124" s="924" t="str">
        <f>E123&amp;".0"</f>
        <v>.0</v>
      </c>
      <c r="F124" s="909"/>
      <c r="G124" s="1571"/>
      <c r="H124" s="903"/>
      <c r="I124" s="903"/>
      <c r="J124" s="907"/>
    </row>
    <row r="125" spans="1:31" ht="15" hidden="1" customHeight="1">
      <c r="A125" s="3987"/>
      <c r="D125" s="1553"/>
      <c r="E125" s="493"/>
      <c r="F125" s="1073" t="s">
        <v>610</v>
      </c>
      <c r="G125" s="495"/>
      <c r="H125" s="496"/>
      <c r="I125" s="496"/>
      <c r="J125" s="915" t="s">
        <v>623</v>
      </c>
      <c r="K125" s="466"/>
    </row>
    <row r="126" spans="1:31" ht="22.5" hidden="1" customHeight="1">
      <c r="A126" s="3987"/>
      <c r="D126" s="1558"/>
      <c r="E126" s="469" t="str">
        <f>FHD_NUM_P_80</f>
        <v/>
      </c>
      <c r="F126" s="1799" t="str">
        <f>FHD_P_80</f>
        <v/>
      </c>
      <c r="G126" s="1797" t="s">
        <v>624</v>
      </c>
      <c r="H126" s="480"/>
      <c r="I126" s="480"/>
      <c r="J126" s="204" t="str">
        <f>FHD_NOTE_P_80</f>
        <v/>
      </c>
      <c r="K126" s="466"/>
    </row>
    <row r="127" spans="1:31" ht="18.75" hidden="1" customHeight="1">
      <c r="A127" s="3987"/>
      <c r="D127" s="1558"/>
      <c r="E127" s="469" t="str">
        <f>FHD_NUM_P_81</f>
        <v/>
      </c>
      <c r="F127" s="1799" t="str">
        <f>FHD_P_81</f>
        <v/>
      </c>
      <c r="G127" s="1797" t="s">
        <v>625</v>
      </c>
      <c r="H127" s="480"/>
      <c r="I127" s="480"/>
      <c r="J127" s="204" t="str">
        <f>FHD_NOTE_P_81</f>
        <v/>
      </c>
      <c r="K127" s="466"/>
    </row>
    <row r="128" spans="1:31" ht="18.75" hidden="1" customHeight="1">
      <c r="A128" s="3987"/>
      <c r="C128" s="1556" t="s">
        <v>612</v>
      </c>
      <c r="D128" s="1558"/>
      <c r="E128" s="469" t="str">
        <f>FHD_NUM_P_82</f>
        <v/>
      </c>
      <c r="F128" s="1799" t="str">
        <f>FHD_P_82</f>
        <v/>
      </c>
      <c r="G128" s="1797" t="s">
        <v>335</v>
      </c>
      <c r="H128" s="330"/>
      <c r="I128" s="330"/>
      <c r="J128" s="204" t="str">
        <f>FHD_NOTE_P_82</f>
        <v/>
      </c>
      <c r="K128" s="466"/>
    </row>
    <row r="129" spans="1:31" ht="18.75" hidden="1" customHeight="1">
      <c r="A129" s="3987"/>
      <c r="C129" s="1556" t="s">
        <v>612</v>
      </c>
      <c r="D129" s="1558"/>
      <c r="E129" s="469" t="str">
        <f>FHD_NUM_P_83</f>
        <v/>
      </c>
      <c r="F129" s="1439" t="str">
        <f>FHD_P_83</f>
        <v/>
      </c>
      <c r="G129" s="1797" t="s">
        <v>335</v>
      </c>
      <c r="H129" s="330"/>
      <c r="I129" s="330"/>
      <c r="J129" s="204" t="str">
        <f>FHD_NOTE_P_83</f>
        <v/>
      </c>
      <c r="K129" s="466"/>
    </row>
    <row r="130" spans="1:31" ht="18.75" hidden="1" customHeight="1">
      <c r="A130" s="3987"/>
      <c r="C130" s="1556" t="s">
        <v>612</v>
      </c>
      <c r="D130" s="1558"/>
      <c r="E130" s="469" t="str">
        <f>FHD_NUM_P_84</f>
        <v/>
      </c>
      <c r="F130" s="1439" t="str">
        <f>FHD_P_84</f>
        <v/>
      </c>
      <c r="G130" s="1797" t="s">
        <v>335</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38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892"/>
      <c r="G5" s="3892"/>
      <c r="H5" s="3892"/>
      <c r="I5" s="3892"/>
      <c r="J5" s="3892"/>
      <c r="K5" s="3892"/>
      <c r="L5" s="532"/>
      <c r="M5" s="532"/>
    </row>
    <row r="6" spans="1:83" s="1555" customFormat="1" ht="16.5" customHeight="1">
      <c r="A6" s="529"/>
      <c r="B6" s="674"/>
      <c r="C6" s="433"/>
      <c r="D6" s="969"/>
      <c r="E6" s="3839" t="str">
        <f>IF(org=0,"Не определено",org)</f>
        <v>ГУП СК "Ставрополькрайводоканал"</v>
      </c>
      <c r="F6" s="3839"/>
      <c r="G6" s="3839"/>
      <c r="H6" s="3839"/>
      <c r="I6" s="3839"/>
      <c r="J6" s="3839"/>
      <c r="K6" s="3839"/>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3749" t="s">
        <v>329</v>
      </c>
      <c r="F9" s="3754"/>
      <c r="G9" s="3754"/>
      <c r="H9" s="3754"/>
      <c r="I9" s="3754"/>
      <c r="J9" s="3754"/>
      <c r="K9" s="3754"/>
      <c r="L9" s="3754"/>
      <c r="M9" s="3754"/>
      <c r="N9" s="3754"/>
      <c r="O9" s="3754"/>
      <c r="P9" s="3754"/>
      <c r="Q9" s="3754"/>
      <c r="R9" s="3748"/>
      <c r="S9" s="3778" t="s">
        <v>330</v>
      </c>
      <c r="T9" s="256"/>
    </row>
    <row r="10" spans="1:83" ht="33.75" customHeight="1">
      <c r="D10" s="474" t="s">
        <v>86</v>
      </c>
      <c r="E10" s="3778" t="s">
        <v>86</v>
      </c>
      <c r="F10" s="3778"/>
      <c r="G10" s="445" t="s">
        <v>331</v>
      </c>
      <c r="H10" s="3778" t="s">
        <v>86</v>
      </c>
      <c r="I10" s="3778"/>
      <c r="J10" s="445" t="s">
        <v>626</v>
      </c>
      <c r="K10" s="445" t="s">
        <v>627</v>
      </c>
      <c r="L10" s="3778" t="s">
        <v>86</v>
      </c>
      <c r="M10" s="3778"/>
      <c r="N10" s="445" t="s">
        <v>628</v>
      </c>
      <c r="O10" s="445" t="s">
        <v>629</v>
      </c>
      <c r="P10" s="445" t="s">
        <v>630</v>
      </c>
      <c r="Q10" s="445" t="s">
        <v>631</v>
      </c>
      <c r="R10" s="445" t="s">
        <v>632</v>
      </c>
      <c r="S10" s="3778"/>
      <c r="T10" s="256"/>
    </row>
    <row r="11" spans="1:83" s="1562" customFormat="1" ht="15" hidden="1" customHeight="1">
      <c r="A11" s="963"/>
      <c r="D11" s="936" t="s">
        <v>129</v>
      </c>
      <c r="E11" s="936"/>
      <c r="F11" s="936" t="s">
        <v>102</v>
      </c>
      <c r="G11" s="936" t="s">
        <v>88</v>
      </c>
      <c r="H11" s="936"/>
      <c r="I11" s="936" t="s">
        <v>89</v>
      </c>
      <c r="J11" s="936" t="s">
        <v>117</v>
      </c>
      <c r="K11" s="936" t="s">
        <v>90</v>
      </c>
      <c r="L11" s="936"/>
      <c r="M11" s="936" t="s">
        <v>91</v>
      </c>
      <c r="N11" s="936" t="s">
        <v>130</v>
      </c>
      <c r="O11" s="936" t="s">
        <v>166</v>
      </c>
      <c r="P11" s="936" t="s">
        <v>167</v>
      </c>
      <c r="Q11" s="936" t="s">
        <v>168</v>
      </c>
      <c r="R11" s="936" t="s">
        <v>169</v>
      </c>
      <c r="S11" s="936" t="s">
        <v>170</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407</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7" customFormat="1" ht="15" hidden="1" customHeight="1">
      <c r="A14" s="542" t="s">
        <v>135</v>
      </c>
      <c r="B14"/>
      <c r="C14"/>
      <c r="D14" s="3994" t="s">
        <v>129</v>
      </c>
      <c r="E14" s="3991" t="s">
        <v>125</v>
      </c>
      <c r="F14" s="3992"/>
      <c r="G14" s="3993"/>
      <c r="H14" s="3997">
        <f>IF(A14="","",INDEX(DIFFERENTIATION_UNMERGE_VD,MATCH(A14,DIFFERENTIATION_ID_DIFF,0)))</f>
        <v>0</v>
      </c>
      <c r="I14" s="3997"/>
      <c r="J14" s="3997"/>
      <c r="K14" s="3997"/>
      <c r="L14" s="3997"/>
      <c r="M14" s="3997"/>
      <c r="N14" s="3997"/>
      <c r="O14" s="3997"/>
      <c r="P14" s="3997"/>
      <c r="Q14" s="3997"/>
      <c r="R14" s="3997"/>
      <c r="S14" s="636"/>
      <c r="T14" s="633"/>
      <c r="U14" s="543"/>
      <c r="V14" s="543"/>
      <c r="W14" s="544"/>
      <c r="X14" s="544"/>
      <c r="Y14" s="544"/>
      <c r="Z14" s="544"/>
      <c r="AA14" s="545"/>
      <c r="AB14" s="546"/>
      <c r="AC14" s="3989"/>
      <c r="AD14" s="547"/>
      <c r="AE14" s="548" t="s">
        <v>24</v>
      </c>
      <c r="AF14" s="548"/>
      <c r="AG14" s="549" t="s">
        <v>633</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7" customFormat="1" ht="15" hidden="1" customHeight="1">
      <c r="A15" s="542"/>
      <c r="B15"/>
      <c r="C15"/>
      <c r="D15" s="3995"/>
      <c r="E15" s="3991" t="s">
        <v>588</v>
      </c>
      <c r="F15" s="3992"/>
      <c r="G15" s="3993"/>
      <c r="H15" s="3997" t="str">
        <f>IF(A14="","",INDEX(DIFFERENTIATION_UNMERGE_AREA,MATCH(A14,DIFFERENTIATION_ID_DIFF,0)))</f>
        <v/>
      </c>
      <c r="I15" s="3997"/>
      <c r="J15" s="3997"/>
      <c r="K15" s="3997"/>
      <c r="L15" s="3997"/>
      <c r="M15" s="3997"/>
      <c r="N15" s="3997"/>
      <c r="O15" s="3997"/>
      <c r="P15" s="3997"/>
      <c r="Q15" s="3997"/>
      <c r="R15" s="3997"/>
      <c r="S15" s="636"/>
      <c r="T15" s="633"/>
      <c r="U15" s="543"/>
      <c r="V15" s="543"/>
      <c r="W15" s="544"/>
      <c r="X15" s="544"/>
      <c r="Y15" s="544"/>
      <c r="Z15" s="544"/>
      <c r="AA15" s="545"/>
      <c r="AB15" s="546"/>
      <c r="AC15" s="3989"/>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7" customFormat="1" ht="15" hidden="1" customHeight="1">
      <c r="A16" s="542"/>
      <c r="B16"/>
      <c r="C16"/>
      <c r="D16" s="3995"/>
      <c r="E16" s="3991" t="s">
        <v>589</v>
      </c>
      <c r="F16" s="3992"/>
      <c r="G16" s="3993"/>
      <c r="H16" s="3997" t="str">
        <f>IF(A14="","",INDEX(DIFFERENTIATION_UNMERGE_SYSTEM,MATCH(A14,DIFFERENTIATION_ID_DIFF,0)))</f>
        <v>без дифференциации</v>
      </c>
      <c r="I16" s="3997"/>
      <c r="J16" s="3997"/>
      <c r="K16" s="3997"/>
      <c r="L16" s="3997"/>
      <c r="M16" s="3997"/>
      <c r="N16" s="3997"/>
      <c r="O16" s="3997"/>
      <c r="P16" s="3997"/>
      <c r="Q16" s="3997"/>
      <c r="R16" s="3997"/>
      <c r="S16" s="636"/>
      <c r="T16" s="633"/>
      <c r="U16" s="543"/>
      <c r="V16" s="543"/>
      <c r="W16" s="544"/>
      <c r="X16" s="544"/>
      <c r="Y16" s="544"/>
      <c r="Z16" s="544"/>
      <c r="AA16" s="545"/>
      <c r="AB16" s="546"/>
      <c r="AC16" s="3989"/>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7" customFormat="1" ht="22.5" hidden="1" customHeight="1">
      <c r="A17" s="551"/>
      <c r="B17" s="346"/>
      <c r="C17" s="341"/>
      <c r="D17" s="3995"/>
      <c r="E17" s="3990" t="s">
        <v>634</v>
      </c>
      <c r="F17" s="3990"/>
      <c r="G17" s="3990"/>
      <c r="H17" s="3990"/>
      <c r="I17" s="3990"/>
      <c r="J17" s="3990"/>
      <c r="K17" s="3990"/>
      <c r="L17" s="3990"/>
      <c r="M17" s="3990"/>
      <c r="N17" s="3990"/>
      <c r="O17" s="3990"/>
      <c r="P17" s="3990"/>
      <c r="Q17" s="481">
        <f>SUMIF(T18:T19,"i",Q18:Q19)</f>
        <v>0</v>
      </c>
      <c r="R17" s="928"/>
      <c r="S17" s="811" t="s">
        <v>635</v>
      </c>
      <c r="T17" s="634" t="s">
        <v>636</v>
      </c>
      <c r="U17" s="3907">
        <v>1</v>
      </c>
      <c r="V17" s="3907" t="str">
        <f>INDEX(B_FHD_FLAG_INDEX_1,1,MATCH(A14,B_FHD_FLAG_DIFFERENTIATION,0))</f>
        <v>отсутствует</v>
      </c>
      <c r="W17" s="346"/>
      <c r="X17" s="346"/>
      <c r="Y17" s="346"/>
      <c r="Z17" s="346"/>
      <c r="AA17" s="435"/>
      <c r="AB17" s="346"/>
      <c r="AC17" s="3989"/>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7" customFormat="1" ht="11.25" hidden="1" customHeight="1">
      <c r="A18" s="552"/>
      <c r="B18" s="435"/>
      <c r="C18" s="435"/>
      <c r="D18" s="3995"/>
      <c r="E18" s="553"/>
      <c r="F18" s="553">
        <v>0</v>
      </c>
      <c r="G18" s="553"/>
      <c r="H18" s="553"/>
      <c r="I18" s="553"/>
      <c r="J18" s="553"/>
      <c r="K18" s="553"/>
      <c r="L18" s="553"/>
      <c r="M18" s="553"/>
      <c r="N18" s="553"/>
      <c r="O18" s="553"/>
      <c r="P18" s="553"/>
      <c r="Q18" s="553"/>
      <c r="R18" s="553"/>
      <c r="S18" s="554"/>
      <c r="T18" s="635"/>
      <c r="U18" s="3907"/>
      <c r="V18" s="3907"/>
      <c r="W18" s="435"/>
      <c r="X18" s="435"/>
      <c r="Y18" s="435"/>
      <c r="Z18" s="435"/>
      <c r="AA18" s="435"/>
      <c r="AB18" s="346"/>
      <c r="AC18" s="3989"/>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7" customFormat="1" ht="11.25" hidden="1" customHeight="1">
      <c r="A19" s="551"/>
      <c r="B19" s="346"/>
      <c r="C19" s="341"/>
      <c r="D19" s="3995"/>
      <c r="E19" s="567" t="s">
        <v>24</v>
      </c>
      <c r="F19" s="568" t="s">
        <v>24</v>
      </c>
      <c r="G19" s="568" t="s">
        <v>24</v>
      </c>
      <c r="H19" s="569" t="s">
        <v>24</v>
      </c>
      <c r="I19" s="569"/>
      <c r="J19" s="569"/>
      <c r="K19" s="569"/>
      <c r="L19" s="569"/>
      <c r="M19" s="569"/>
      <c r="N19" s="569"/>
      <c r="O19" s="569"/>
      <c r="P19" s="569"/>
      <c r="Q19" s="569"/>
      <c r="R19" s="570"/>
      <c r="S19" s="931"/>
      <c r="T19" s="635"/>
      <c r="U19" s="3907"/>
      <c r="V19" s="3907"/>
      <c r="W19" s="346"/>
      <c r="X19" s="346"/>
      <c r="Y19" s="346"/>
      <c r="Z19" s="346"/>
      <c r="AA19" s="435"/>
      <c r="AB19" s="346"/>
      <c r="AC19" s="3989"/>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7" customFormat="1" ht="22.5" hidden="1" customHeight="1">
      <c r="A20" s="551"/>
      <c r="B20" s="346"/>
      <c r="C20" s="341"/>
      <c r="D20" s="3995"/>
      <c r="E20" s="3990" t="s">
        <v>637</v>
      </c>
      <c r="F20" s="3990"/>
      <c r="G20" s="3990"/>
      <c r="H20" s="3990"/>
      <c r="I20" s="3990"/>
      <c r="J20" s="3990"/>
      <c r="K20" s="3990"/>
      <c r="L20" s="3990"/>
      <c r="M20" s="3990"/>
      <c r="N20" s="3990"/>
      <c r="O20" s="3990"/>
      <c r="P20" s="3990"/>
      <c r="Q20" s="481">
        <f>SUMIF(T21:T22,"i",Q21:Q22)</f>
        <v>0</v>
      </c>
      <c r="R20" s="928"/>
      <c r="S20" s="626" t="s">
        <v>638</v>
      </c>
      <c r="T20" s="634" t="s">
        <v>636</v>
      </c>
      <c r="U20" s="3907">
        <v>2</v>
      </c>
      <c r="V20" s="3907"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7" customFormat="1" ht="11.25" hidden="1" customHeight="1">
      <c r="A21" s="625"/>
      <c r="B21" s="435"/>
      <c r="C21" s="435"/>
      <c r="D21" s="3995"/>
      <c r="E21" s="553"/>
      <c r="F21" s="553">
        <v>0</v>
      </c>
      <c r="G21" s="553"/>
      <c r="H21" s="553"/>
      <c r="I21" s="553"/>
      <c r="J21" s="553"/>
      <c r="K21" s="553"/>
      <c r="L21" s="553"/>
      <c r="M21" s="553"/>
      <c r="N21" s="553"/>
      <c r="O21" s="553"/>
      <c r="P21" s="553"/>
      <c r="Q21" s="553"/>
      <c r="R21" s="553"/>
      <c r="S21" s="554"/>
      <c r="T21" s="635"/>
      <c r="U21" s="3907"/>
      <c r="V21" s="3907"/>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7" customFormat="1" ht="11.25" hidden="1" customHeight="1">
      <c r="A22" s="551"/>
      <c r="B22" s="346"/>
      <c r="C22" s="341"/>
      <c r="D22" s="3996"/>
      <c r="E22" s="567" t="s">
        <v>24</v>
      </c>
      <c r="F22" s="568" t="s">
        <v>24</v>
      </c>
      <c r="G22" s="568" t="s">
        <v>24</v>
      </c>
      <c r="H22" s="569" t="s">
        <v>24</v>
      </c>
      <c r="I22" s="569"/>
      <c r="J22" s="569"/>
      <c r="K22" s="569"/>
      <c r="L22" s="569"/>
      <c r="M22" s="569"/>
      <c r="N22" s="569"/>
      <c r="O22" s="569"/>
      <c r="P22" s="569"/>
      <c r="Q22" s="569"/>
      <c r="R22" s="570"/>
      <c r="S22" s="931"/>
      <c r="T22" s="635"/>
      <c r="U22" s="3907"/>
      <c r="V22" s="3907"/>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3998"/>
      <c r="F27" s="3998"/>
      <c r="G27" s="3998"/>
      <c r="H27" s="3998"/>
      <c r="I27" s="3998"/>
      <c r="J27" s="3998"/>
      <c r="K27" s="3998"/>
      <c r="L27" s="3998"/>
      <c r="M27" s="3998"/>
      <c r="N27" s="3998"/>
      <c r="O27" s="3998"/>
      <c r="P27" s="3998"/>
      <c r="Q27" s="3998"/>
      <c r="R27" s="3998"/>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576</v>
      </c>
      <c r="H2" s="464"/>
      <c r="I2" s="464"/>
      <c r="J2" s="465" t="s">
        <v>639</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3852" t="s">
        <v>640</v>
      </c>
      <c r="F6" s="3852"/>
      <c r="G6" s="3852"/>
      <c r="H6" s="3852"/>
      <c r="I6" s="3852"/>
      <c r="J6" s="479"/>
    </row>
    <row r="7" spans="1:31" ht="24" customHeight="1">
      <c r="E7" s="3839" t="str">
        <f>IF(org=0,"Не определено",org)</f>
        <v>ГУП СК "Ставрополькрайводоканал"</v>
      </c>
      <c r="F7" s="3839"/>
      <c r="G7" s="3839"/>
      <c r="H7" s="3839"/>
      <c r="I7" s="3839"/>
    </row>
    <row r="8" spans="1:31" ht="11.25" customHeight="1">
      <c r="E8" s="1042"/>
      <c r="F8" s="1042"/>
      <c r="G8" s="1042"/>
      <c r="H8" s="1042"/>
      <c r="I8" s="1042"/>
    </row>
    <row r="9" spans="1:31" s="1562" customFormat="1" ht="0.75" customHeight="1">
      <c r="A9" s="1072"/>
      <c r="H9" s="803"/>
      <c r="I9" s="803" t="s">
        <v>135</v>
      </c>
    </row>
    <row r="10" spans="1:31" ht="11.25" customHeight="1">
      <c r="E10" s="628"/>
      <c r="F10" s="3983" t="s">
        <v>125</v>
      </c>
      <c r="G10" s="3984"/>
      <c r="H10" s="1477" t="str">
        <f>IF(H9="","",INDEX(DIFFERENTIATION_UNMERGE_VD,MATCH(H9,DIFFERENTIATION_ID_DIFF,0)))</f>
        <v/>
      </c>
      <c r="I10" s="1477">
        <f>IF(I9="","",INDEX(DIFFERENTIATION_UNMERGE_VD,MATCH(I9,DIFFERENTIATION_ID_DIFF,0)))</f>
        <v>0</v>
      </c>
      <c r="J10" s="3778"/>
    </row>
    <row r="11" spans="1:31" ht="11.25" customHeight="1">
      <c r="E11" s="628"/>
      <c r="F11" s="3983" t="s">
        <v>588</v>
      </c>
      <c r="G11" s="3984"/>
      <c r="H11" s="1477" t="str">
        <f>IF(H9="","",INDEX(DIFFERENTIATION_UNMERGE_AREA,MATCH(H9,DIFFERENTIATION_ID_DIFF,0)))</f>
        <v/>
      </c>
      <c r="I11" s="1477" t="str">
        <f>IF(I9="","",INDEX(DIFFERENTIATION_UNMERGE_AREA,MATCH(I9,DIFFERENTIATION_ID_DIFF,0)))</f>
        <v/>
      </c>
      <c r="J11" s="3778"/>
    </row>
    <row r="12" spans="1:31" ht="11.25" hidden="1" customHeight="1">
      <c r="E12" s="1582"/>
      <c r="F12" s="3999" t="s">
        <v>589</v>
      </c>
      <c r="G12" s="4000"/>
      <c r="H12" s="1583" t="str">
        <f>IF(H9="","",INDEX(DIFFERENTIATION_UNMERGE_SYSTEM,MATCH(H9,DIFFERENTIATION_ID_DIFF,0)))</f>
        <v/>
      </c>
      <c r="I12" s="1583" t="str">
        <f>IF(I9="","",INDEX(DIFFERENTIATION_UNMERGE_SYSTEM,MATCH(I9,DIFFERENTIATION_ID_DIFF,0)))</f>
        <v>без дифференциации</v>
      </c>
      <c r="J12" s="3778"/>
    </row>
    <row r="13" spans="1:31" ht="11.25" customHeight="1">
      <c r="E13" s="3985" t="s">
        <v>329</v>
      </c>
      <c r="F13" s="3986"/>
      <c r="G13" s="3986"/>
      <c r="H13" s="1476"/>
      <c r="I13" s="1476"/>
      <c r="J13" s="3778"/>
    </row>
    <row r="14" spans="1:31" ht="22.5" customHeight="1">
      <c r="E14" s="1559" t="s">
        <v>86</v>
      </c>
      <c r="F14" s="1554" t="s">
        <v>331</v>
      </c>
      <c r="G14" s="1554" t="s">
        <v>590</v>
      </c>
      <c r="H14" s="1554" t="s">
        <v>332</v>
      </c>
      <c r="I14" s="1554" t="s">
        <v>332</v>
      </c>
      <c r="J14" s="3778"/>
    </row>
    <row r="15" spans="1:31" ht="18.75" customHeight="1">
      <c r="D15" s="1558"/>
      <c r="E15" s="1550" t="s">
        <v>129</v>
      </c>
      <c r="F15" s="624" t="s">
        <v>641</v>
      </c>
      <c r="G15" s="1566" t="s">
        <v>576</v>
      </c>
      <c r="H15" s="480"/>
      <c r="I15" s="480"/>
      <c r="J15" s="204" t="s">
        <v>642</v>
      </c>
      <c r="K15" s="466" t="s">
        <v>643</v>
      </c>
    </row>
    <row r="16" spans="1:31" ht="33.75" customHeight="1">
      <c r="D16" s="1558"/>
      <c r="E16" s="1550" t="s">
        <v>102</v>
      </c>
      <c r="F16" s="624" t="s">
        <v>644</v>
      </c>
      <c r="G16" s="1566" t="s">
        <v>576</v>
      </c>
      <c r="H16" s="481">
        <f>SUM(H17,H20:H32)</f>
        <v>0</v>
      </c>
      <c r="I16" s="481">
        <f>SUM(I17,I20:I32)</f>
        <v>0</v>
      </c>
      <c r="J16" s="204" t="s">
        <v>645</v>
      </c>
      <c r="K16" s="466" t="s">
        <v>643</v>
      </c>
    </row>
    <row r="17" spans="1:31" ht="18.75" customHeight="1">
      <c r="D17" s="1558"/>
      <c r="E17" s="1584" t="s">
        <v>646</v>
      </c>
      <c r="F17" s="865" t="s">
        <v>647</v>
      </c>
      <c r="G17" s="1563" t="s">
        <v>576</v>
      </c>
      <c r="H17" s="480"/>
      <c r="I17" s="480"/>
      <c r="J17" s="204" t="s">
        <v>648</v>
      </c>
      <c r="K17" s="466"/>
    </row>
    <row r="18" spans="1:31" ht="22.5" customHeight="1">
      <c r="D18" s="1558"/>
      <c r="E18" s="1584" t="s">
        <v>649</v>
      </c>
      <c r="F18" s="1570" t="s">
        <v>650</v>
      </c>
      <c r="G18" s="1563" t="s">
        <v>576</v>
      </c>
      <c r="H18" s="480"/>
      <c r="I18" s="480"/>
      <c r="J18" s="204" t="s">
        <v>651</v>
      </c>
      <c r="K18" s="466"/>
    </row>
    <row r="19" spans="1:31" ht="33.75" customHeight="1">
      <c r="D19" s="1558"/>
      <c r="E19" s="1584" t="s">
        <v>652</v>
      </c>
      <c r="F19" s="1570" t="s">
        <v>653</v>
      </c>
      <c r="G19" s="1563" t="s">
        <v>576</v>
      </c>
      <c r="H19" s="480"/>
      <c r="I19" s="480"/>
      <c r="J19" s="204"/>
      <c r="K19" s="466"/>
    </row>
    <row r="20" spans="1:31" ht="18.75" customHeight="1">
      <c r="D20" s="1558"/>
      <c r="E20" s="1584" t="s">
        <v>336</v>
      </c>
      <c r="F20" s="865" t="s">
        <v>654</v>
      </c>
      <c r="G20" s="1563" t="s">
        <v>576</v>
      </c>
      <c r="H20" s="480"/>
      <c r="I20" s="480"/>
      <c r="J20" s="204" t="s">
        <v>655</v>
      </c>
      <c r="K20" s="466"/>
    </row>
    <row r="21" spans="1:31" ht="18.75" customHeight="1">
      <c r="D21" s="1558"/>
      <c r="E21" s="1584" t="s">
        <v>656</v>
      </c>
      <c r="F21" s="1570" t="s">
        <v>657</v>
      </c>
      <c r="G21" s="1563" t="s">
        <v>576</v>
      </c>
      <c r="H21" s="480"/>
      <c r="I21" s="480"/>
      <c r="J21" s="204"/>
      <c r="K21" s="466"/>
    </row>
    <row r="22" spans="1:31" ht="18.75" customHeight="1">
      <c r="D22" s="1558"/>
      <c r="E22" s="1584" t="s">
        <v>658</v>
      </c>
      <c r="F22" s="1570" t="s">
        <v>659</v>
      </c>
      <c r="G22" s="1563" t="s">
        <v>576</v>
      </c>
      <c r="H22" s="480"/>
      <c r="I22" s="480"/>
      <c r="J22" s="204"/>
      <c r="K22" s="466"/>
    </row>
    <row r="23" spans="1:31" ht="22.5" customHeight="1">
      <c r="D23" s="1558"/>
      <c r="E23" s="1584" t="s">
        <v>339</v>
      </c>
      <c r="F23" s="865" t="s">
        <v>660</v>
      </c>
      <c r="G23" s="1563" t="s">
        <v>576</v>
      </c>
      <c r="H23" s="480"/>
      <c r="I23" s="480"/>
      <c r="J23" s="204" t="s">
        <v>661</v>
      </c>
      <c r="K23" s="466"/>
    </row>
    <row r="24" spans="1:31" ht="18.75" customHeight="1">
      <c r="D24" s="1558"/>
      <c r="E24" s="1584" t="s">
        <v>662</v>
      </c>
      <c r="F24" s="1570" t="s">
        <v>663</v>
      </c>
      <c r="G24" s="1563" t="s">
        <v>576</v>
      </c>
      <c r="H24" s="480"/>
      <c r="I24" s="480"/>
      <c r="J24" s="204"/>
      <c r="K24" s="466"/>
    </row>
    <row r="25" spans="1:31" ht="33.75" customHeight="1">
      <c r="D25" s="1558"/>
      <c r="E25" s="1584" t="s">
        <v>664</v>
      </c>
      <c r="F25" s="1570" t="s">
        <v>665</v>
      </c>
      <c r="G25" s="1563" t="s">
        <v>576</v>
      </c>
      <c r="H25" s="480"/>
      <c r="I25" s="480"/>
      <c r="J25" s="204"/>
      <c r="K25" s="466"/>
    </row>
    <row r="26" spans="1:31" ht="22.5" customHeight="1">
      <c r="D26" s="1558"/>
      <c r="E26" s="1584" t="s">
        <v>666</v>
      </c>
      <c r="F26" s="865" t="s">
        <v>667</v>
      </c>
      <c r="G26" s="1563" t="s">
        <v>576</v>
      </c>
      <c r="H26" s="480"/>
      <c r="I26" s="480"/>
      <c r="J26" s="204" t="s">
        <v>668</v>
      </c>
      <c r="K26" s="466"/>
    </row>
    <row r="27" spans="1:31" ht="18.75" customHeight="1">
      <c r="D27" s="1558"/>
      <c r="E27" s="1595" t="s">
        <v>669</v>
      </c>
      <c r="F27" s="1570" t="s">
        <v>670</v>
      </c>
      <c r="G27" s="1574" t="s">
        <v>576</v>
      </c>
      <c r="H27" s="1596"/>
      <c r="I27" s="1596"/>
      <c r="J27" s="204"/>
      <c r="K27" s="466"/>
    </row>
    <row r="28" spans="1:31" ht="18.75" customHeight="1">
      <c r="D28" s="1558"/>
      <c r="E28" s="1595" t="s">
        <v>671</v>
      </c>
      <c r="F28" s="1570" t="s">
        <v>672</v>
      </c>
      <c r="G28" s="1574" t="s">
        <v>576</v>
      </c>
      <c r="H28" s="1596"/>
      <c r="I28" s="1596"/>
      <c r="J28" s="204"/>
      <c r="K28" s="466"/>
    </row>
    <row r="29" spans="1:31" ht="18.75" customHeight="1">
      <c r="D29" s="1558"/>
      <c r="E29" s="1595" t="s">
        <v>673</v>
      </c>
      <c r="F29" s="865" t="s">
        <v>674</v>
      </c>
      <c r="G29" s="1574" t="s">
        <v>576</v>
      </c>
      <c r="H29" s="1596"/>
      <c r="I29" s="1596"/>
      <c r="J29" s="204"/>
      <c r="K29" s="466"/>
    </row>
    <row r="30" spans="1:31" ht="18.75" customHeight="1">
      <c r="D30" s="1558"/>
      <c r="E30" s="1595" t="s">
        <v>675</v>
      </c>
      <c r="F30" s="865" t="s">
        <v>676</v>
      </c>
      <c r="G30" s="1574" t="s">
        <v>576</v>
      </c>
      <c r="H30" s="1596"/>
      <c r="I30" s="1596"/>
      <c r="J30" s="204"/>
      <c r="K30" s="466"/>
    </row>
    <row r="31" spans="1:31" ht="18.75" customHeight="1">
      <c r="D31" s="1558"/>
      <c r="E31" s="1595" t="s">
        <v>677</v>
      </c>
      <c r="F31" s="865" t="s">
        <v>678</v>
      </c>
      <c r="G31" s="1574" t="s">
        <v>576</v>
      </c>
      <c r="H31" s="1596"/>
      <c r="I31" s="1596"/>
      <c r="J31" s="204"/>
      <c r="K31" s="466"/>
    </row>
    <row r="32" spans="1:31" s="1287" customFormat="1" ht="22.5" customHeight="1">
      <c r="A32" s="898"/>
      <c r="C32" s="1556"/>
      <c r="D32" s="1558"/>
      <c r="E32" s="1595" t="s">
        <v>679</v>
      </c>
      <c r="F32" s="865" t="s">
        <v>680</v>
      </c>
      <c r="G32" s="1564" t="s">
        <v>576</v>
      </c>
      <c r="H32" s="502">
        <f>SUM(H33:H34)</f>
        <v>0</v>
      </c>
      <c r="I32" s="502">
        <f>SUM(I33:I34)</f>
        <v>0</v>
      </c>
      <c r="J32" s="204" t="s">
        <v>681</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601</v>
      </c>
      <c r="G34" s="495"/>
      <c r="H34" s="496"/>
      <c r="I34" s="496"/>
      <c r="J34" s="215" t="s">
        <v>682</v>
      </c>
      <c r="K34" s="466"/>
      <c r="L34" s="1556"/>
      <c r="M34" s="1556"/>
      <c r="R34" s="1556"/>
      <c r="U34" s="467"/>
      <c r="AA34" s="1552"/>
      <c r="AB34" s="1552"/>
      <c r="AC34" s="1552"/>
      <c r="AD34" s="1552"/>
      <c r="AE34" s="1552"/>
    </row>
    <row r="35" spans="1:31" ht="56.25" customHeight="1">
      <c r="D35" s="1558"/>
      <c r="E35" s="1595" t="s">
        <v>683</v>
      </c>
      <c r="F35" s="865" t="s">
        <v>684</v>
      </c>
      <c r="G35" s="1574" t="s">
        <v>576</v>
      </c>
      <c r="H35" s="1596"/>
      <c r="I35" s="1596"/>
      <c r="J35" s="204" t="s">
        <v>685</v>
      </c>
      <c r="K35" s="466"/>
    </row>
    <row r="36" spans="1:31" s="1287" customFormat="1" ht="22.5" customHeight="1">
      <c r="A36" s="900" t="s">
        <v>602</v>
      </c>
      <c r="C36" s="1556"/>
      <c r="D36" s="1558"/>
      <c r="E36" s="1584" t="s">
        <v>88</v>
      </c>
      <c r="F36" s="624" t="s">
        <v>686</v>
      </c>
      <c r="G36" s="1563" t="s">
        <v>576</v>
      </c>
      <c r="H36" s="480"/>
      <c r="I36" s="480"/>
      <c r="J36" s="204" t="s">
        <v>687</v>
      </c>
      <c r="K36" s="466"/>
      <c r="L36" s="1556"/>
      <c r="M36" s="1556"/>
      <c r="R36" s="1556"/>
      <c r="U36" s="467"/>
      <c r="AA36" s="1552"/>
      <c r="AB36" s="1552"/>
      <c r="AC36" s="1552"/>
      <c r="AD36" s="1552"/>
      <c r="AE36" s="1552"/>
    </row>
    <row r="37" spans="1:31" s="1287" customFormat="1" ht="22.5" customHeight="1">
      <c r="A37" s="900"/>
      <c r="C37" s="1556"/>
      <c r="D37" s="1558"/>
      <c r="E37" s="1584" t="s">
        <v>355</v>
      </c>
      <c r="F37" s="865" t="s">
        <v>688</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689</v>
      </c>
      <c r="G38" s="1563" t="s">
        <v>576</v>
      </c>
      <c r="H38" s="480"/>
      <c r="I38" s="480"/>
      <c r="J38" s="204" t="s">
        <v>690</v>
      </c>
      <c r="K38" s="466"/>
      <c r="L38" s="1556"/>
      <c r="M38" s="1556"/>
      <c r="R38" s="1556"/>
      <c r="U38" s="467"/>
      <c r="AA38" s="1552"/>
      <c r="AB38" s="1552"/>
      <c r="AC38" s="1552"/>
      <c r="AD38" s="1552"/>
      <c r="AE38" s="1552"/>
    </row>
    <row r="39" spans="1:31" s="1287" customFormat="1" ht="22.5" customHeight="1">
      <c r="A39" s="898"/>
      <c r="C39" s="1556"/>
      <c r="D39" s="498"/>
      <c r="E39" s="1584" t="s">
        <v>691</v>
      </c>
      <c r="F39" s="865" t="s">
        <v>692</v>
      </c>
      <c r="G39" s="1574" t="s">
        <v>576</v>
      </c>
      <c r="H39" s="480"/>
      <c r="I39" s="480"/>
      <c r="J39" s="204" t="s">
        <v>693</v>
      </c>
      <c r="K39" s="466"/>
      <c r="L39" s="1556"/>
      <c r="M39" s="1556"/>
      <c r="R39" s="1556"/>
      <c r="U39" s="467"/>
      <c r="AA39" s="1552"/>
      <c r="AB39" s="1552"/>
      <c r="AC39" s="1552"/>
      <c r="AD39" s="1552"/>
      <c r="AE39" s="1552"/>
    </row>
    <row r="40" spans="1:31" s="1287" customFormat="1" ht="22.5" customHeight="1">
      <c r="A40" s="898"/>
      <c r="C40" s="1556"/>
      <c r="D40" s="1558"/>
      <c r="E40" s="1584" t="s">
        <v>694</v>
      </c>
      <c r="F40" s="1570" t="s">
        <v>695</v>
      </c>
      <c r="G40" s="1563" t="s">
        <v>576</v>
      </c>
      <c r="H40" s="480"/>
      <c r="I40" s="480"/>
      <c r="J40" s="204" t="s">
        <v>696</v>
      </c>
      <c r="K40" s="466"/>
      <c r="L40" s="1556"/>
      <c r="M40" s="1556"/>
      <c r="R40" s="1556"/>
      <c r="U40" s="467"/>
      <c r="AA40" s="1552"/>
      <c r="AB40" s="1552"/>
      <c r="AC40" s="1552"/>
      <c r="AD40" s="1552"/>
      <c r="AE40" s="1552"/>
    </row>
    <row r="41" spans="1:31" s="1287" customFormat="1" ht="22.5" customHeight="1">
      <c r="A41" s="898"/>
      <c r="C41" s="1556"/>
      <c r="D41" s="1558"/>
      <c r="E41" s="1584" t="s">
        <v>697</v>
      </c>
      <c r="F41" s="1570" t="s">
        <v>698</v>
      </c>
      <c r="G41" s="1563" t="s">
        <v>576</v>
      </c>
      <c r="H41" s="480"/>
      <c r="I41" s="480"/>
      <c r="J41" s="204" t="s">
        <v>699</v>
      </c>
      <c r="K41" s="466"/>
      <c r="L41" s="1556"/>
      <c r="M41" s="1556"/>
      <c r="R41" s="1556"/>
      <c r="U41" s="467"/>
      <c r="AA41" s="1552"/>
      <c r="AB41" s="1552"/>
      <c r="AC41" s="1552"/>
      <c r="AD41" s="1552"/>
      <c r="AE41" s="1552"/>
    </row>
    <row r="42" spans="1:31" s="1287" customFormat="1" ht="22.5" customHeight="1">
      <c r="A42" s="898"/>
      <c r="C42" s="1556"/>
      <c r="D42" s="1558"/>
      <c r="E42" s="1584" t="s">
        <v>700</v>
      </c>
      <c r="F42" s="1570" t="s">
        <v>701</v>
      </c>
      <c r="G42" s="1563" t="s">
        <v>576</v>
      </c>
      <c r="H42" s="480"/>
      <c r="I42" s="480"/>
      <c r="J42" s="204" t="s">
        <v>702</v>
      </c>
      <c r="K42" s="466"/>
      <c r="L42" s="1556"/>
      <c r="M42" s="1556"/>
      <c r="R42" s="1556"/>
      <c r="U42" s="467"/>
      <c r="AA42" s="1552"/>
      <c r="AB42" s="1552"/>
      <c r="AC42" s="1552"/>
      <c r="AD42" s="1552"/>
      <c r="AE42" s="1552"/>
    </row>
    <row r="43" spans="1:31" s="1287" customFormat="1" ht="33.75" customHeight="1">
      <c r="A43" s="898"/>
      <c r="C43" s="1556" t="s">
        <v>612</v>
      </c>
      <c r="D43" s="1558"/>
      <c r="E43" s="1584" t="s">
        <v>117</v>
      </c>
      <c r="F43" s="624" t="s">
        <v>703</v>
      </c>
      <c r="G43" s="1566" t="s">
        <v>704</v>
      </c>
      <c r="H43" s="330"/>
      <c r="I43" s="330"/>
      <c r="J43" s="204" t="s">
        <v>705</v>
      </c>
      <c r="K43" s="466"/>
      <c r="L43" s="1556"/>
      <c r="M43" s="1556"/>
      <c r="R43" s="1556"/>
      <c r="U43" s="467"/>
      <c r="AA43" s="1552"/>
      <c r="AB43" s="1552"/>
      <c r="AC43" s="1552"/>
      <c r="AD43" s="1552"/>
      <c r="AE43" s="1552"/>
    </row>
    <row r="44" spans="1:31" s="1287" customFormat="1" ht="22.5" customHeight="1">
      <c r="A44" s="898"/>
      <c r="C44" s="1556"/>
      <c r="D44" s="1558"/>
      <c r="E44" s="1584" t="s">
        <v>90</v>
      </c>
      <c r="F44" s="624" t="s">
        <v>706</v>
      </c>
      <c r="G44" s="1563" t="s">
        <v>707</v>
      </c>
      <c r="H44" s="468"/>
      <c r="I44" s="468"/>
      <c r="J44" s="204" t="s">
        <v>708</v>
      </c>
      <c r="K44" s="466"/>
      <c r="L44" s="1556"/>
      <c r="M44" s="1556"/>
      <c r="R44" s="1556"/>
      <c r="U44" s="467"/>
      <c r="AA44" s="1552"/>
      <c r="AB44" s="1552"/>
      <c r="AC44" s="1552"/>
      <c r="AD44" s="1552"/>
      <c r="AE44" s="1552"/>
    </row>
    <row r="45" spans="1:31" s="1287" customFormat="1" ht="22.5" customHeight="1">
      <c r="A45" s="898"/>
      <c r="C45" s="1556"/>
      <c r="D45" s="1558"/>
      <c r="E45" s="1584" t="s">
        <v>91</v>
      </c>
      <c r="F45" s="624" t="s">
        <v>709</v>
      </c>
      <c r="G45" s="1574" t="s">
        <v>710</v>
      </c>
      <c r="H45" s="468"/>
      <c r="I45" s="468"/>
      <c r="J45" s="204" t="s">
        <v>711</v>
      </c>
      <c r="K45" s="466"/>
      <c r="L45" s="1556"/>
      <c r="M45" s="1556"/>
      <c r="R45" s="1556"/>
      <c r="U45" s="467"/>
      <c r="AA45" s="1552"/>
      <c r="AB45" s="1552"/>
      <c r="AC45" s="1552"/>
      <c r="AD45" s="1552"/>
      <c r="AE45" s="1552"/>
    </row>
    <row r="46" spans="1:31" s="1287" customFormat="1" ht="18.75" customHeight="1">
      <c r="A46" s="898"/>
      <c r="C46" s="1556"/>
      <c r="D46" s="1558"/>
      <c r="E46" s="1584" t="s">
        <v>130</v>
      </c>
      <c r="F46" s="624" t="s">
        <v>712</v>
      </c>
      <c r="G46" s="1563" t="s">
        <v>614</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3928"/>
      <c r="G48" s="3928"/>
      <c r="H48" s="3928"/>
      <c r="I48" s="3928"/>
      <c r="J48" s="3928"/>
    </row>
    <row r="49" spans="1:31" s="1561" customFormat="1" ht="37.5" customHeight="1">
      <c r="A49" s="898"/>
      <c r="B49" s="1556"/>
      <c r="C49" s="1556"/>
      <c r="D49" s="272"/>
      <c r="F49" s="3928"/>
      <c r="G49" s="3928"/>
      <c r="H49" s="3928"/>
      <c r="I49" s="3928"/>
      <c r="J49" s="3928"/>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576</v>
      </c>
      <c r="H2" s="464"/>
      <c r="I2" s="464"/>
      <c r="J2" s="465" t="s">
        <v>579</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3892" t="s">
        <v>713</v>
      </c>
      <c r="F6" s="3892"/>
      <c r="G6" s="3892"/>
      <c r="H6" s="3892"/>
      <c r="I6" s="3892"/>
      <c r="J6" s="479"/>
    </row>
    <row r="7" spans="1:31" ht="24" customHeight="1">
      <c r="E7" s="3839" t="str">
        <f>IF(org=0,"Не определено",org)</f>
        <v>ГУП СК "Ставрополькрайводоканал"</v>
      </c>
      <c r="F7" s="3839"/>
      <c r="G7" s="3839"/>
      <c r="H7" s="3839"/>
      <c r="I7" s="3839"/>
    </row>
    <row r="8" spans="1:31" ht="11.25" customHeight="1">
      <c r="E8" s="1042"/>
      <c r="F8" s="1042"/>
      <c r="G8" s="1042"/>
      <c r="H8" s="1042"/>
      <c r="I8" s="1042"/>
    </row>
    <row r="9" spans="1:31" s="1562" customFormat="1" ht="0.75" customHeight="1">
      <c r="A9" s="1072"/>
      <c r="H9" s="803"/>
      <c r="I9" s="803" t="s">
        <v>135</v>
      </c>
    </row>
    <row r="10" spans="1:31" ht="11.25" customHeight="1">
      <c r="E10" s="628"/>
      <c r="F10" s="3983" t="s">
        <v>125</v>
      </c>
      <c r="G10" s="3984"/>
      <c r="H10" s="1579" t="str">
        <f>IF(H9="","",INDEX(DIFFERENTIATION_UNMERGE_VD,MATCH(H9,DIFFERENTIATION_ID_DIFF,0)))</f>
        <v/>
      </c>
      <c r="I10" s="1579">
        <f>IF(I9="","",INDEX(DIFFERENTIATION_UNMERGE_VD,MATCH(I9,DIFFERENTIATION_ID_DIFF,0)))</f>
        <v>0</v>
      </c>
      <c r="J10" s="3778"/>
    </row>
    <row r="11" spans="1:31" ht="11.25" customHeight="1">
      <c r="E11" s="628"/>
      <c r="F11" s="3983" t="s">
        <v>588</v>
      </c>
      <c r="G11" s="3984"/>
      <c r="H11" s="1579" t="str">
        <f>IF(H9="","",INDEX(DIFFERENTIATION_UNMERGE_AREA,MATCH(H9,DIFFERENTIATION_ID_DIFF,0)))</f>
        <v/>
      </c>
      <c r="I11" s="1579" t="str">
        <f>IF(I9="","",INDEX(DIFFERENTIATION_UNMERGE_AREA,MATCH(I9,DIFFERENTIATION_ID_DIFF,0)))</f>
        <v/>
      </c>
      <c r="J11" s="3778"/>
    </row>
    <row r="12" spans="1:31" ht="11.25" hidden="1" customHeight="1">
      <c r="E12" s="1582"/>
      <c r="F12" s="3999" t="s">
        <v>589</v>
      </c>
      <c r="G12" s="4000"/>
      <c r="H12" s="1583" t="str">
        <f>IF(H9="","",INDEX(DIFFERENTIATION_UNMERGE_SYSTEM,MATCH(H9,DIFFERENTIATION_ID_DIFF,0)))</f>
        <v/>
      </c>
      <c r="I12" s="1583" t="str">
        <f>IF(I9="","",INDEX(DIFFERENTIATION_UNMERGE_SYSTEM,MATCH(I9,DIFFERENTIATION_ID_DIFF,0)))</f>
        <v>без дифференциации</v>
      </c>
      <c r="J12" s="3778"/>
    </row>
    <row r="13" spans="1:31" ht="11.25" customHeight="1">
      <c r="E13" s="3985" t="s">
        <v>329</v>
      </c>
      <c r="F13" s="3986"/>
      <c r="G13" s="3986"/>
      <c r="H13" s="1576"/>
      <c r="I13" s="1576"/>
      <c r="J13" s="3778"/>
    </row>
    <row r="14" spans="1:31" ht="22.5" customHeight="1">
      <c r="E14" s="1577" t="s">
        <v>86</v>
      </c>
      <c r="F14" s="1580" t="s">
        <v>331</v>
      </c>
      <c r="G14" s="1580" t="s">
        <v>590</v>
      </c>
      <c r="H14" s="1580" t="s">
        <v>332</v>
      </c>
      <c r="I14" s="1580" t="s">
        <v>332</v>
      </c>
      <c r="J14" s="3778"/>
    </row>
    <row r="15" spans="1:31" ht="18.75" customHeight="1">
      <c r="D15" s="1558"/>
      <c r="E15" s="1550" t="s">
        <v>129</v>
      </c>
      <c r="F15" s="624" t="s">
        <v>714</v>
      </c>
      <c r="G15" s="1577" t="s">
        <v>576</v>
      </c>
      <c r="H15" s="480"/>
      <c r="I15" s="480"/>
      <c r="J15" s="204" t="s">
        <v>715</v>
      </c>
      <c r="K15" s="466" t="s">
        <v>643</v>
      </c>
    </row>
    <row r="16" spans="1:31" ht="22.5" customHeight="1">
      <c r="D16" s="1558"/>
      <c r="E16" s="1550" t="s">
        <v>102</v>
      </c>
      <c r="F16" s="1585" t="s">
        <v>716</v>
      </c>
      <c r="G16" s="1577" t="s">
        <v>576</v>
      </c>
      <c r="H16" s="481">
        <f>SUM(H17,H20:H27)</f>
        <v>0</v>
      </c>
      <c r="I16" s="481">
        <f>SUM(I17,I20:I27)</f>
        <v>0</v>
      </c>
      <c r="J16" s="204" t="s">
        <v>717</v>
      </c>
      <c r="K16" s="466" t="s">
        <v>643</v>
      </c>
    </row>
    <row r="17" spans="1:31" ht="33.75" customHeight="1">
      <c r="D17" s="1558"/>
      <c r="E17" s="1584" t="s">
        <v>646</v>
      </c>
      <c r="F17" s="1587" t="s">
        <v>718</v>
      </c>
      <c r="G17" s="1574" t="s">
        <v>576</v>
      </c>
      <c r="H17" s="480"/>
      <c r="I17" s="480"/>
      <c r="J17" s="204" t="s">
        <v>719</v>
      </c>
      <c r="K17" s="466"/>
    </row>
    <row r="18" spans="1:31" ht="18.75" customHeight="1">
      <c r="D18" s="1558"/>
      <c r="E18" s="1584" t="s">
        <v>649</v>
      </c>
      <c r="F18" s="1588" t="s">
        <v>720</v>
      </c>
      <c r="G18" s="1574" t="s">
        <v>576</v>
      </c>
      <c r="H18" s="480"/>
      <c r="I18" s="480"/>
      <c r="J18" s="204"/>
      <c r="K18" s="466"/>
    </row>
    <row r="19" spans="1:31" ht="22.5" customHeight="1">
      <c r="D19" s="1558"/>
      <c r="E19" s="1584" t="s">
        <v>652</v>
      </c>
      <c r="F19" s="1588" t="s">
        <v>721</v>
      </c>
      <c r="G19" s="1574" t="s">
        <v>576</v>
      </c>
      <c r="H19" s="480"/>
      <c r="I19" s="480"/>
      <c r="J19" s="204"/>
      <c r="K19" s="466"/>
    </row>
    <row r="20" spans="1:31" ht="33.75" customHeight="1">
      <c r="D20" s="1558"/>
      <c r="E20" s="1584" t="s">
        <v>336</v>
      </c>
      <c r="F20" s="1587" t="s">
        <v>722</v>
      </c>
      <c r="G20" s="1574" t="s">
        <v>576</v>
      </c>
      <c r="H20" s="480"/>
      <c r="I20" s="480"/>
      <c r="J20" s="204"/>
      <c r="K20" s="466"/>
    </row>
    <row r="21" spans="1:31" ht="33.75" customHeight="1">
      <c r="D21" s="1558"/>
      <c r="E21" s="1584" t="s">
        <v>339</v>
      </c>
      <c r="F21" s="1587" t="s">
        <v>723</v>
      </c>
      <c r="G21" s="1574" t="s">
        <v>576</v>
      </c>
      <c r="H21" s="480"/>
      <c r="I21" s="480"/>
      <c r="J21" s="204"/>
      <c r="K21" s="466"/>
    </row>
    <row r="22" spans="1:31" ht="56.25" customHeight="1">
      <c r="D22" s="1558"/>
      <c r="E22" s="1584" t="s">
        <v>666</v>
      </c>
      <c r="F22" s="1587" t="s">
        <v>724</v>
      </c>
      <c r="G22" s="1574" t="s">
        <v>576</v>
      </c>
      <c r="H22" s="480"/>
      <c r="I22" s="480"/>
      <c r="J22" s="204"/>
      <c r="K22" s="466"/>
    </row>
    <row r="23" spans="1:31" ht="33.75" customHeight="1">
      <c r="D23" s="1558"/>
      <c r="E23" s="1584" t="s">
        <v>673</v>
      </c>
      <c r="F23" s="1587" t="s">
        <v>725</v>
      </c>
      <c r="G23" s="1574" t="s">
        <v>576</v>
      </c>
      <c r="H23" s="480"/>
      <c r="I23" s="480"/>
      <c r="J23" s="204"/>
      <c r="K23" s="466"/>
    </row>
    <row r="24" spans="1:31" ht="33.75" customHeight="1">
      <c r="D24" s="1558"/>
      <c r="E24" s="1584" t="s">
        <v>675</v>
      </c>
      <c r="F24" s="1587" t="s">
        <v>726</v>
      </c>
      <c r="G24" s="1574" t="s">
        <v>576</v>
      </c>
      <c r="H24" s="480"/>
      <c r="I24" s="480"/>
      <c r="J24" s="204"/>
      <c r="K24" s="466"/>
    </row>
    <row r="25" spans="1:31" ht="22.5" customHeight="1">
      <c r="D25" s="1558"/>
      <c r="E25" s="1584" t="s">
        <v>677</v>
      </c>
      <c r="F25" s="1587" t="s">
        <v>727</v>
      </c>
      <c r="G25" s="1574" t="s">
        <v>576</v>
      </c>
      <c r="H25" s="480"/>
      <c r="I25" s="480"/>
      <c r="J25" s="204"/>
      <c r="K25" s="466"/>
    </row>
    <row r="26" spans="1:31" ht="67.5" customHeight="1">
      <c r="D26" s="1558"/>
      <c r="E26" s="1584" t="s">
        <v>679</v>
      </c>
      <c r="F26" s="1587" t="s">
        <v>728</v>
      </c>
      <c r="G26" s="1574" t="s">
        <v>576</v>
      </c>
      <c r="H26" s="480"/>
      <c r="I26" s="480"/>
      <c r="J26" s="204"/>
      <c r="K26" s="466"/>
    </row>
    <row r="27" spans="1:31" s="1287" customFormat="1" ht="22.5" customHeight="1">
      <c r="A27" s="898"/>
      <c r="C27" s="1556"/>
      <c r="D27" s="1558"/>
      <c r="E27" s="1549" t="s">
        <v>683</v>
      </c>
      <c r="F27" s="1548" t="s">
        <v>729</v>
      </c>
      <c r="G27" s="1575" t="s">
        <v>576</v>
      </c>
      <c r="H27" s="502">
        <f>SUM(H28:H29)</f>
        <v>0</v>
      </c>
      <c r="I27" s="502">
        <f>SUM(I28:I29)</f>
        <v>0</v>
      </c>
      <c r="J27" s="204" t="s">
        <v>681</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601</v>
      </c>
      <c r="G29" s="495"/>
      <c r="H29" s="496"/>
      <c r="I29" s="496"/>
      <c r="J29" s="215" t="s">
        <v>682</v>
      </c>
      <c r="K29" s="466"/>
      <c r="L29" s="1556"/>
      <c r="M29" s="1556"/>
      <c r="R29" s="1556"/>
      <c r="U29" s="467"/>
      <c r="AA29" s="1552"/>
      <c r="AB29" s="1552"/>
      <c r="AC29" s="1552"/>
      <c r="AD29" s="1552"/>
      <c r="AE29" s="1552"/>
    </row>
    <row r="30" spans="1:31" s="1287" customFormat="1" ht="22.5" customHeight="1">
      <c r="A30" s="898"/>
      <c r="C30" s="1556"/>
      <c r="D30" s="1558"/>
      <c r="E30" s="1584" t="s">
        <v>88</v>
      </c>
      <c r="F30" s="1581" t="s">
        <v>730</v>
      </c>
      <c r="G30" s="1574" t="s">
        <v>576</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731</v>
      </c>
      <c r="G31" s="1574" t="s">
        <v>576</v>
      </c>
      <c r="H31" s="480"/>
      <c r="I31" s="480"/>
      <c r="J31" s="204" t="s">
        <v>732</v>
      </c>
      <c r="K31" s="466"/>
      <c r="L31" s="1556"/>
      <c r="M31" s="1556"/>
      <c r="R31" s="1556"/>
      <c r="U31" s="467"/>
      <c r="AA31" s="1552"/>
      <c r="AB31" s="1552"/>
      <c r="AC31" s="1552"/>
      <c r="AD31" s="1552"/>
      <c r="AE31" s="1552"/>
    </row>
    <row r="32" spans="1:31" s="1287" customFormat="1" ht="22.5" customHeight="1">
      <c r="A32" s="898"/>
      <c r="C32" s="1556"/>
      <c r="D32" s="1558"/>
      <c r="E32" s="1584" t="s">
        <v>691</v>
      </c>
      <c r="F32" s="608" t="s">
        <v>695</v>
      </c>
      <c r="G32" s="1574" t="s">
        <v>576</v>
      </c>
      <c r="H32" s="480"/>
      <c r="I32" s="480"/>
      <c r="J32" s="204" t="s">
        <v>733</v>
      </c>
      <c r="K32" s="466"/>
      <c r="L32" s="1556"/>
      <c r="M32" s="1556"/>
      <c r="R32" s="1556"/>
      <c r="U32" s="467"/>
      <c r="AA32" s="1552"/>
      <c r="AB32" s="1552"/>
      <c r="AC32" s="1552"/>
      <c r="AD32" s="1552"/>
      <c r="AE32" s="1552"/>
    </row>
    <row r="33" spans="1:31" s="1287" customFormat="1" ht="22.5" customHeight="1">
      <c r="A33" s="898"/>
      <c r="C33" s="1556"/>
      <c r="D33" s="1558"/>
      <c r="E33" s="1584" t="s">
        <v>734</v>
      </c>
      <c r="F33" s="608" t="s">
        <v>735</v>
      </c>
      <c r="G33" s="1574" t="s">
        <v>576</v>
      </c>
      <c r="H33" s="480"/>
      <c r="I33" s="480"/>
      <c r="J33" s="204" t="s">
        <v>736</v>
      </c>
      <c r="K33" s="466"/>
      <c r="L33" s="1556"/>
      <c r="M33" s="1556"/>
      <c r="R33" s="1556"/>
      <c r="U33" s="467"/>
      <c r="AA33" s="1552"/>
      <c r="AB33" s="1552"/>
      <c r="AC33" s="1552"/>
      <c r="AD33" s="1552"/>
      <c r="AE33" s="1552"/>
    </row>
    <row r="34" spans="1:31" s="1287" customFormat="1" ht="22.5" customHeight="1">
      <c r="A34" s="898"/>
      <c r="C34" s="1556"/>
      <c r="D34" s="1558"/>
      <c r="E34" s="1584" t="s">
        <v>737</v>
      </c>
      <c r="F34" s="608" t="s">
        <v>701</v>
      </c>
      <c r="G34" s="1574" t="s">
        <v>576</v>
      </c>
      <c r="H34" s="480"/>
      <c r="I34" s="480"/>
      <c r="J34" s="204" t="s">
        <v>738</v>
      </c>
      <c r="K34" s="466"/>
      <c r="L34" s="1556"/>
      <c r="M34" s="1556"/>
      <c r="R34" s="1556"/>
      <c r="U34" s="467"/>
      <c r="AA34" s="1552"/>
      <c r="AB34" s="1552"/>
      <c r="AC34" s="1552"/>
      <c r="AD34" s="1552"/>
      <c r="AE34" s="1552"/>
    </row>
    <row r="35" spans="1:31" s="1287" customFormat="1" ht="33.75" customHeight="1">
      <c r="A35" s="898"/>
      <c r="C35" s="1556" t="s">
        <v>612</v>
      </c>
      <c r="D35" s="1558"/>
      <c r="E35" s="1584" t="s">
        <v>117</v>
      </c>
      <c r="F35" s="1581" t="s">
        <v>703</v>
      </c>
      <c r="G35" s="1577" t="s">
        <v>335</v>
      </c>
      <c r="H35" s="330"/>
      <c r="I35" s="330"/>
      <c r="J35" s="204" t="s">
        <v>739</v>
      </c>
      <c r="K35" s="466"/>
      <c r="L35" s="1556"/>
      <c r="M35" s="1556"/>
      <c r="R35" s="1556"/>
      <c r="U35" s="467"/>
      <c r="AA35" s="1552"/>
      <c r="AB35" s="1552"/>
      <c r="AC35" s="1552"/>
      <c r="AD35" s="1552"/>
      <c r="AE35" s="1552"/>
    </row>
    <row r="36" spans="1:31" s="1287" customFormat="1" ht="22.5" customHeight="1">
      <c r="A36" s="898"/>
      <c r="C36" s="1556"/>
      <c r="D36" s="1558"/>
      <c r="E36" s="1584" t="s">
        <v>90</v>
      </c>
      <c r="F36" s="1581" t="s">
        <v>740</v>
      </c>
      <c r="G36" s="1574" t="s">
        <v>707</v>
      </c>
      <c r="H36" s="468"/>
      <c r="I36" s="468"/>
      <c r="J36" s="204" t="s">
        <v>708</v>
      </c>
      <c r="K36" s="466"/>
      <c r="L36" s="1556"/>
      <c r="M36" s="1556"/>
      <c r="R36" s="1556"/>
      <c r="U36" s="467"/>
      <c r="AA36" s="1552"/>
      <c r="AB36" s="1552"/>
      <c r="AC36" s="1552"/>
      <c r="AD36" s="1552"/>
      <c r="AE36" s="1552"/>
    </row>
    <row r="37" spans="1:31" s="1287" customFormat="1" ht="22.5" customHeight="1">
      <c r="A37" s="898"/>
      <c r="C37" s="1556"/>
      <c r="D37" s="1558"/>
      <c r="E37" s="1584" t="s">
        <v>91</v>
      </c>
      <c r="F37" s="1581" t="s">
        <v>741</v>
      </c>
      <c r="G37" s="1574" t="s">
        <v>710</v>
      </c>
      <c r="H37" s="468"/>
      <c r="I37" s="468"/>
      <c r="J37" s="204" t="s">
        <v>711</v>
      </c>
      <c r="K37" s="466"/>
      <c r="L37" s="1556"/>
      <c r="M37" s="1556"/>
      <c r="R37" s="1556"/>
      <c r="U37" s="467"/>
      <c r="AA37" s="1552"/>
      <c r="AB37" s="1552"/>
      <c r="AC37" s="1552"/>
      <c r="AD37" s="1552"/>
      <c r="AE37" s="1552"/>
    </row>
    <row r="38" spans="1:31" ht="11.25" customHeight="1">
      <c r="D38" s="1558"/>
    </row>
    <row r="39" spans="1:31" ht="26.25" customHeight="1">
      <c r="D39" s="1558"/>
      <c r="E39" s="1169" t="s">
        <v>742</v>
      </c>
      <c r="F39" s="3928" t="s">
        <v>743</v>
      </c>
      <c r="G39" s="3928"/>
      <c r="H39" s="3928"/>
      <c r="I39" s="3928"/>
      <c r="J39" s="3928"/>
    </row>
    <row r="40" spans="1:31" s="1561" customFormat="1" ht="37.5" customHeight="1">
      <c r="A40" s="898"/>
      <c r="B40" s="1556"/>
      <c r="C40" s="1556"/>
      <c r="D40" s="272"/>
      <c r="F40" s="3928" t="s">
        <v>744</v>
      </c>
      <c r="G40" s="3928"/>
      <c r="H40" s="3928"/>
      <c r="I40" s="3928"/>
      <c r="J40" s="3928"/>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37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772"/>
      <c r="F3" s="3773"/>
    </row>
    <row r="4" spans="1:12" s="1555" customFormat="1" ht="20.25" customHeight="1">
      <c r="A4" s="862"/>
      <c r="B4" s="435"/>
      <c r="D4" s="3873" t="str">
        <f>IF(org=0,"Не определено",org)</f>
        <v>ГУП СК "Ставрополькрайводоканал"</v>
      </c>
      <c r="E4" s="3874"/>
      <c r="F4" s="3875"/>
    </row>
    <row r="5" spans="1:12" ht="11.25" customHeight="1">
      <c r="C5" s="433"/>
      <c r="D5" s="509"/>
      <c r="E5" s="509"/>
      <c r="F5" s="509"/>
      <c r="G5" s="509"/>
      <c r="H5" s="667"/>
      <c r="I5" s="509"/>
      <c r="J5" s="667"/>
      <c r="K5" s="509"/>
    </row>
    <row r="6" spans="1:12" ht="0.75" customHeight="1">
      <c r="C6" s="433"/>
      <c r="D6" s="433"/>
      <c r="E6" s="446"/>
      <c r="F6" s="533"/>
      <c r="G6" s="933"/>
      <c r="H6" s="933"/>
      <c r="I6" s="933" t="s">
        <v>135</v>
      </c>
      <c r="J6" s="933"/>
    </row>
    <row r="7" spans="1:12" ht="11.25" customHeight="1">
      <c r="D7" s="628"/>
      <c r="E7" s="3983" t="s">
        <v>125</v>
      </c>
      <c r="F7" s="3984"/>
      <c r="G7" s="4002" t="str">
        <f>IF(G6="","",INDEX(DIFFERENTIATION_UNMERGE_VD,MATCH(G6,DIFFERENTIATION_ID_DIFF,0)))</f>
        <v/>
      </c>
      <c r="H7" s="4003"/>
      <c r="I7" s="4002">
        <f>IF(I6="","",INDEX(DIFFERENTIATION_UNMERGE_VD,MATCH(I6,DIFFERENTIATION_ID_DIFF,0)))</f>
        <v>0</v>
      </c>
      <c r="J7" s="4003"/>
      <c r="K7" s="3838"/>
      <c r="L7" s="433"/>
    </row>
    <row r="8" spans="1:12" ht="11.25" customHeight="1">
      <c r="A8" s="621"/>
      <c r="D8" s="628"/>
      <c r="E8" s="3983" t="s">
        <v>588</v>
      </c>
      <c r="F8" s="3984"/>
      <c r="G8" s="4002" t="str">
        <f>IF(G6="","",INDEX(DIFFERENTIATION_UNMERGE_AREA,MATCH(G6,DIFFERENTIATION_ID_DIFF,0)))</f>
        <v/>
      </c>
      <c r="H8" s="4003"/>
      <c r="I8" s="4002" t="str">
        <f>IF(I6="","",INDEX(DIFFERENTIATION_UNMERGE_AREA,MATCH(I6,DIFFERENTIATION_ID_DIFF,0)))</f>
        <v/>
      </c>
      <c r="J8" s="4003"/>
      <c r="K8" s="3857"/>
      <c r="L8" s="433"/>
    </row>
    <row r="9" spans="1:12" ht="11.25" customHeight="1">
      <c r="A9" s="621"/>
      <c r="D9" s="628"/>
      <c r="E9" s="3983" t="s">
        <v>589</v>
      </c>
      <c r="F9" s="3984"/>
      <c r="G9" s="4002" t="str">
        <f>IF(G6="","",INDEX(DIFFERENTIATION_UNMERGE_SYSTEM,MATCH(G6,DIFFERENTIATION_ID_DIFF,0)))</f>
        <v/>
      </c>
      <c r="H9" s="4003"/>
      <c r="I9" s="4002" t="str">
        <f>IF(I6="","",INDEX(DIFFERENTIATION_UNMERGE_SYSTEM,MATCH(I6,DIFFERENTIATION_ID_DIFF,0)))</f>
        <v>без дифференциации</v>
      </c>
      <c r="J9" s="4003"/>
      <c r="K9" s="3857"/>
      <c r="L9" s="433"/>
    </row>
    <row r="10" spans="1:12" s="1555" customFormat="1" ht="11.25" customHeight="1">
      <c r="A10" s="932"/>
      <c r="B10" s="435"/>
      <c r="D10" s="3749" t="s">
        <v>329</v>
      </c>
      <c r="E10" s="3754"/>
      <c r="F10" s="3754"/>
      <c r="G10" s="3754"/>
      <c r="H10" s="3754"/>
      <c r="I10" s="3754"/>
      <c r="J10" s="3748"/>
      <c r="K10" s="3857"/>
      <c r="L10" s="433"/>
    </row>
    <row r="11" spans="1:12" s="1555" customFormat="1" ht="22.5" customHeight="1">
      <c r="A11" s="3928"/>
      <c r="B11" s="3928"/>
      <c r="C11" s="575"/>
      <c r="D11" s="620" t="s">
        <v>86</v>
      </c>
      <c r="E11" s="622" t="s">
        <v>745</v>
      </c>
      <c r="F11" s="622" t="s">
        <v>590</v>
      </c>
      <c r="G11" s="389" t="s">
        <v>332</v>
      </c>
      <c r="H11" s="389" t="s">
        <v>421</v>
      </c>
      <c r="I11" s="721" t="s">
        <v>332</v>
      </c>
      <c r="J11" s="722" t="s">
        <v>421</v>
      </c>
      <c r="K11" s="3887"/>
      <c r="L11" s="576"/>
    </row>
    <row r="12" spans="1:12" s="1562" customFormat="1" ht="10.5" customHeight="1">
      <c r="A12" s="863"/>
      <c r="D12" s="936" t="s">
        <v>129</v>
      </c>
      <c r="E12" s="936" t="s">
        <v>102</v>
      </c>
      <c r="F12" s="936" t="s">
        <v>88</v>
      </c>
      <c r="G12" s="937" t="str">
        <f>G1&amp;".1"</f>
        <v>4.1</v>
      </c>
      <c r="H12" s="937" t="str">
        <f>G1&amp;".2"</f>
        <v>4.2</v>
      </c>
      <c r="I12" s="937" t="str">
        <f>I1&amp;".1"</f>
        <v>4.1</v>
      </c>
      <c r="J12" s="937" t="str">
        <f>I1&amp;".2"</f>
        <v>4.2</v>
      </c>
      <c r="K12" s="937"/>
    </row>
    <row r="13" spans="1:12" ht="22.5" hidden="1" customHeight="1">
      <c r="A13" s="4001" t="s">
        <v>746</v>
      </c>
      <c r="D13" s="864" t="s">
        <v>129</v>
      </c>
      <c r="E13" s="195" t="s">
        <v>747</v>
      </c>
      <c r="F13" s="578" t="s">
        <v>748</v>
      </c>
      <c r="G13" s="480"/>
      <c r="H13" s="579"/>
      <c r="I13" s="480"/>
      <c r="J13" s="579"/>
      <c r="K13" s="204" t="s">
        <v>749</v>
      </c>
      <c r="L13" s="637"/>
    </row>
    <row r="14" spans="1:12" ht="22.5" hidden="1" customHeight="1">
      <c r="A14" s="4001"/>
      <c r="D14" s="462" t="s">
        <v>102</v>
      </c>
      <c r="E14" s="195" t="s">
        <v>750</v>
      </c>
      <c r="F14" s="578" t="s">
        <v>751</v>
      </c>
      <c r="G14" s="480"/>
      <c r="H14" s="580"/>
      <c r="I14" s="480"/>
      <c r="J14" s="580"/>
      <c r="K14" s="204" t="s">
        <v>752</v>
      </c>
      <c r="L14" s="637"/>
    </row>
    <row r="15" spans="1:12" s="1555" customFormat="1" ht="78.75" hidden="1" customHeight="1">
      <c r="A15" s="4001"/>
      <c r="B15" s="435"/>
      <c r="D15" s="864" t="s">
        <v>88</v>
      </c>
      <c r="E15" s="624" t="s">
        <v>753</v>
      </c>
      <c r="F15" s="861" t="s">
        <v>335</v>
      </c>
      <c r="G15" s="861" t="s">
        <v>335</v>
      </c>
      <c r="H15" s="33"/>
      <c r="I15" s="861" t="s">
        <v>335</v>
      </c>
      <c r="J15" s="33"/>
      <c r="K15" s="204" t="s">
        <v>754</v>
      </c>
      <c r="L15" s="637"/>
    </row>
    <row r="16" spans="1:12" s="1555" customFormat="1" ht="22.5" hidden="1" customHeight="1">
      <c r="A16" s="4001"/>
      <c r="B16" s="435"/>
      <c r="D16" s="864" t="s">
        <v>355</v>
      </c>
      <c r="E16" s="865" t="s">
        <v>755</v>
      </c>
      <c r="F16" s="861" t="s">
        <v>756</v>
      </c>
      <c r="G16" s="731"/>
      <c r="H16" s="33"/>
      <c r="I16" s="731"/>
      <c r="J16" s="33"/>
      <c r="K16" s="204"/>
      <c r="L16" s="637"/>
    </row>
    <row r="17" spans="1:23" s="1555" customFormat="1" ht="22.5" hidden="1" customHeight="1">
      <c r="A17" s="4001"/>
      <c r="B17" s="435"/>
      <c r="D17" s="864" t="s">
        <v>363</v>
      </c>
      <c r="E17" s="865" t="s">
        <v>757</v>
      </c>
      <c r="F17" s="861" t="s">
        <v>758</v>
      </c>
      <c r="G17" s="731"/>
      <c r="H17" s="33"/>
      <c r="I17" s="731"/>
      <c r="J17" s="33"/>
      <c r="K17" s="204"/>
      <c r="L17" s="637"/>
    </row>
    <row r="18" spans="1:23" s="1555" customFormat="1" ht="33.75" hidden="1" customHeight="1">
      <c r="A18" s="4001"/>
      <c r="B18" s="435"/>
      <c r="D18" s="864" t="s">
        <v>365</v>
      </c>
      <c r="E18" s="865" t="s">
        <v>759</v>
      </c>
      <c r="F18" s="861" t="s">
        <v>595</v>
      </c>
      <c r="G18" s="598"/>
      <c r="H18" s="33"/>
      <c r="I18" s="598"/>
      <c r="J18" s="33"/>
      <c r="K18" s="204"/>
      <c r="L18" s="637"/>
    </row>
    <row r="19" spans="1:23" ht="101.25" hidden="1" customHeight="1">
      <c r="A19" s="4001"/>
      <c r="D19" s="864" t="s">
        <v>89</v>
      </c>
      <c r="E19" s="195" t="s">
        <v>760</v>
      </c>
      <c r="F19" s="578" t="s">
        <v>570</v>
      </c>
      <c r="G19" s="581"/>
      <c r="H19" s="580"/>
      <c r="I19" s="866"/>
      <c r="J19" s="580"/>
      <c r="K19" s="204" t="s">
        <v>761</v>
      </c>
      <c r="L19" s="637"/>
    </row>
    <row r="20" spans="1:23" s="1555" customFormat="1" ht="18.75" hidden="1" customHeight="1">
      <c r="A20" s="4001"/>
      <c r="C20" s="867"/>
      <c r="D20" s="864" t="s">
        <v>691</v>
      </c>
      <c r="E20" s="865" t="s">
        <v>762</v>
      </c>
      <c r="F20" s="861" t="s">
        <v>335</v>
      </c>
      <c r="G20" s="861" t="s">
        <v>335</v>
      </c>
      <c r="H20" s="860" t="s">
        <v>335</v>
      </c>
      <c r="I20" s="861" t="s">
        <v>335</v>
      </c>
      <c r="J20" s="860" t="s">
        <v>335</v>
      </c>
      <c r="K20" s="859"/>
      <c r="L20" s="637"/>
      <c r="W20" s="593"/>
    </row>
    <row r="21" spans="1:23" s="1555" customFormat="1" ht="33.75" hidden="1" customHeight="1">
      <c r="A21" s="4001"/>
      <c r="C21" s="867"/>
      <c r="D21" s="864" t="s">
        <v>694</v>
      </c>
      <c r="E21" s="499" t="s">
        <v>763</v>
      </c>
      <c r="F21" s="861" t="s">
        <v>764</v>
      </c>
      <c r="G21" s="854"/>
      <c r="H21" s="33"/>
      <c r="I21" s="854"/>
      <c r="J21" s="33"/>
      <c r="K21" s="859"/>
      <c r="L21" s="637"/>
      <c r="W21" s="593"/>
    </row>
    <row r="22" spans="1:23" s="1555" customFormat="1" ht="33.75" hidden="1" customHeight="1">
      <c r="A22" s="4001"/>
      <c r="C22" s="867"/>
      <c r="D22" s="864" t="s">
        <v>697</v>
      </c>
      <c r="E22" s="499" t="s">
        <v>765</v>
      </c>
      <c r="F22" s="861" t="s">
        <v>766</v>
      </c>
      <c r="G22" s="854"/>
      <c r="H22" s="33"/>
      <c r="I22" s="854"/>
      <c r="J22" s="33"/>
      <c r="K22" s="859"/>
      <c r="L22" s="637"/>
      <c r="W22" s="593"/>
    </row>
    <row r="23" spans="1:23" s="1555" customFormat="1" ht="22.5" hidden="1" customHeight="1">
      <c r="A23" s="4001"/>
      <c r="C23" s="867"/>
      <c r="D23" s="864" t="s">
        <v>734</v>
      </c>
      <c r="E23" s="865" t="s">
        <v>767</v>
      </c>
      <c r="F23" s="861" t="s">
        <v>335</v>
      </c>
      <c r="G23" s="861" t="s">
        <v>335</v>
      </c>
      <c r="H23" s="860" t="s">
        <v>335</v>
      </c>
      <c r="I23" s="861" t="s">
        <v>335</v>
      </c>
      <c r="J23" s="860" t="s">
        <v>335</v>
      </c>
      <c r="K23" s="859"/>
      <c r="L23" s="637"/>
      <c r="W23" s="593"/>
    </row>
    <row r="24" spans="1:23" s="1555" customFormat="1" ht="22.5" hidden="1" customHeight="1">
      <c r="A24" s="4001"/>
      <c r="C24" s="867"/>
      <c r="D24" s="864" t="s">
        <v>768</v>
      </c>
      <c r="E24" s="499" t="s">
        <v>769</v>
      </c>
      <c r="F24" s="861" t="s">
        <v>770</v>
      </c>
      <c r="G24" s="854"/>
      <c r="H24" s="604"/>
      <c r="I24" s="854"/>
      <c r="J24" s="604"/>
      <c r="K24" s="859"/>
      <c r="L24" s="637"/>
      <c r="W24" s="593"/>
    </row>
    <row r="25" spans="1:23" s="1555" customFormat="1" ht="22.5" hidden="1" customHeight="1">
      <c r="A25" s="4001"/>
      <c r="C25" s="867"/>
      <c r="D25" s="864" t="s">
        <v>771</v>
      </c>
      <c r="E25" s="499" t="s">
        <v>772</v>
      </c>
      <c r="F25" s="861" t="s">
        <v>335</v>
      </c>
      <c r="G25" s="861" t="s">
        <v>335</v>
      </c>
      <c r="H25" s="860" t="s">
        <v>335</v>
      </c>
      <c r="I25" s="861" t="s">
        <v>335</v>
      </c>
      <c r="J25" s="860" t="s">
        <v>335</v>
      </c>
      <c r="K25" s="859"/>
      <c r="L25" s="637"/>
      <c r="W25" s="593"/>
    </row>
    <row r="26" spans="1:23" s="1555" customFormat="1" ht="18.75" hidden="1" customHeight="1">
      <c r="A26" s="4001"/>
      <c r="C26" s="867"/>
      <c r="D26" s="864" t="s">
        <v>773</v>
      </c>
      <c r="E26" s="476" t="s">
        <v>774</v>
      </c>
      <c r="F26" s="861" t="s">
        <v>775</v>
      </c>
      <c r="G26" s="598"/>
      <c r="H26" s="604"/>
      <c r="I26" s="598"/>
      <c r="J26" s="604"/>
      <c r="K26" s="859"/>
      <c r="L26" s="637"/>
      <c r="W26" s="593"/>
    </row>
    <row r="27" spans="1:23" s="1555" customFormat="1" ht="18.75" hidden="1" customHeight="1">
      <c r="A27" s="4001"/>
      <c r="C27" s="867"/>
      <c r="D27" s="864" t="s">
        <v>776</v>
      </c>
      <c r="E27" s="476" t="s">
        <v>777</v>
      </c>
      <c r="F27" s="861" t="s">
        <v>778</v>
      </c>
      <c r="G27" s="598"/>
      <c r="H27" s="604"/>
      <c r="I27" s="598"/>
      <c r="J27" s="604"/>
      <c r="K27" s="859"/>
      <c r="L27" s="637"/>
      <c r="W27" s="593"/>
    </row>
    <row r="28" spans="1:23" s="1555" customFormat="1" ht="18.75" hidden="1" customHeight="1">
      <c r="A28" s="4001"/>
      <c r="C28" s="867"/>
      <c r="D28" s="864" t="s">
        <v>779</v>
      </c>
      <c r="E28" s="499" t="s">
        <v>780</v>
      </c>
      <c r="F28" s="861" t="s">
        <v>335</v>
      </c>
      <c r="G28" s="861" t="s">
        <v>335</v>
      </c>
      <c r="H28" s="860" t="s">
        <v>335</v>
      </c>
      <c r="I28" s="861" t="s">
        <v>335</v>
      </c>
      <c r="J28" s="860" t="s">
        <v>335</v>
      </c>
      <c r="K28" s="859"/>
      <c r="L28" s="637"/>
      <c r="W28" s="593"/>
    </row>
    <row r="29" spans="1:23" s="1555" customFormat="1" ht="18.75" hidden="1" customHeight="1">
      <c r="A29" s="4001"/>
      <c r="C29" s="867"/>
      <c r="D29" s="864" t="s">
        <v>781</v>
      </c>
      <c r="E29" s="476" t="s">
        <v>774</v>
      </c>
      <c r="F29" s="861" t="s">
        <v>782</v>
      </c>
      <c r="G29" s="598"/>
      <c r="H29" s="604"/>
      <c r="I29" s="598"/>
      <c r="J29" s="604"/>
      <c r="K29" s="859"/>
      <c r="L29" s="637"/>
      <c r="W29" s="593"/>
    </row>
    <row r="30" spans="1:23" s="1555" customFormat="1" ht="18.75" hidden="1" customHeight="1">
      <c r="A30" s="4001"/>
      <c r="C30" s="867"/>
      <c r="D30" s="864" t="s">
        <v>783</v>
      </c>
      <c r="E30" s="476" t="s">
        <v>784</v>
      </c>
      <c r="F30" s="861" t="s">
        <v>785</v>
      </c>
      <c r="G30" s="598"/>
      <c r="H30" s="604"/>
      <c r="I30" s="598"/>
      <c r="J30" s="604"/>
      <c r="K30" s="859"/>
      <c r="L30" s="637"/>
      <c r="W30" s="593"/>
    </row>
    <row r="31" spans="1:23" ht="126.75" hidden="1" customHeight="1">
      <c r="A31" s="4001"/>
      <c r="D31" s="864" t="s">
        <v>117</v>
      </c>
      <c r="E31" s="195" t="s">
        <v>786</v>
      </c>
      <c r="F31" s="578" t="s">
        <v>582</v>
      </c>
      <c r="G31" s="480"/>
      <c r="H31" s="580"/>
      <c r="I31" s="480"/>
      <c r="J31" s="580"/>
      <c r="K31" s="204" t="s">
        <v>787</v>
      </c>
      <c r="L31" s="637"/>
    </row>
    <row r="32" spans="1:23" ht="56.25" hidden="1" customHeight="1">
      <c r="A32" s="4001"/>
      <c r="D32" s="864" t="s">
        <v>90</v>
      </c>
      <c r="E32" s="195" t="s">
        <v>788</v>
      </c>
      <c r="F32" s="462" t="s">
        <v>758</v>
      </c>
      <c r="G32" s="480"/>
      <c r="H32" s="580"/>
      <c r="I32" s="480"/>
      <c r="J32" s="580"/>
      <c r="K32" s="204" t="s">
        <v>789</v>
      </c>
      <c r="L32" s="637"/>
    </row>
    <row r="33" spans="1:11" ht="11.25" hidden="1" customHeight="1">
      <c r="A33" s="4001"/>
      <c r="E33" s="582"/>
      <c r="F33" s="99"/>
      <c r="G33" s="99"/>
      <c r="H33" s="99"/>
      <c r="I33" s="99"/>
      <c r="J33" s="99"/>
      <c r="K33" s="99"/>
    </row>
    <row r="34" spans="1:11" ht="12.75" hidden="1" customHeight="1">
      <c r="A34" s="4001"/>
      <c r="D34" s="1">
        <v>1</v>
      </c>
      <c r="E34" s="257" t="s">
        <v>790</v>
      </c>
    </row>
    <row r="35" spans="1:11" ht="11.25" hidden="1" customHeight="1">
      <c r="A35" s="4001"/>
      <c r="D35" s="293"/>
      <c r="E35" s="257" t="s">
        <v>791</v>
      </c>
    </row>
    <row r="36" spans="1:11" s="1555" customFormat="1" ht="11.25" customHeight="1">
      <c r="A36" s="944"/>
      <c r="B36" s="442"/>
      <c r="D36" s="945"/>
      <c r="E36" s="946"/>
    </row>
    <row r="37" spans="1:11" s="1555" customFormat="1" ht="22.5" customHeight="1">
      <c r="A37" s="4001" t="s">
        <v>792</v>
      </c>
      <c r="B37" s="435"/>
      <c r="D37" s="864">
        <v>1</v>
      </c>
      <c r="E37" s="624" t="s">
        <v>793</v>
      </c>
      <c r="F37" s="578" t="s">
        <v>748</v>
      </c>
      <c r="G37" s="480"/>
      <c r="H37" s="443"/>
      <c r="I37" s="480"/>
      <c r="J37" s="443"/>
      <c r="K37" s="204" t="s">
        <v>794</v>
      </c>
    </row>
    <row r="38" spans="1:11" s="1555" customFormat="1" ht="22.5" customHeight="1">
      <c r="A38" s="4001"/>
      <c r="B38" s="435"/>
      <c r="D38" s="587" t="s">
        <v>102</v>
      </c>
      <c r="E38" s="943" t="s">
        <v>795</v>
      </c>
      <c r="F38" s="947" t="s">
        <v>570</v>
      </c>
      <c r="G38" s="947" t="s">
        <v>570</v>
      </c>
      <c r="H38" s="941"/>
      <c r="I38" s="947" t="s">
        <v>570</v>
      </c>
      <c r="J38" s="941"/>
      <c r="K38" s="942"/>
    </row>
    <row r="39" spans="1:11" s="1555" customFormat="1" ht="33.75" customHeight="1">
      <c r="A39" s="4001"/>
      <c r="B39" s="435"/>
      <c r="D39" s="583" t="s">
        <v>649</v>
      </c>
      <c r="E39" s="640" t="s">
        <v>796</v>
      </c>
      <c r="F39" s="578" t="s">
        <v>797</v>
      </c>
      <c r="G39" s="586"/>
      <c r="H39" s="934"/>
      <c r="I39" s="586"/>
      <c r="J39" s="934"/>
      <c r="K39" s="204" t="s">
        <v>798</v>
      </c>
    </row>
    <row r="40" spans="1:11" s="1555" customFormat="1" ht="33.75" customHeight="1">
      <c r="A40" s="4001"/>
      <c r="B40" s="435"/>
      <c r="D40" s="583" t="s">
        <v>652</v>
      </c>
      <c r="E40" s="640" t="s">
        <v>799</v>
      </c>
      <c r="F40" s="938" t="s">
        <v>800</v>
      </c>
      <c r="G40" s="657"/>
      <c r="H40" s="934"/>
      <c r="I40" s="657"/>
      <c r="J40" s="934"/>
      <c r="K40" s="204" t="s">
        <v>801</v>
      </c>
    </row>
    <row r="41" spans="1:11" s="1555" customFormat="1" ht="22.5" customHeight="1">
      <c r="A41" s="4001"/>
      <c r="B41" s="435"/>
      <c r="D41" s="583" t="s">
        <v>88</v>
      </c>
      <c r="E41" s="639" t="s">
        <v>802</v>
      </c>
      <c r="F41" s="578" t="s">
        <v>570</v>
      </c>
      <c r="G41" s="578" t="s">
        <v>570</v>
      </c>
      <c r="H41" s="935"/>
      <c r="I41" s="578" t="s">
        <v>570</v>
      </c>
      <c r="J41" s="935"/>
      <c r="K41" s="216"/>
    </row>
    <row r="42" spans="1:11" s="1555" customFormat="1" ht="45" customHeight="1">
      <c r="A42" s="4001"/>
      <c r="B42" s="435"/>
      <c r="D42" s="583" t="s">
        <v>355</v>
      </c>
      <c r="E42" s="640" t="s">
        <v>803</v>
      </c>
      <c r="F42" s="578" t="s">
        <v>582</v>
      </c>
      <c r="G42" s="480"/>
      <c r="H42" s="935"/>
      <c r="I42" s="480"/>
      <c r="J42" s="935"/>
      <c r="K42" s="216" t="s">
        <v>804</v>
      </c>
    </row>
    <row r="43" spans="1:11" s="1555" customFormat="1" ht="45" customHeight="1">
      <c r="A43" s="4001"/>
      <c r="B43" s="435"/>
      <c r="D43" s="583" t="s">
        <v>363</v>
      </c>
      <c r="E43" s="585" t="s">
        <v>805</v>
      </c>
      <c r="F43" s="939" t="s">
        <v>582</v>
      </c>
      <c r="G43" s="658"/>
      <c r="H43" s="934"/>
      <c r="I43" s="658"/>
      <c r="J43" s="934"/>
      <c r="K43" s="216" t="s">
        <v>806</v>
      </c>
    </row>
    <row r="44" spans="1:11" s="1555" customFormat="1" ht="11.25" customHeight="1">
      <c r="A44" s="4001"/>
      <c r="B44" s="435"/>
      <c r="D44" s="583" t="s">
        <v>89</v>
      </c>
      <c r="E44" s="584" t="s">
        <v>807</v>
      </c>
      <c r="F44" s="578" t="s">
        <v>797</v>
      </c>
      <c r="G44" s="586"/>
      <c r="H44" s="934"/>
      <c r="I44" s="586"/>
      <c r="J44" s="934"/>
      <c r="K44" s="204"/>
    </row>
    <row r="45" spans="1:11" s="1555" customFormat="1" ht="11.25" customHeight="1">
      <c r="A45" s="4001"/>
      <c r="B45" s="435"/>
      <c r="D45" s="583" t="s">
        <v>691</v>
      </c>
      <c r="E45" s="585" t="s">
        <v>808</v>
      </c>
      <c r="F45" s="578" t="s">
        <v>797</v>
      </c>
      <c r="G45" s="586"/>
      <c r="H45" s="934"/>
      <c r="I45" s="586"/>
      <c r="J45" s="934"/>
      <c r="K45" s="204"/>
    </row>
    <row r="46" spans="1:11" s="1555" customFormat="1" ht="11.25" customHeight="1">
      <c r="A46" s="4001"/>
      <c r="B46" s="435"/>
      <c r="D46" s="583" t="s">
        <v>734</v>
      </c>
      <c r="E46" s="585" t="s">
        <v>809</v>
      </c>
      <c r="F46" s="578" t="s">
        <v>797</v>
      </c>
      <c r="G46" s="586"/>
      <c r="H46" s="934"/>
      <c r="I46" s="586"/>
      <c r="J46" s="934"/>
      <c r="K46" s="204"/>
    </row>
    <row r="47" spans="1:11" s="1555" customFormat="1" ht="11.25" customHeight="1">
      <c r="A47" s="4001"/>
      <c r="B47" s="435"/>
      <c r="D47" s="583" t="s">
        <v>737</v>
      </c>
      <c r="E47" s="585" t="s">
        <v>810</v>
      </c>
      <c r="F47" s="578" t="s">
        <v>797</v>
      </c>
      <c r="G47" s="586"/>
      <c r="H47" s="934"/>
      <c r="I47" s="586"/>
      <c r="J47" s="934"/>
      <c r="K47" s="204"/>
    </row>
    <row r="48" spans="1:11" s="1555" customFormat="1" ht="11.25" customHeight="1">
      <c r="A48" s="4001"/>
      <c r="B48" s="435"/>
      <c r="D48" s="583" t="s">
        <v>811</v>
      </c>
      <c r="E48" s="589" t="s">
        <v>812</v>
      </c>
      <c r="F48" s="578" t="s">
        <v>797</v>
      </c>
      <c r="G48" s="586"/>
      <c r="H48" s="934"/>
      <c r="I48" s="586"/>
      <c r="J48" s="934"/>
      <c r="K48" s="204"/>
    </row>
    <row r="49" spans="1:11" s="1555" customFormat="1" ht="11.25" customHeight="1">
      <c r="A49" s="4001"/>
      <c r="B49" s="435"/>
      <c r="D49" s="583" t="s">
        <v>813</v>
      </c>
      <c r="E49" s="589" t="s">
        <v>814</v>
      </c>
      <c r="F49" s="578" t="s">
        <v>797</v>
      </c>
      <c r="G49" s="586"/>
      <c r="H49" s="934"/>
      <c r="I49" s="586"/>
      <c r="J49" s="934"/>
      <c r="K49" s="204"/>
    </row>
    <row r="50" spans="1:11" s="1555" customFormat="1" ht="11.25" customHeight="1">
      <c r="A50" s="4001"/>
      <c r="B50" s="435"/>
      <c r="D50" s="583" t="s">
        <v>815</v>
      </c>
      <c r="E50" s="585" t="s">
        <v>816</v>
      </c>
      <c r="F50" s="578" t="s">
        <v>797</v>
      </c>
      <c r="G50" s="586"/>
      <c r="H50" s="934"/>
      <c r="I50" s="586"/>
      <c r="J50" s="934"/>
      <c r="K50" s="204"/>
    </row>
    <row r="51" spans="1:11" s="1555" customFormat="1" ht="11.25" customHeight="1">
      <c r="A51" s="4001"/>
      <c r="B51" s="435"/>
      <c r="D51" s="583" t="s">
        <v>817</v>
      </c>
      <c r="E51" s="585" t="s">
        <v>818</v>
      </c>
      <c r="F51" s="578" t="s">
        <v>797</v>
      </c>
      <c r="G51" s="586"/>
      <c r="H51" s="934"/>
      <c r="I51" s="586"/>
      <c r="J51" s="934"/>
      <c r="K51" s="204"/>
    </row>
    <row r="52" spans="1:11" s="1555" customFormat="1" ht="45" customHeight="1">
      <c r="A52" s="4001"/>
      <c r="B52" s="435"/>
      <c r="D52" s="583" t="s">
        <v>117</v>
      </c>
      <c r="E52" s="584" t="s">
        <v>819</v>
      </c>
      <c r="F52" s="578" t="s">
        <v>797</v>
      </c>
      <c r="G52" s="586"/>
      <c r="H52" s="934"/>
      <c r="I52" s="586"/>
      <c r="J52" s="934"/>
      <c r="K52" s="204"/>
    </row>
    <row r="53" spans="1:11" s="1555" customFormat="1" ht="11.25" customHeight="1">
      <c r="A53" s="4001"/>
      <c r="B53" s="435"/>
      <c r="D53" s="583" t="s">
        <v>344</v>
      </c>
      <c r="E53" s="585" t="s">
        <v>808</v>
      </c>
      <c r="F53" s="578" t="s">
        <v>797</v>
      </c>
      <c r="G53" s="586"/>
      <c r="H53" s="934"/>
      <c r="I53" s="586"/>
      <c r="J53" s="934"/>
      <c r="K53" s="204"/>
    </row>
    <row r="54" spans="1:11" s="1555" customFormat="1" ht="11.25" customHeight="1">
      <c r="A54" s="4001"/>
      <c r="B54" s="435"/>
      <c r="D54" s="583" t="s">
        <v>346</v>
      </c>
      <c r="E54" s="585" t="s">
        <v>809</v>
      </c>
      <c r="F54" s="578" t="s">
        <v>797</v>
      </c>
      <c r="G54" s="586"/>
      <c r="H54" s="934"/>
      <c r="I54" s="586"/>
      <c r="J54" s="934"/>
      <c r="K54" s="204"/>
    </row>
    <row r="55" spans="1:11" s="1555" customFormat="1" ht="11.25" customHeight="1">
      <c r="A55" s="4001"/>
      <c r="B55" s="435"/>
      <c r="D55" s="583" t="s">
        <v>349</v>
      </c>
      <c r="E55" s="585" t="s">
        <v>810</v>
      </c>
      <c r="F55" s="578" t="s">
        <v>797</v>
      </c>
      <c r="G55" s="586"/>
      <c r="H55" s="934"/>
      <c r="I55" s="586"/>
      <c r="J55" s="934"/>
      <c r="K55" s="204"/>
    </row>
    <row r="56" spans="1:11" s="1555" customFormat="1" ht="11.25" customHeight="1">
      <c r="A56" s="4001"/>
      <c r="B56" s="435"/>
      <c r="D56" s="583" t="s">
        <v>820</v>
      </c>
      <c r="E56" s="589" t="s">
        <v>812</v>
      </c>
      <c r="F56" s="578" t="s">
        <v>797</v>
      </c>
      <c r="G56" s="586"/>
      <c r="H56" s="934"/>
      <c r="I56" s="586"/>
      <c r="J56" s="934"/>
      <c r="K56" s="204"/>
    </row>
    <row r="57" spans="1:11" s="1555" customFormat="1" ht="11.25" customHeight="1">
      <c r="A57" s="4001"/>
      <c r="B57" s="435"/>
      <c r="D57" s="583" t="s">
        <v>821</v>
      </c>
      <c r="E57" s="589" t="s">
        <v>814</v>
      </c>
      <c r="F57" s="578" t="s">
        <v>797</v>
      </c>
      <c r="G57" s="586"/>
      <c r="H57" s="934"/>
      <c r="I57" s="586"/>
      <c r="J57" s="934"/>
      <c r="K57" s="204"/>
    </row>
    <row r="58" spans="1:11" s="1555" customFormat="1" ht="11.25" customHeight="1">
      <c r="A58" s="4001"/>
      <c r="B58" s="435"/>
      <c r="D58" s="583" t="s">
        <v>351</v>
      </c>
      <c r="E58" s="585" t="s">
        <v>816</v>
      </c>
      <c r="F58" s="578" t="s">
        <v>797</v>
      </c>
      <c r="G58" s="586"/>
      <c r="H58" s="934"/>
      <c r="I58" s="586"/>
      <c r="J58" s="934"/>
      <c r="K58" s="204"/>
    </row>
    <row r="59" spans="1:11" s="1555" customFormat="1" ht="11.25" customHeight="1">
      <c r="A59" s="4001"/>
      <c r="B59" s="435"/>
      <c r="D59" s="583" t="s">
        <v>822</v>
      </c>
      <c r="E59" s="585" t="s">
        <v>818</v>
      </c>
      <c r="F59" s="578" t="s">
        <v>797</v>
      </c>
      <c r="G59" s="586"/>
      <c r="H59" s="934"/>
      <c r="I59" s="586"/>
      <c r="J59" s="934"/>
      <c r="K59" s="204"/>
    </row>
    <row r="60" spans="1:11" s="1555" customFormat="1" ht="33.75" customHeight="1">
      <c r="A60" s="4001"/>
      <c r="B60" s="435"/>
      <c r="D60" s="583" t="s">
        <v>90</v>
      </c>
      <c r="E60" s="584" t="s">
        <v>823</v>
      </c>
      <c r="F60" s="638" t="s">
        <v>582</v>
      </c>
      <c r="G60" s="658"/>
      <c r="H60" s="934"/>
      <c r="I60" s="658"/>
      <c r="J60" s="934"/>
      <c r="K60" s="216" t="s">
        <v>824</v>
      </c>
    </row>
    <row r="61" spans="1:11" s="1555" customFormat="1" ht="33.75" customHeight="1">
      <c r="A61" s="4001"/>
      <c r="B61" s="435"/>
      <c r="D61" s="583" t="s">
        <v>91</v>
      </c>
      <c r="E61" s="584" t="s">
        <v>825</v>
      </c>
      <c r="F61" s="643" t="s">
        <v>758</v>
      </c>
      <c r="G61" s="586"/>
      <c r="H61" s="934"/>
      <c r="I61" s="586"/>
      <c r="J61" s="934"/>
      <c r="K61" s="204"/>
    </row>
    <row r="62" spans="1:11" s="1555" customFormat="1" ht="22.5" customHeight="1">
      <c r="A62" s="4001"/>
      <c r="B62" s="435" t="s">
        <v>612</v>
      </c>
      <c r="D62" s="583" t="s">
        <v>130</v>
      </c>
      <c r="E62" s="584" t="s">
        <v>826</v>
      </c>
      <c r="F62" s="643" t="s">
        <v>335</v>
      </c>
      <c r="G62" s="311"/>
      <c r="H62" s="934"/>
      <c r="I62" s="311"/>
      <c r="J62" s="934"/>
      <c r="K62" s="204" t="s">
        <v>827</v>
      </c>
    </row>
    <row r="63" spans="1:11" s="1555" customFormat="1" ht="45" customHeight="1">
      <c r="A63" s="4001"/>
      <c r="B63" s="435" t="s">
        <v>612</v>
      </c>
      <c r="D63" s="583" t="s">
        <v>828</v>
      </c>
      <c r="E63" s="585" t="s">
        <v>829</v>
      </c>
      <c r="F63" s="638" t="s">
        <v>335</v>
      </c>
      <c r="G63" s="311"/>
      <c r="H63" s="934"/>
      <c r="I63" s="311"/>
      <c r="J63" s="934"/>
      <c r="K63" s="204" t="s">
        <v>827</v>
      </c>
    </row>
    <row r="64" spans="1:11" s="1555" customFormat="1" ht="11.25" customHeight="1">
      <c r="A64" s="944"/>
      <c r="B64" s="442"/>
      <c r="D64" s="945"/>
      <c r="E64" s="946"/>
    </row>
    <row r="65" spans="1:11" s="1555" customFormat="1" ht="22.5" hidden="1" customHeight="1">
      <c r="A65" s="4001" t="s">
        <v>830</v>
      </c>
      <c r="B65" s="435"/>
      <c r="D65" s="583">
        <v>1</v>
      </c>
      <c r="E65" s="660" t="s">
        <v>831</v>
      </c>
      <c r="F65" s="656" t="s">
        <v>748</v>
      </c>
      <c r="G65" s="657"/>
      <c r="H65" s="940"/>
      <c r="I65" s="657"/>
      <c r="J65" s="940"/>
      <c r="K65" s="215" t="s">
        <v>832</v>
      </c>
    </row>
    <row r="66" spans="1:11" s="1555" customFormat="1" ht="56.25" hidden="1" customHeight="1">
      <c r="A66" s="4001"/>
      <c r="B66" s="435"/>
      <c r="D66" s="659" t="s">
        <v>102</v>
      </c>
      <c r="E66" s="624" t="s">
        <v>833</v>
      </c>
      <c r="F66" s="578" t="s">
        <v>570</v>
      </c>
      <c r="G66" s="578" t="s">
        <v>570</v>
      </c>
      <c r="H66" s="443"/>
      <c r="I66" s="578" t="s">
        <v>570</v>
      </c>
      <c r="J66" s="443"/>
      <c r="K66" s="204"/>
    </row>
    <row r="67" spans="1:11" s="1555" customFormat="1" ht="33.75" hidden="1" customHeight="1">
      <c r="A67" s="4001"/>
      <c r="B67" s="435"/>
      <c r="D67" s="659" t="s">
        <v>646</v>
      </c>
      <c r="E67" s="865" t="s">
        <v>834</v>
      </c>
      <c r="F67" s="578" t="s">
        <v>800</v>
      </c>
      <c r="G67" s="644"/>
      <c r="H67" s="443"/>
      <c r="I67" s="644"/>
      <c r="J67" s="443"/>
      <c r="K67" s="204"/>
    </row>
    <row r="68" spans="1:11" s="1555" customFormat="1" ht="22.5" hidden="1" customHeight="1">
      <c r="A68" s="4001"/>
      <c r="B68" s="435"/>
      <c r="D68" s="659" t="s">
        <v>336</v>
      </c>
      <c r="E68" s="865" t="s">
        <v>835</v>
      </c>
      <c r="F68" s="578" t="s">
        <v>800</v>
      </c>
      <c r="G68" s="644"/>
      <c r="H68" s="443"/>
      <c r="I68" s="644"/>
      <c r="J68" s="443"/>
      <c r="K68" s="204"/>
    </row>
    <row r="69" spans="1:11" s="1555" customFormat="1" ht="22.5" hidden="1" customHeight="1">
      <c r="A69" s="4001"/>
      <c r="B69" s="435"/>
      <c r="D69" s="659" t="s">
        <v>339</v>
      </c>
      <c r="E69" s="865" t="s">
        <v>836</v>
      </c>
      <c r="F69" s="638" t="s">
        <v>582</v>
      </c>
      <c r="G69" s="658"/>
      <c r="H69" s="443"/>
      <c r="I69" s="658"/>
      <c r="J69" s="443"/>
      <c r="K69" s="204"/>
    </row>
    <row r="70" spans="1:11" s="1555" customFormat="1" ht="22.5" hidden="1" customHeight="1">
      <c r="A70" s="4001"/>
      <c r="B70" s="435"/>
      <c r="D70" s="659" t="s">
        <v>666</v>
      </c>
      <c r="E70" s="865" t="s">
        <v>837</v>
      </c>
      <c r="F70" s="638" t="s">
        <v>582</v>
      </c>
      <c r="G70" s="658"/>
      <c r="H70" s="443"/>
      <c r="I70" s="658"/>
      <c r="J70" s="443"/>
      <c r="K70" s="204"/>
    </row>
    <row r="71" spans="1:11" s="1555" customFormat="1" ht="22.5" hidden="1" customHeight="1">
      <c r="A71" s="4001"/>
      <c r="B71" s="435"/>
      <c r="D71" s="583" t="s">
        <v>88</v>
      </c>
      <c r="E71" s="584" t="s">
        <v>838</v>
      </c>
      <c r="F71" s="578" t="s">
        <v>800</v>
      </c>
      <c r="G71" s="480"/>
      <c r="H71" s="941"/>
      <c r="I71" s="480"/>
      <c r="J71" s="941"/>
      <c r="K71" s="216"/>
    </row>
    <row r="72" spans="1:11" s="1555" customFormat="1" ht="56.25" hidden="1" customHeight="1">
      <c r="A72" s="4001"/>
      <c r="B72" s="435"/>
      <c r="D72" s="583" t="s">
        <v>89</v>
      </c>
      <c r="E72" s="584" t="s">
        <v>839</v>
      </c>
      <c r="F72" s="638" t="s">
        <v>582</v>
      </c>
      <c r="G72" s="658"/>
      <c r="H72" s="934"/>
      <c r="I72" s="658"/>
      <c r="J72" s="934"/>
      <c r="K72" s="216"/>
    </row>
    <row r="73" spans="1:11" s="1555" customFormat="1" ht="33.75" hidden="1" customHeight="1">
      <c r="A73" s="4001"/>
      <c r="B73" s="435"/>
      <c r="D73" s="583" t="s">
        <v>117</v>
      </c>
      <c r="E73" s="584" t="s">
        <v>840</v>
      </c>
      <c r="F73" s="643" t="s">
        <v>758</v>
      </c>
      <c r="G73" s="586"/>
      <c r="H73" s="934"/>
      <c r="I73" s="586"/>
      <c r="J73" s="934"/>
      <c r="K73" s="204"/>
    </row>
    <row r="74" spans="1:11" s="1555" customFormat="1" ht="22.5" hidden="1" customHeight="1">
      <c r="A74" s="4001"/>
      <c r="B74" s="435" t="s">
        <v>612</v>
      </c>
      <c r="D74" s="583" t="s">
        <v>90</v>
      </c>
      <c r="E74" s="584" t="s">
        <v>841</v>
      </c>
      <c r="F74" s="643" t="s">
        <v>335</v>
      </c>
      <c r="G74" s="311"/>
      <c r="H74" s="934"/>
      <c r="I74" s="311"/>
      <c r="J74" s="934"/>
      <c r="K74" s="204" t="s">
        <v>827</v>
      </c>
    </row>
    <row r="75" spans="1:11" s="1555" customFormat="1" ht="45" hidden="1" customHeight="1">
      <c r="A75" s="4001"/>
      <c r="B75" s="435" t="s">
        <v>612</v>
      </c>
      <c r="D75" s="583" t="s">
        <v>842</v>
      </c>
      <c r="E75" s="585" t="s">
        <v>843</v>
      </c>
      <c r="F75" s="638" t="s">
        <v>335</v>
      </c>
      <c r="G75" s="311"/>
      <c r="H75" s="934"/>
      <c r="I75" s="311"/>
      <c r="J75" s="934"/>
      <c r="K75" s="204" t="s">
        <v>827</v>
      </c>
    </row>
    <row r="76" spans="1:11" s="1555" customFormat="1" ht="11.25" customHeight="1">
      <c r="A76" s="944"/>
      <c r="B76" s="442"/>
      <c r="D76" s="945"/>
      <c r="E76" s="946"/>
    </row>
    <row r="77" spans="1:11" s="1555" customFormat="1" ht="11.25" hidden="1" customHeight="1">
      <c r="A77" s="4001" t="s">
        <v>844</v>
      </c>
      <c r="B77" s="435"/>
      <c r="D77" s="583">
        <v>1</v>
      </c>
      <c r="E77" s="584" t="s">
        <v>845</v>
      </c>
      <c r="F77" s="638" t="s">
        <v>748</v>
      </c>
      <c r="G77" s="641"/>
      <c r="H77" s="934"/>
      <c r="I77" s="641"/>
      <c r="J77" s="934"/>
      <c r="K77" s="204" t="s">
        <v>846</v>
      </c>
    </row>
    <row r="78" spans="1:11" s="1555" customFormat="1" ht="11.25" hidden="1" customHeight="1">
      <c r="A78" s="4001"/>
      <c r="B78" s="435"/>
      <c r="D78" s="583" t="s">
        <v>102</v>
      </c>
      <c r="E78" s="584" t="s">
        <v>847</v>
      </c>
      <c r="F78" s="638" t="s">
        <v>748</v>
      </c>
      <c r="G78" s="641"/>
      <c r="H78" s="934"/>
      <c r="I78" s="641"/>
      <c r="J78" s="934"/>
      <c r="K78" s="204" t="s">
        <v>848</v>
      </c>
    </row>
    <row r="79" spans="1:11" s="1555" customFormat="1" ht="22.5" hidden="1" customHeight="1">
      <c r="A79" s="4001"/>
      <c r="B79" s="435"/>
      <c r="D79" s="583" t="s">
        <v>88</v>
      </c>
      <c r="E79" s="639" t="s">
        <v>849</v>
      </c>
      <c r="F79" s="578" t="s">
        <v>797</v>
      </c>
      <c r="G79" s="641"/>
      <c r="H79" s="934"/>
      <c r="I79" s="641"/>
      <c r="J79" s="934"/>
      <c r="K79" s="204" t="s">
        <v>850</v>
      </c>
    </row>
    <row r="80" spans="1:11" s="1555" customFormat="1" ht="11.25" hidden="1" customHeight="1">
      <c r="A80" s="4001"/>
      <c r="B80" s="435"/>
      <c r="D80" s="583" t="s">
        <v>355</v>
      </c>
      <c r="E80" s="640" t="s">
        <v>851</v>
      </c>
      <c r="F80" s="578" t="s">
        <v>797</v>
      </c>
      <c r="G80" s="641"/>
      <c r="H80" s="934"/>
      <c r="I80" s="641"/>
      <c r="J80" s="934"/>
      <c r="K80" s="204"/>
    </row>
    <row r="81" spans="1:11" s="1555" customFormat="1" ht="11.25" hidden="1" customHeight="1">
      <c r="A81" s="4001"/>
      <c r="B81" s="435"/>
      <c r="D81" s="583" t="s">
        <v>363</v>
      </c>
      <c r="E81" s="640" t="s">
        <v>852</v>
      </c>
      <c r="F81" s="578" t="s">
        <v>797</v>
      </c>
      <c r="G81" s="641"/>
      <c r="H81" s="934"/>
      <c r="I81" s="641"/>
      <c r="J81" s="934"/>
      <c r="K81" s="204"/>
    </row>
    <row r="82" spans="1:11" s="1555" customFormat="1" ht="11.25" hidden="1" customHeight="1">
      <c r="A82" s="4001"/>
      <c r="B82" s="435"/>
      <c r="D82" s="583" t="s">
        <v>365</v>
      </c>
      <c r="E82" s="640" t="s">
        <v>853</v>
      </c>
      <c r="F82" s="578" t="s">
        <v>797</v>
      </c>
      <c r="G82" s="641"/>
      <c r="H82" s="934"/>
      <c r="I82" s="641"/>
      <c r="J82" s="934"/>
      <c r="K82" s="204"/>
    </row>
    <row r="83" spans="1:11" s="1555" customFormat="1" ht="11.25" hidden="1" customHeight="1">
      <c r="A83" s="4001"/>
      <c r="B83" s="435"/>
      <c r="D83" s="583" t="s">
        <v>367</v>
      </c>
      <c r="E83" s="640" t="s">
        <v>854</v>
      </c>
      <c r="F83" s="578" t="s">
        <v>797</v>
      </c>
      <c r="G83" s="641"/>
      <c r="H83" s="934"/>
      <c r="I83" s="641"/>
      <c r="J83" s="934"/>
      <c r="K83" s="204"/>
    </row>
    <row r="84" spans="1:11" s="1555" customFormat="1" ht="11.25" hidden="1" customHeight="1">
      <c r="A84" s="4001"/>
      <c r="B84" s="435"/>
      <c r="D84" s="583" t="s">
        <v>855</v>
      </c>
      <c r="E84" s="640" t="s">
        <v>856</v>
      </c>
      <c r="F84" s="578" t="s">
        <v>797</v>
      </c>
      <c r="G84" s="641"/>
      <c r="H84" s="934"/>
      <c r="I84" s="641"/>
      <c r="J84" s="934"/>
      <c r="K84" s="204"/>
    </row>
    <row r="85" spans="1:11" s="1555" customFormat="1" ht="11.25" hidden="1" customHeight="1">
      <c r="A85" s="4001"/>
      <c r="B85" s="435"/>
      <c r="D85" s="583" t="s">
        <v>857</v>
      </c>
      <c r="E85" s="640" t="s">
        <v>858</v>
      </c>
      <c r="F85" s="578" t="s">
        <v>797</v>
      </c>
      <c r="G85" s="641"/>
      <c r="H85" s="934"/>
      <c r="I85" s="641"/>
      <c r="J85" s="934"/>
      <c r="K85" s="204"/>
    </row>
    <row r="86" spans="1:11" s="1555" customFormat="1" ht="11.25" hidden="1" customHeight="1">
      <c r="A86" s="4001"/>
      <c r="B86" s="435"/>
      <c r="D86" s="583" t="s">
        <v>859</v>
      </c>
      <c r="E86" s="640" t="s">
        <v>860</v>
      </c>
      <c r="F86" s="578" t="s">
        <v>797</v>
      </c>
      <c r="G86" s="641"/>
      <c r="H86" s="934"/>
      <c r="I86" s="641"/>
      <c r="J86" s="934"/>
      <c r="K86" s="204"/>
    </row>
    <row r="87" spans="1:11" s="1555" customFormat="1" ht="45" hidden="1" customHeight="1">
      <c r="A87" s="4001"/>
      <c r="B87" s="435"/>
      <c r="D87" s="583" t="s">
        <v>89</v>
      </c>
      <c r="E87" s="584" t="s">
        <v>861</v>
      </c>
      <c r="F87" s="578" t="s">
        <v>797</v>
      </c>
      <c r="G87" s="641"/>
      <c r="H87" s="934"/>
      <c r="I87" s="641"/>
      <c r="J87" s="934"/>
      <c r="K87" s="204" t="s">
        <v>862</v>
      </c>
    </row>
    <row r="88" spans="1:11" s="1555" customFormat="1" ht="11.25" hidden="1" customHeight="1">
      <c r="A88" s="4001"/>
      <c r="B88" s="435"/>
      <c r="D88" s="583" t="s">
        <v>691</v>
      </c>
      <c r="E88" s="640" t="s">
        <v>851</v>
      </c>
      <c r="F88" s="578" t="s">
        <v>797</v>
      </c>
      <c r="G88" s="641"/>
      <c r="H88" s="934"/>
      <c r="I88" s="641"/>
      <c r="J88" s="934"/>
      <c r="K88" s="204"/>
    </row>
    <row r="89" spans="1:11" s="1555" customFormat="1" ht="11.25" hidden="1" customHeight="1">
      <c r="A89" s="4001"/>
      <c r="B89" s="435"/>
      <c r="D89" s="583" t="s">
        <v>734</v>
      </c>
      <c r="E89" s="640" t="s">
        <v>852</v>
      </c>
      <c r="F89" s="578" t="s">
        <v>797</v>
      </c>
      <c r="G89" s="641"/>
      <c r="H89" s="934"/>
      <c r="I89" s="641"/>
      <c r="J89" s="934"/>
      <c r="K89" s="204"/>
    </row>
    <row r="90" spans="1:11" s="1555" customFormat="1" ht="11.25" hidden="1" customHeight="1">
      <c r="A90" s="4001"/>
      <c r="B90" s="435"/>
      <c r="D90" s="583" t="s">
        <v>737</v>
      </c>
      <c r="E90" s="640" t="s">
        <v>853</v>
      </c>
      <c r="F90" s="578" t="s">
        <v>797</v>
      </c>
      <c r="G90" s="641"/>
      <c r="H90" s="934"/>
      <c r="I90" s="641"/>
      <c r="J90" s="934"/>
      <c r="K90" s="204"/>
    </row>
    <row r="91" spans="1:11" s="1555" customFormat="1" ht="11.25" hidden="1" customHeight="1">
      <c r="A91" s="4001"/>
      <c r="B91" s="435"/>
      <c r="D91" s="583" t="s">
        <v>815</v>
      </c>
      <c r="E91" s="640" t="s">
        <v>854</v>
      </c>
      <c r="F91" s="578" t="s">
        <v>797</v>
      </c>
      <c r="G91" s="641"/>
      <c r="H91" s="934"/>
      <c r="I91" s="641"/>
      <c r="J91" s="934"/>
      <c r="K91" s="204"/>
    </row>
    <row r="92" spans="1:11" s="1555" customFormat="1" ht="11.25" hidden="1" customHeight="1">
      <c r="A92" s="4001"/>
      <c r="B92" s="435"/>
      <c r="D92" s="583" t="s">
        <v>817</v>
      </c>
      <c r="E92" s="640" t="s">
        <v>856</v>
      </c>
      <c r="F92" s="578" t="s">
        <v>797</v>
      </c>
      <c r="G92" s="641"/>
      <c r="H92" s="934"/>
      <c r="I92" s="641"/>
      <c r="J92" s="934"/>
      <c r="K92" s="204"/>
    </row>
    <row r="93" spans="1:11" s="1555" customFormat="1" ht="11.25" hidden="1" customHeight="1">
      <c r="A93" s="4001"/>
      <c r="B93" s="435"/>
      <c r="D93" s="583" t="s">
        <v>863</v>
      </c>
      <c r="E93" s="640" t="s">
        <v>858</v>
      </c>
      <c r="F93" s="578" t="s">
        <v>797</v>
      </c>
      <c r="G93" s="641"/>
      <c r="H93" s="934"/>
      <c r="I93" s="641"/>
      <c r="J93" s="934"/>
      <c r="K93" s="204"/>
    </row>
    <row r="94" spans="1:11" s="1555" customFormat="1" ht="11.25" hidden="1" customHeight="1">
      <c r="A94" s="4001"/>
      <c r="B94" s="435"/>
      <c r="D94" s="583" t="s">
        <v>864</v>
      </c>
      <c r="E94" s="640" t="s">
        <v>860</v>
      </c>
      <c r="F94" s="578" t="s">
        <v>797</v>
      </c>
      <c r="G94" s="641"/>
      <c r="H94" s="934"/>
      <c r="I94" s="641"/>
      <c r="J94" s="934"/>
      <c r="K94" s="204"/>
    </row>
    <row r="95" spans="1:11" s="1555" customFormat="1" ht="24.75" hidden="1" customHeight="1">
      <c r="A95" s="4001"/>
      <c r="B95" s="435"/>
      <c r="D95" s="583" t="s">
        <v>117</v>
      </c>
      <c r="E95" s="584" t="s">
        <v>865</v>
      </c>
      <c r="F95" s="642" t="s">
        <v>582</v>
      </c>
      <c r="G95" s="644"/>
      <c r="H95" s="934"/>
      <c r="I95" s="644"/>
      <c r="J95" s="934"/>
      <c r="K95" s="204" t="s">
        <v>866</v>
      </c>
    </row>
    <row r="96" spans="1:11" s="1555" customFormat="1" ht="33.75" hidden="1" customHeight="1">
      <c r="A96" s="4001"/>
      <c r="B96" s="435"/>
      <c r="D96" s="583" t="s">
        <v>90</v>
      </c>
      <c r="E96" s="584" t="s">
        <v>867</v>
      </c>
      <c r="F96" s="643" t="s">
        <v>758</v>
      </c>
      <c r="G96" s="645"/>
      <c r="H96" s="934"/>
      <c r="I96" s="645"/>
      <c r="J96" s="934"/>
      <c r="K96" s="204"/>
    </row>
    <row r="97" spans="1:11" s="1555" customFormat="1" ht="22.5" hidden="1" customHeight="1">
      <c r="A97" s="4001"/>
      <c r="B97" s="435" t="s">
        <v>612</v>
      </c>
      <c r="D97" s="583" t="s">
        <v>91</v>
      </c>
      <c r="E97" s="584" t="s">
        <v>868</v>
      </c>
      <c r="F97" s="643" t="s">
        <v>335</v>
      </c>
      <c r="G97" s="314"/>
      <c r="H97" s="934"/>
      <c r="I97" s="314"/>
      <c r="J97" s="934"/>
      <c r="K97" s="204" t="s">
        <v>827</v>
      </c>
    </row>
    <row r="98" spans="1:11" s="1555" customFormat="1" ht="45" hidden="1" customHeight="1">
      <c r="A98" s="4001"/>
      <c r="B98" s="435" t="s">
        <v>612</v>
      </c>
      <c r="D98" s="583" t="s">
        <v>869</v>
      </c>
      <c r="E98" s="585" t="s">
        <v>870</v>
      </c>
      <c r="F98" s="638" t="s">
        <v>335</v>
      </c>
      <c r="G98" s="314"/>
      <c r="H98" s="934"/>
      <c r="I98" s="314"/>
      <c r="J98" s="934"/>
      <c r="K98" s="204" t="s">
        <v>827</v>
      </c>
    </row>
    <row r="99" spans="1:11" s="1555" customFormat="1" ht="95.25" hidden="1" customHeight="1">
      <c r="A99" s="4001"/>
      <c r="B99" s="435" t="s">
        <v>612</v>
      </c>
      <c r="D99" s="583" t="s">
        <v>130</v>
      </c>
      <c r="E99" s="584" t="s">
        <v>871</v>
      </c>
      <c r="F99" s="638" t="s">
        <v>335</v>
      </c>
      <c r="G99" s="314"/>
      <c r="H99" s="934"/>
      <c r="I99" s="314"/>
      <c r="J99" s="934"/>
      <c r="K99" s="204" t="s">
        <v>827</v>
      </c>
    </row>
    <row r="100" spans="1:11" s="1555" customFormat="1" ht="22.5" hidden="1" customHeight="1">
      <c r="A100" s="4001"/>
      <c r="B100" s="435" t="s">
        <v>612</v>
      </c>
      <c r="D100" s="583" t="s">
        <v>166</v>
      </c>
      <c r="E100" s="584" t="s">
        <v>872</v>
      </c>
      <c r="F100" s="638" t="s">
        <v>335</v>
      </c>
      <c r="G100" s="314"/>
      <c r="H100" s="934"/>
      <c r="I100" s="314"/>
      <c r="J100" s="934"/>
      <c r="K100" s="204" t="s">
        <v>827</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4006"/>
      <c r="C3" s="4007"/>
      <c r="D3" s="607" t="str">
        <f>B3&amp;".1"</f>
        <v>.1</v>
      </c>
      <c r="E3" s="608" t="s">
        <v>873</v>
      </c>
      <c r="F3" s="609" t="s">
        <v>335</v>
      </c>
      <c r="G3" s="604"/>
      <c r="H3" s="330"/>
      <c r="I3" s="604"/>
      <c r="J3" s="330"/>
      <c r="K3" s="204" t="s">
        <v>874</v>
      </c>
    </row>
    <row r="4" spans="1:21" ht="15" hidden="1" customHeight="1">
      <c r="A4" s="429"/>
      <c r="B4" s="4006"/>
      <c r="C4" s="4007"/>
      <c r="D4" s="607" t="str">
        <f>B3&amp;".2"</f>
        <v>.2</v>
      </c>
      <c r="E4" s="608" t="s">
        <v>875</v>
      </c>
      <c r="F4" s="609" t="s">
        <v>335</v>
      </c>
      <c r="G4" s="1657" t="s">
        <v>24</v>
      </c>
      <c r="H4" s="330"/>
      <c r="I4" s="1657" t="s">
        <v>24</v>
      </c>
      <c r="J4" s="330"/>
      <c r="K4" s="204" t="s">
        <v>876</v>
      </c>
    </row>
    <row r="5" spans="1:21" s="1287" customFormat="1" ht="15" hidden="1" customHeight="1">
      <c r="C5" s="590"/>
      <c r="U5" s="348"/>
    </row>
    <row r="6" spans="1:21" ht="22.5" hidden="1" customHeight="1">
      <c r="A6" s="429"/>
      <c r="B6" s="4006"/>
      <c r="C6" s="4007"/>
      <c r="D6" s="607" t="str">
        <f>B6&amp;".1"</f>
        <v>.1</v>
      </c>
      <c r="E6" s="608" t="s">
        <v>877</v>
      </c>
      <c r="F6" s="609" t="s">
        <v>335</v>
      </c>
      <c r="G6" s="604"/>
      <c r="H6" s="330"/>
      <c r="I6" s="604"/>
      <c r="J6" s="330"/>
      <c r="K6" s="204" t="s">
        <v>878</v>
      </c>
    </row>
    <row r="7" spans="1:21" ht="15" hidden="1" customHeight="1">
      <c r="A7" s="429"/>
      <c r="B7" s="4006"/>
      <c r="C7" s="4007"/>
      <c r="D7" s="607" t="str">
        <f>B6&amp;".2"</f>
        <v>.2</v>
      </c>
      <c r="E7" s="608" t="s">
        <v>875</v>
      </c>
      <c r="F7" s="609" t="s">
        <v>335</v>
      </c>
      <c r="G7" s="1657" t="s">
        <v>24</v>
      </c>
      <c r="H7" s="330"/>
      <c r="I7" s="1657" t="s">
        <v>24</v>
      </c>
      <c r="J7" s="330"/>
      <c r="K7" s="204" t="s">
        <v>876</v>
      </c>
    </row>
    <row r="8" spans="1:21" s="1287" customFormat="1" ht="15" hidden="1" customHeight="1">
      <c r="C8" s="590"/>
      <c r="U8" s="348"/>
    </row>
    <row r="9" spans="1:21" ht="22.5" hidden="1" customHeight="1">
      <c r="A9" s="429"/>
      <c r="B9" s="4006"/>
      <c r="C9" s="4007"/>
      <c r="D9" s="607" t="str">
        <f>B9&amp;".1"</f>
        <v>.1</v>
      </c>
      <c r="E9" s="608" t="s">
        <v>879</v>
      </c>
      <c r="F9" s="609" t="s">
        <v>335</v>
      </c>
      <c r="G9" s="615" t="s">
        <v>24</v>
      </c>
      <c r="H9" s="330" t="s">
        <v>24</v>
      </c>
      <c r="I9" s="615" t="s">
        <v>24</v>
      </c>
      <c r="J9" s="330" t="s">
        <v>24</v>
      </c>
      <c r="K9" s="204"/>
    </row>
    <row r="10" spans="1:21" ht="15" hidden="1" customHeight="1">
      <c r="A10" s="429"/>
      <c r="B10" s="4006"/>
      <c r="C10" s="4007"/>
      <c r="D10" s="607" t="str">
        <f>B9&amp;".2"</f>
        <v>.2</v>
      </c>
      <c r="E10" s="608" t="s">
        <v>880</v>
      </c>
      <c r="F10" s="609" t="s">
        <v>335</v>
      </c>
      <c r="G10" s="1651" t="s">
        <v>24</v>
      </c>
      <c r="H10" s="330" t="s">
        <v>24</v>
      </c>
      <c r="I10" s="1651" t="s">
        <v>24</v>
      </c>
      <c r="J10" s="330" t="s">
        <v>24</v>
      </c>
      <c r="K10" s="204" t="s">
        <v>881</v>
      </c>
    </row>
    <row r="11" spans="1:21" ht="15" hidden="1" customHeight="1">
      <c r="A11" s="429"/>
      <c r="B11" s="4006"/>
      <c r="C11" s="4007"/>
      <c r="D11" s="607" t="str">
        <f>B9&amp;".3"</f>
        <v>.3</v>
      </c>
      <c r="E11" s="608" t="s">
        <v>882</v>
      </c>
      <c r="F11" s="609" t="s">
        <v>335</v>
      </c>
      <c r="G11" s="1651" t="s">
        <v>24</v>
      </c>
      <c r="H11" s="330" t="s">
        <v>24</v>
      </c>
      <c r="I11" s="1651" t="s">
        <v>24</v>
      </c>
      <c r="J11" s="330" t="s">
        <v>24</v>
      </c>
      <c r="K11" s="204" t="s">
        <v>883</v>
      </c>
    </row>
    <row r="12" spans="1:21" s="1287" customFormat="1" ht="15" hidden="1" customHeight="1">
      <c r="C12" s="590"/>
      <c r="U12" s="348"/>
    </row>
    <row r="13" spans="1:21" ht="33.75" hidden="1" customHeight="1">
      <c r="A13" s="429"/>
      <c r="B13" s="4006"/>
      <c r="C13" s="4007"/>
      <c r="D13" s="607" t="str">
        <f>B13&amp;".1"</f>
        <v>.1</v>
      </c>
      <c r="E13" s="608" t="s">
        <v>884</v>
      </c>
      <c r="F13" s="609" t="s">
        <v>335</v>
      </c>
      <c r="G13" s="615" t="s">
        <v>24</v>
      </c>
      <c r="H13" s="330" t="s">
        <v>24</v>
      </c>
      <c r="I13" s="615" t="s">
        <v>24</v>
      </c>
      <c r="J13" s="330" t="s">
        <v>24</v>
      </c>
      <c r="K13" s="204" t="s">
        <v>885</v>
      </c>
    </row>
    <row r="14" spans="1:21" ht="15" hidden="1" customHeight="1">
      <c r="B14" s="4006"/>
      <c r="C14" s="4007"/>
      <c r="D14" s="607" t="str">
        <f>B13&amp;".2"</f>
        <v>.2</v>
      </c>
      <c r="E14" s="608" t="s">
        <v>886</v>
      </c>
      <c r="F14" s="609" t="s">
        <v>335</v>
      </c>
      <c r="G14" s="1651" t="s">
        <v>24</v>
      </c>
      <c r="H14" s="330" t="s">
        <v>24</v>
      </c>
      <c r="I14" s="1651" t="s">
        <v>24</v>
      </c>
      <c r="J14" s="330" t="s">
        <v>24</v>
      </c>
      <c r="K14" s="204" t="s">
        <v>887</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38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92"/>
      <c r="F22" s="3892"/>
      <c r="G22" s="3892"/>
      <c r="H22" s="3892"/>
      <c r="I22" s="3892"/>
      <c r="J22" s="594"/>
      <c r="K22" s="460"/>
    </row>
    <row r="23" spans="1:21" ht="15" customHeight="1">
      <c r="C23" s="94"/>
      <c r="D23" s="3839" t="str">
        <f>IF(org=0,"Не определено",org)</f>
        <v>ГУП СК "Ставрополькрайводоканал"</v>
      </c>
      <c r="E23" s="3839"/>
      <c r="F23" s="3839"/>
      <c r="G23" s="3839"/>
      <c r="H23" s="3839"/>
      <c r="I23" s="3839"/>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135</v>
      </c>
      <c r="J25" s="667"/>
      <c r="K25" s="346"/>
      <c r="U25" s="593"/>
    </row>
    <row r="26" spans="1:21" ht="15" customHeight="1">
      <c r="C26" s="94"/>
      <c r="D26" s="628"/>
      <c r="E26" s="3983" t="s">
        <v>125</v>
      </c>
      <c r="F26" s="3984"/>
      <c r="G26" s="4004" t="str">
        <f>IF(G25="","",INDEX(DIFFERENTIATION_UNMERGE_VD,MATCH(G25,DIFFERENTIATION_ID_DIFF,0)))</f>
        <v/>
      </c>
      <c r="H26" s="4005"/>
      <c r="I26" s="4004">
        <f>IF(I25="","",INDEX(DIFFERENTIATION_UNMERGE_VD,MATCH(I25,DIFFERENTIATION_ID_DIFF,0)))</f>
        <v>0</v>
      </c>
      <c r="J26" s="4005"/>
      <c r="K26" s="3838" t="s">
        <v>330</v>
      </c>
    </row>
    <row r="27" spans="1:21" s="1555" customFormat="1" ht="15" customHeight="1">
      <c r="A27" s="674"/>
      <c r="C27" s="94"/>
      <c r="D27" s="628"/>
      <c r="E27" s="3983" t="s">
        <v>588</v>
      </c>
      <c r="F27" s="3984"/>
      <c r="G27" s="4004" t="str">
        <f>IF(G25="","",INDEX(DIFFERENTIATION_UNMERGE_AREA,MATCH(G25,DIFFERENTIATION_ID_DIFF,0)))</f>
        <v/>
      </c>
      <c r="H27" s="4005"/>
      <c r="I27" s="4004" t="str">
        <f>IF(I25="","",INDEX(DIFFERENTIATION_UNMERGE_AREA,MATCH(I25,DIFFERENTIATION_ID_DIFF,0)))</f>
        <v/>
      </c>
      <c r="J27" s="4005"/>
      <c r="K27" s="3856"/>
      <c r="U27" s="593"/>
    </row>
    <row r="28" spans="1:21" s="1555" customFormat="1" ht="15" customHeight="1">
      <c r="A28" s="674"/>
      <c r="C28" s="94"/>
      <c r="D28" s="628"/>
      <c r="E28" s="3983" t="s">
        <v>589</v>
      </c>
      <c r="F28" s="3984"/>
      <c r="G28" s="4004" t="str">
        <f>IF(G25="","",INDEX(DIFFERENTIATION_UNMERGE_SYSTEM,MATCH(G25,DIFFERENTIATION_ID_DIFF,0)))</f>
        <v/>
      </c>
      <c r="H28" s="4005"/>
      <c r="I28" s="4004" t="str">
        <f>IF(I25="","",INDEX(DIFFERENTIATION_UNMERGE_SYSTEM,MATCH(I25,DIFFERENTIATION_ID_DIFF,0)))</f>
        <v>без дифференциации</v>
      </c>
      <c r="J28" s="4005"/>
      <c r="K28" s="3856"/>
      <c r="U28" s="593"/>
    </row>
    <row r="29" spans="1:21" s="1555" customFormat="1" ht="15" customHeight="1">
      <c r="A29" s="674"/>
      <c r="C29" s="94"/>
      <c r="D29" s="3985" t="s">
        <v>329</v>
      </c>
      <c r="E29" s="3986"/>
      <c r="F29" s="3986"/>
      <c r="G29" s="801"/>
      <c r="H29" s="801"/>
      <c r="I29" s="801"/>
      <c r="J29" s="802"/>
      <c r="K29" s="3856"/>
      <c r="U29" s="593"/>
    </row>
    <row r="30" spans="1:21" ht="33.75" customHeight="1">
      <c r="C30" s="94"/>
      <c r="D30" s="676" t="s">
        <v>86</v>
      </c>
      <c r="E30" s="675" t="s">
        <v>331</v>
      </c>
      <c r="F30" s="675" t="s">
        <v>590</v>
      </c>
      <c r="G30" s="722" t="s">
        <v>332</v>
      </c>
      <c r="H30" s="721" t="s">
        <v>421</v>
      </c>
      <c r="I30" s="602" t="s">
        <v>332</v>
      </c>
      <c r="J30" s="389" t="s">
        <v>421</v>
      </c>
      <c r="K30" s="3859"/>
    </row>
    <row r="31" spans="1:21" ht="15" hidden="1" customHeight="1">
      <c r="C31" s="94"/>
      <c r="D31" s="514"/>
      <c r="E31" s="514"/>
      <c r="F31" s="514"/>
      <c r="G31" s="577"/>
      <c r="H31" s="577"/>
      <c r="I31" s="577"/>
      <c r="J31" s="577"/>
      <c r="K31" s="204"/>
    </row>
    <row r="32" spans="1:21" ht="22.5" customHeight="1">
      <c r="A32" s="429"/>
      <c r="B32" s="429" t="s">
        <v>888</v>
      </c>
      <c r="C32" s="450"/>
      <c r="D32" s="610">
        <v>1</v>
      </c>
      <c r="E32" s="611" t="s">
        <v>889</v>
      </c>
      <c r="F32" s="609" t="s">
        <v>335</v>
      </c>
      <c r="G32" s="727" t="s">
        <v>335</v>
      </c>
      <c r="H32" s="727" t="s">
        <v>335</v>
      </c>
      <c r="I32" s="609" t="s">
        <v>335</v>
      </c>
      <c r="J32" s="609" t="s">
        <v>335</v>
      </c>
      <c r="K32" s="204"/>
    </row>
    <row r="33" spans="1:21" ht="11.25" customHeight="1">
      <c r="A33" s="429"/>
      <c r="C33" s="429"/>
      <c r="D33" s="268"/>
      <c r="E33" s="503" t="s">
        <v>610</v>
      </c>
      <c r="F33" s="495"/>
      <c r="G33" s="495"/>
      <c r="H33" s="495"/>
      <c r="I33" s="495"/>
      <c r="J33" s="495"/>
      <c r="K33" s="496"/>
      <c r="U33" s="429"/>
    </row>
    <row r="34" spans="1:21" ht="22.5" customHeight="1">
      <c r="A34" s="429"/>
      <c r="B34" s="504" t="s">
        <v>890</v>
      </c>
      <c r="C34" s="450"/>
      <c r="D34" s="610">
        <v>2</v>
      </c>
      <c r="E34" s="611" t="s">
        <v>891</v>
      </c>
      <c r="F34" s="734" t="s">
        <v>335</v>
      </c>
      <c r="G34" s="734" t="s">
        <v>335</v>
      </c>
      <c r="H34" s="734" t="s">
        <v>335</v>
      </c>
      <c r="I34" s="609"/>
      <c r="J34" s="609"/>
      <c r="K34" s="204"/>
    </row>
    <row r="35" spans="1:21" ht="11.25" customHeight="1">
      <c r="A35" s="429"/>
      <c r="C35" s="429"/>
      <c r="D35" s="268"/>
      <c r="E35" s="503" t="s">
        <v>892</v>
      </c>
      <c r="F35" s="495"/>
      <c r="G35" s="612"/>
      <c r="H35" s="495"/>
      <c r="I35" s="612"/>
      <c r="J35" s="495"/>
      <c r="K35" s="496"/>
      <c r="U35" s="429"/>
    </row>
    <row r="36" spans="1:21" ht="67.5" customHeight="1">
      <c r="A36" s="429"/>
      <c r="B36" s="429" t="s">
        <v>893</v>
      </c>
      <c r="C36" s="450"/>
      <c r="D36" s="610">
        <v>3</v>
      </c>
      <c r="E36" s="611" t="s">
        <v>894</v>
      </c>
      <c r="F36" s="613" t="s">
        <v>335</v>
      </c>
      <c r="G36" s="728" t="s">
        <v>895</v>
      </c>
      <c r="H36" s="727" t="s">
        <v>335</v>
      </c>
      <c r="I36" s="448" t="s">
        <v>895</v>
      </c>
      <c r="J36" s="609" t="s">
        <v>335</v>
      </c>
      <c r="K36" s="204" t="s">
        <v>896</v>
      </c>
    </row>
    <row r="37" spans="1:21" ht="11.25" customHeight="1">
      <c r="A37" s="429"/>
      <c r="C37" s="429"/>
      <c r="D37" s="268"/>
      <c r="E37" s="503" t="s">
        <v>897</v>
      </c>
      <c r="F37" s="495"/>
      <c r="G37" s="612"/>
      <c r="H37" s="612"/>
      <c r="I37" s="612"/>
      <c r="J37" s="612"/>
      <c r="K37" s="496"/>
      <c r="U37" s="429"/>
    </row>
    <row r="38" spans="1:21" ht="67.5" customHeight="1">
      <c r="A38" s="429"/>
      <c r="B38" s="429" t="s">
        <v>898</v>
      </c>
      <c r="C38" s="450"/>
      <c r="D38" s="610">
        <v>4</v>
      </c>
      <c r="E38" s="611" t="s">
        <v>899</v>
      </c>
      <c r="F38" s="613" t="s">
        <v>335</v>
      </c>
      <c r="G38" s="728" t="s">
        <v>895</v>
      </c>
      <c r="H38" s="729" t="s">
        <v>335</v>
      </c>
      <c r="I38" s="448" t="s">
        <v>895</v>
      </c>
      <c r="J38" s="445" t="s">
        <v>335</v>
      </c>
      <c r="K38" s="597" t="s">
        <v>900</v>
      </c>
    </row>
    <row r="39" spans="1:21" ht="11.25" customHeight="1">
      <c r="A39" s="429"/>
      <c r="C39" s="429"/>
      <c r="D39" s="268"/>
      <c r="E39" s="503" t="s">
        <v>901</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3892" t="str">
        <f>IP_NAME_FORM</f>
        <v>Форма 7. Информация об инвестиционных программах организации холодного водоснабжения и отчетах об их исполнении</v>
      </c>
      <c r="G5" s="3892"/>
      <c r="H5" s="3892"/>
      <c r="I5" s="3892"/>
      <c r="J5" s="3892"/>
      <c r="K5" s="3892"/>
      <c r="M5" s="505"/>
      <c r="AB5" s="820"/>
    </row>
    <row r="6" spans="1:30" s="1555" customFormat="1" ht="15.75" customHeight="1">
      <c r="A6" s="1071"/>
      <c r="B6" s="1071"/>
      <c r="C6" s="1071"/>
      <c r="D6" s="1065"/>
      <c r="F6" s="3839" t="str">
        <f>IF(org=0,"Не определено",org)</f>
        <v>ГУП СК "Ставрополькрайводоканал"</v>
      </c>
      <c r="G6" s="3839"/>
      <c r="H6" s="3839"/>
      <c r="I6" s="3839"/>
      <c r="J6" s="3839"/>
      <c r="K6" s="3839"/>
      <c r="M6" s="505"/>
      <c r="AB6" s="1053"/>
    </row>
    <row r="8" spans="1:30" ht="10.5" customHeight="1">
      <c r="A8" s="962"/>
      <c r="B8" s="962"/>
      <c r="C8" s="962"/>
      <c r="F8" s="3749" t="s">
        <v>329</v>
      </c>
      <c r="G8" s="3754"/>
      <c r="H8" s="3754"/>
      <c r="I8" s="3754"/>
      <c r="J8" s="3754"/>
      <c r="K8" s="3754"/>
      <c r="L8" s="3754"/>
      <c r="M8" s="3754"/>
      <c r="N8" s="3754"/>
      <c r="O8" s="3754"/>
      <c r="P8" s="3754"/>
      <c r="Q8" s="3754"/>
      <c r="R8" s="3754"/>
      <c r="S8" s="3754"/>
      <c r="T8" s="3754"/>
      <c r="U8" s="3754"/>
      <c r="V8" s="3754"/>
      <c r="W8" s="3754"/>
      <c r="X8" s="3754"/>
      <c r="Y8" s="3754"/>
      <c r="Z8" s="3754"/>
      <c r="AA8" s="3754"/>
      <c r="AB8" s="3748"/>
    </row>
    <row r="9" spans="1:30" ht="41.25" customHeight="1">
      <c r="A9" s="819"/>
      <c r="B9" s="819"/>
      <c r="C9" s="819"/>
      <c r="F9" s="3778" t="s">
        <v>86</v>
      </c>
      <c r="G9" s="3778" t="s">
        <v>902</v>
      </c>
      <c r="H9" s="3838" t="s">
        <v>903</v>
      </c>
      <c r="I9" s="3778" t="s">
        <v>904</v>
      </c>
      <c r="J9" s="3778" t="s">
        <v>905</v>
      </c>
      <c r="K9" s="3778" t="s">
        <v>906</v>
      </c>
      <c r="L9" s="3778" t="s">
        <v>907</v>
      </c>
      <c r="M9" s="3778" t="s">
        <v>908</v>
      </c>
      <c r="N9" s="3868" t="s">
        <v>909</v>
      </c>
      <c r="O9" s="3868"/>
      <c r="P9" s="3868"/>
      <c r="Q9" s="3917" t="s">
        <v>910</v>
      </c>
      <c r="R9" s="3918"/>
      <c r="S9" s="3918"/>
      <c r="T9" s="3919"/>
      <c r="U9" s="3917" t="s">
        <v>911</v>
      </c>
      <c r="V9" s="3918"/>
      <c r="W9" s="3918"/>
      <c r="X9" s="3919"/>
      <c r="Y9" s="3749" t="s">
        <v>912</v>
      </c>
      <c r="Z9" s="3754"/>
      <c r="AA9" s="3754"/>
      <c r="AB9" s="3748"/>
    </row>
    <row r="10" spans="1:30" ht="41.25" customHeight="1">
      <c r="A10" s="819"/>
      <c r="B10" s="819"/>
      <c r="C10" s="819"/>
      <c r="F10" s="3838"/>
      <c r="G10" s="3838"/>
      <c r="H10" s="3887"/>
      <c r="I10" s="3838"/>
      <c r="J10" s="3838"/>
      <c r="K10" s="3838"/>
      <c r="L10" s="3838"/>
      <c r="M10" s="3838"/>
      <c r="N10" s="817" t="s">
        <v>913</v>
      </c>
      <c r="O10" s="817" t="s">
        <v>914</v>
      </c>
      <c r="P10" s="818" t="s">
        <v>915</v>
      </c>
      <c r="Q10" s="829" t="s">
        <v>87</v>
      </c>
      <c r="R10" s="829" t="s">
        <v>916</v>
      </c>
      <c r="S10" s="829" t="s">
        <v>917</v>
      </c>
      <c r="T10" s="830" t="s">
        <v>918</v>
      </c>
      <c r="U10" s="829" t="s">
        <v>87</v>
      </c>
      <c r="V10" s="829" t="s">
        <v>919</v>
      </c>
      <c r="W10" s="829" t="s">
        <v>917</v>
      </c>
      <c r="X10" s="830" t="s">
        <v>918</v>
      </c>
      <c r="Y10" s="215" t="s">
        <v>920</v>
      </c>
      <c r="Z10" s="3749" t="s">
        <v>86</v>
      </c>
      <c r="AA10" s="3748"/>
      <c r="AB10" s="960" t="s">
        <v>921</v>
      </c>
    </row>
    <row r="11" spans="1:30" s="1562" customFormat="1" ht="5.25" hidden="1" customHeight="1">
      <c r="A11" s="963"/>
      <c r="B11" s="963"/>
      <c r="C11" s="963"/>
      <c r="E11" s="961"/>
      <c r="F11" s="3829" t="s">
        <v>407</v>
      </c>
      <c r="G11" s="4009"/>
      <c r="H11" s="4008"/>
      <c r="I11" s="4008"/>
      <c r="J11" s="4008"/>
      <c r="K11" s="4010"/>
      <c r="L11" s="4010"/>
      <c r="M11" s="4010"/>
      <c r="N11" s="4008"/>
      <c r="O11" s="4008"/>
      <c r="P11" s="3778"/>
      <c r="Q11" s="3842"/>
      <c r="R11" s="3842"/>
      <c r="S11" s="3842"/>
      <c r="T11" s="4008"/>
      <c r="U11" s="3842"/>
      <c r="V11" s="3842"/>
      <c r="W11" s="3842"/>
      <c r="X11" s="4008"/>
      <c r="Y11" s="3760"/>
      <c r="Z11" s="3760"/>
      <c r="AA11" s="3760"/>
      <c r="AB11" s="3760"/>
      <c r="AD11" s="435" t="s">
        <v>922</v>
      </c>
    </row>
    <row r="12" spans="1:30" s="1562" customFormat="1" ht="5.25" hidden="1" customHeight="1">
      <c r="A12" s="810"/>
      <c r="B12" s="810"/>
      <c r="C12" s="810"/>
      <c r="E12" s="442"/>
      <c r="F12" s="3829"/>
      <c r="G12" s="4009"/>
      <c r="H12" s="4008"/>
      <c r="I12" s="4008"/>
      <c r="J12" s="4008"/>
      <c r="K12" s="4010"/>
      <c r="L12" s="4010"/>
      <c r="M12" s="4010"/>
      <c r="N12" s="4008"/>
      <c r="O12" s="4008"/>
      <c r="P12" s="3778"/>
      <c r="Q12" s="3842"/>
      <c r="R12" s="3842"/>
      <c r="S12" s="3842"/>
      <c r="T12" s="4008"/>
      <c r="U12" s="3842"/>
      <c r="V12" s="3842"/>
      <c r="W12" s="3842"/>
      <c r="X12" s="4008"/>
      <c r="Y12" s="4011"/>
      <c r="Z12" s="4011"/>
      <c r="AA12" s="4011"/>
      <c r="AB12" s="4011"/>
    </row>
    <row r="13" spans="1:30" ht="10.5" customHeight="1">
      <c r="F13" s="816"/>
      <c r="G13" s="568" t="s">
        <v>923</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3892" t="str">
        <f>IP_NAME_FORM</f>
        <v>Форма 7. Информация об инвестиционных программах организации холодного водоснабжения и отчетах об их исполнении</v>
      </c>
      <c r="G5" s="3892"/>
      <c r="H5" s="3892"/>
      <c r="I5" s="3892"/>
      <c r="J5" s="3892"/>
      <c r="K5" s="3892"/>
      <c r="L5" s="1042"/>
      <c r="M5" s="1042"/>
      <c r="AG5" s="820"/>
      <c r="AH5" s="1053"/>
    </row>
    <row r="6" spans="1:58" ht="10.5" customHeight="1">
      <c r="F6" s="3839" t="str">
        <f>IF(org=0,"Не определено",org)</f>
        <v>ГУП СК "Ставрополькрайводоканал"</v>
      </c>
      <c r="G6" s="3839"/>
      <c r="H6" s="3839"/>
      <c r="I6" s="3839"/>
      <c r="J6" s="3839"/>
      <c r="K6" s="3839"/>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4015" t="s">
        <v>329</v>
      </c>
      <c r="G8" s="4016"/>
      <c r="H8" s="4016"/>
      <c r="I8" s="4016"/>
      <c r="J8" s="4016"/>
      <c r="K8" s="4016"/>
      <c r="L8" s="4016"/>
      <c r="M8" s="4016"/>
      <c r="N8" s="4016"/>
      <c r="O8" s="4016"/>
      <c r="P8" s="4016"/>
      <c r="Q8" s="4016"/>
      <c r="R8" s="4016"/>
      <c r="S8" s="4016"/>
      <c r="T8" s="4016"/>
      <c r="U8" s="4016"/>
      <c r="V8" s="4016"/>
      <c r="W8" s="4016"/>
      <c r="X8" s="4016"/>
      <c r="Y8" s="4016"/>
      <c r="Z8" s="4016"/>
      <c r="AA8" s="4016"/>
      <c r="AB8" s="4016"/>
      <c r="AC8" s="4016"/>
      <c r="AD8" s="4016"/>
      <c r="AE8" s="4016"/>
      <c r="AF8" s="4016"/>
      <c r="AG8" s="4016"/>
      <c r="AH8" s="4016"/>
      <c r="AI8" s="4016"/>
      <c r="AJ8" s="4016"/>
      <c r="AK8" s="4017"/>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3868" t="s">
        <v>924</v>
      </c>
      <c r="G9" s="3954" t="s">
        <v>925</v>
      </c>
      <c r="H9" s="4013"/>
      <c r="I9" s="3778" t="s">
        <v>926</v>
      </c>
      <c r="J9" s="3778"/>
      <c r="K9" s="3778" t="s">
        <v>927</v>
      </c>
      <c r="L9" s="3778"/>
      <c r="M9" s="3778"/>
      <c r="N9" s="3778"/>
      <c r="O9" s="3778"/>
      <c r="P9" s="3778"/>
      <c r="Q9" s="3778"/>
      <c r="R9" s="3778"/>
      <c r="S9" s="3778"/>
      <c r="T9" s="3778"/>
      <c r="U9" s="3778"/>
      <c r="V9" s="3778"/>
      <c r="W9" s="3778"/>
      <c r="X9" s="3778"/>
      <c r="Y9" s="3778"/>
      <c r="Z9" s="3853" t="s">
        <v>928</v>
      </c>
      <c r="AA9" s="3854"/>
      <c r="AB9" s="3778" t="s">
        <v>929</v>
      </c>
      <c r="AC9" s="3778"/>
      <c r="AD9" s="3778"/>
      <c r="AE9" s="3778"/>
      <c r="AF9" s="3838" t="s">
        <v>930</v>
      </c>
      <c r="AG9" s="3778" t="s">
        <v>931</v>
      </c>
      <c r="AH9" s="3778"/>
      <c r="AI9" s="3838" t="s">
        <v>932</v>
      </c>
      <c r="AJ9" s="3778" t="s">
        <v>933</v>
      </c>
      <c r="AK9" s="3778"/>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3868"/>
      <c r="G10" s="3955"/>
      <c r="H10" s="3869"/>
      <c r="I10" s="3778"/>
      <c r="J10" s="3778"/>
      <c r="K10" s="3778" t="s">
        <v>934</v>
      </c>
      <c r="L10" s="3749" t="s">
        <v>935</v>
      </c>
      <c r="M10" s="3748"/>
      <c r="N10" s="3778" t="s">
        <v>936</v>
      </c>
      <c r="O10" s="3778"/>
      <c r="P10" s="3778"/>
      <c r="Q10" s="3778"/>
      <c r="R10" s="3778"/>
      <c r="S10" s="3778"/>
      <c r="T10" s="3778"/>
      <c r="U10" s="3778"/>
      <c r="V10" s="3778"/>
      <c r="W10" s="3778"/>
      <c r="X10" s="3778"/>
      <c r="Y10" s="3778"/>
      <c r="Z10" s="3855"/>
      <c r="AA10" s="3856"/>
      <c r="AB10" s="3778"/>
      <c r="AC10" s="3778"/>
      <c r="AD10" s="3778"/>
      <c r="AE10" s="3778"/>
      <c r="AF10" s="3857"/>
      <c r="AG10" s="3778"/>
      <c r="AH10" s="3778"/>
      <c r="AI10" s="3857"/>
      <c r="AJ10" s="3778"/>
      <c r="AK10" s="3778"/>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3868"/>
      <c r="G11" s="3955"/>
      <c r="H11" s="3869"/>
      <c r="I11" s="3778"/>
      <c r="J11" s="3778"/>
      <c r="K11" s="3778"/>
      <c r="L11" s="3838" t="s">
        <v>937</v>
      </c>
      <c r="M11" s="3838" t="s">
        <v>938</v>
      </c>
      <c r="N11" s="3778" t="s">
        <v>939</v>
      </c>
      <c r="O11" s="3778"/>
      <c r="P11" s="3806" t="s">
        <v>920</v>
      </c>
      <c r="Q11" s="3806" t="s">
        <v>940</v>
      </c>
      <c r="R11" s="3806" t="s">
        <v>941</v>
      </c>
      <c r="S11" s="3806" t="s">
        <v>942</v>
      </c>
      <c r="T11" s="3806"/>
      <c r="U11" s="3806"/>
      <c r="V11" s="3806"/>
      <c r="W11" s="3806"/>
      <c r="X11" s="3806"/>
      <c r="Y11" s="3806"/>
      <c r="Z11" s="3855"/>
      <c r="AA11" s="3856"/>
      <c r="AB11" s="3778" t="s">
        <v>943</v>
      </c>
      <c r="AC11" s="3778"/>
      <c r="AD11" s="3749" t="s">
        <v>944</v>
      </c>
      <c r="AE11" s="3748"/>
      <c r="AF11" s="3857"/>
      <c r="AG11" s="3778"/>
      <c r="AH11" s="3778"/>
      <c r="AI11" s="3857"/>
      <c r="AJ11" s="3778"/>
      <c r="AK11" s="3778"/>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3868"/>
      <c r="G12" s="3956"/>
      <c r="H12" s="4014"/>
      <c r="I12" s="1058" t="s">
        <v>87</v>
      </c>
      <c r="J12" s="1058" t="s">
        <v>945</v>
      </c>
      <c r="K12" s="3778"/>
      <c r="L12" s="3887"/>
      <c r="M12" s="3887"/>
      <c r="N12" s="3778"/>
      <c r="O12" s="3778"/>
      <c r="P12" s="3806"/>
      <c r="Q12" s="3806"/>
      <c r="R12" s="3806"/>
      <c r="S12" s="1041" t="s">
        <v>84</v>
      </c>
      <c r="T12" s="1041" t="s">
        <v>85</v>
      </c>
      <c r="U12" s="1041" t="s">
        <v>83</v>
      </c>
      <c r="V12" s="1041" t="s">
        <v>946</v>
      </c>
      <c r="W12" s="1041" t="s">
        <v>83</v>
      </c>
      <c r="X12" s="1041" t="s">
        <v>947</v>
      </c>
      <c r="Y12" s="1041" t="s">
        <v>948</v>
      </c>
      <c r="Z12" s="3858"/>
      <c r="AA12" s="3859"/>
      <c r="AB12" s="1047" t="s">
        <v>949</v>
      </c>
      <c r="AC12" s="1047" t="s">
        <v>950</v>
      </c>
      <c r="AD12" s="1047" t="s">
        <v>949</v>
      </c>
      <c r="AE12" s="1047" t="s">
        <v>950</v>
      </c>
      <c r="AF12" s="3887"/>
      <c r="AG12" s="1059" t="s">
        <v>951</v>
      </c>
      <c r="AH12" s="1059" t="s">
        <v>952</v>
      </c>
      <c r="AI12" s="3887"/>
      <c r="AJ12" s="1059" t="s">
        <v>951</v>
      </c>
      <c r="AK12" s="1059" t="s">
        <v>952</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953</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4012"/>
      <c r="G17" s="4012"/>
      <c r="H17" s="4012"/>
      <c r="I17" s="4012"/>
      <c r="J17" s="4012"/>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4012"/>
      <c r="G18" s="4012"/>
      <c r="H18" s="4012"/>
      <c r="I18" s="4012"/>
      <c r="J18" s="4012"/>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4012"/>
      <c r="G19" s="4012"/>
      <c r="H19" s="4012"/>
      <c r="I19" s="4012"/>
      <c r="J19" s="4012"/>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389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892"/>
      <c r="H5" s="3892"/>
      <c r="I5" s="3892"/>
      <c r="J5" s="3892"/>
    </row>
    <row r="6" spans="1:22" ht="10.5" customHeight="1">
      <c r="F6" s="3839" t="str">
        <f>IF(org=0,"Не определено",org)</f>
        <v>ГУП СК "Ставрополькрайводоканал"</v>
      </c>
      <c r="G6" s="3839"/>
      <c r="H6" s="3839"/>
      <c r="I6" s="3839"/>
      <c r="J6" s="3839"/>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4018" t="s">
        <v>329</v>
      </c>
      <c r="G9" s="4019"/>
      <c r="H9" s="4019"/>
      <c r="I9" s="4019"/>
      <c r="J9" s="4019"/>
      <c r="K9" s="1154"/>
      <c r="L9" s="1062"/>
      <c r="M9" s="1062"/>
      <c r="N9" s="1062"/>
      <c r="O9" s="1062"/>
      <c r="P9" s="1062"/>
      <c r="Q9" s="1062"/>
      <c r="R9" s="1062"/>
      <c r="S9" s="1062"/>
      <c r="T9" s="1062"/>
      <c r="U9" s="1062"/>
      <c r="V9" s="1062"/>
    </row>
    <row r="10" spans="1:22" ht="24" customHeight="1">
      <c r="E10" s="1062"/>
      <c r="F10" s="4022" t="s">
        <v>86</v>
      </c>
      <c r="G10" s="4026" t="s">
        <v>954</v>
      </c>
      <c r="H10" s="4008" t="s">
        <v>955</v>
      </c>
      <c r="I10" s="4008"/>
      <c r="J10" s="4008"/>
      <c r="K10" s="1147"/>
      <c r="L10" s="1062"/>
      <c r="M10" s="1062"/>
      <c r="N10" s="1062"/>
      <c r="O10" s="1062"/>
      <c r="P10" s="1062"/>
      <c r="Q10" s="1062"/>
      <c r="R10" s="1062"/>
      <c r="S10" s="1062"/>
      <c r="T10" s="1062"/>
      <c r="U10" s="1062"/>
      <c r="V10" s="1062"/>
    </row>
    <row r="11" spans="1:22" ht="24" customHeight="1">
      <c r="E11" s="1062"/>
      <c r="F11" s="4023"/>
      <c r="G11" s="4026"/>
      <c r="H11" s="4025" t="e">
        <f>INDEX(IP_MAIN_LIST_NAME_IP,MATCH(H8,IP_MAIN_LIST_IP_ID,0))&amp;" ("&amp;INDEX(IP_MAIN_START_DATE,MATCH(H8,IP_MAIN_LIST_IP_ID,0))&amp;"-"&amp;INDEX(IP_MAIN_END_DATE,MATCH(H8,IP_MAIN_LIST_IP_ID,0))&amp;")"</f>
        <v>#N/A</v>
      </c>
      <c r="I11" s="4025"/>
      <c r="J11" s="4025"/>
      <c r="K11" s="1147"/>
      <c r="L11" s="1062"/>
      <c r="M11" s="1062"/>
      <c r="N11" s="1062"/>
      <c r="O11" s="1062"/>
      <c r="P11" s="1062"/>
      <c r="Q11" s="1062"/>
      <c r="R11" s="1062"/>
      <c r="S11" s="1062"/>
      <c r="T11" s="1062"/>
      <c r="U11" s="1062"/>
      <c r="V11" s="1062"/>
    </row>
    <row r="12" spans="1:22" ht="10.5" customHeight="1">
      <c r="F12" s="4024"/>
      <c r="G12" s="4026"/>
      <c r="H12" s="1140" t="s">
        <v>956</v>
      </c>
      <c r="I12" s="1146"/>
      <c r="J12" s="1140"/>
      <c r="K12" s="1148"/>
    </row>
    <row r="13" spans="1:22" ht="10.5" hidden="1" customHeight="1">
      <c r="F13" s="1140">
        <v>1</v>
      </c>
      <c r="G13" s="1140">
        <v>2</v>
      </c>
      <c r="H13" s="1140">
        <v>3</v>
      </c>
      <c r="I13" s="1140">
        <v>4</v>
      </c>
      <c r="J13" s="1140">
        <v>5</v>
      </c>
      <c r="K13" s="1148"/>
    </row>
    <row r="14" spans="1:22" ht="11.25" customHeight="1">
      <c r="F14" s="1139" t="s">
        <v>957</v>
      </c>
      <c r="G14" s="4020" t="s">
        <v>958</v>
      </c>
      <c r="H14" s="4020"/>
      <c r="I14" s="4020"/>
      <c r="J14" s="4020"/>
      <c r="K14" s="1148"/>
    </row>
    <row r="15" spans="1:22" ht="11.25" customHeight="1">
      <c r="F15" s="1144">
        <v>1</v>
      </c>
      <c r="G15" s="608" t="s">
        <v>959</v>
      </c>
      <c r="H15" s="1150">
        <f t="shared" ref="H15:H36" si="0">SUM(I15:J15)</f>
        <v>0</v>
      </c>
      <c r="I15" s="1150">
        <f>SUM(I16:I27)</f>
        <v>0</v>
      </c>
      <c r="J15" s="1139"/>
      <c r="K15" s="1148"/>
    </row>
    <row r="16" spans="1:22" ht="22.5" customHeight="1">
      <c r="F16" s="1144" t="s">
        <v>960</v>
      </c>
      <c r="G16" s="1151" t="s">
        <v>961</v>
      </c>
      <c r="H16" s="1150">
        <f t="shared" si="0"/>
        <v>0</v>
      </c>
      <c r="I16" s="1149"/>
      <c r="J16" s="1139"/>
      <c r="K16" s="1148"/>
    </row>
    <row r="17" spans="6:11" ht="22.5" customHeight="1">
      <c r="F17" s="1144" t="s">
        <v>962</v>
      </c>
      <c r="G17" s="1151" t="s">
        <v>963</v>
      </c>
      <c r="H17" s="1150">
        <f t="shared" si="0"/>
        <v>0</v>
      </c>
      <c r="I17" s="1149"/>
      <c r="J17" s="1139"/>
      <c r="K17" s="1148"/>
    </row>
    <row r="18" spans="6:11" ht="33.75" customHeight="1">
      <c r="F18" s="1144" t="s">
        <v>964</v>
      </c>
      <c r="G18" s="1151" t="s">
        <v>965</v>
      </c>
      <c r="H18" s="1150">
        <f t="shared" si="0"/>
        <v>0</v>
      </c>
      <c r="I18" s="1149"/>
      <c r="J18" s="1139"/>
      <c r="K18" s="1148"/>
    </row>
    <row r="19" spans="6:11" ht="33.75" customHeight="1">
      <c r="F19" s="1144" t="s">
        <v>966</v>
      </c>
      <c r="G19" s="1151" t="s">
        <v>967</v>
      </c>
      <c r="H19" s="1150">
        <f t="shared" si="0"/>
        <v>0</v>
      </c>
      <c r="I19" s="1149"/>
      <c r="J19" s="1139"/>
      <c r="K19" s="1148"/>
    </row>
    <row r="20" spans="6:11" ht="45" customHeight="1">
      <c r="F20" s="1144" t="s">
        <v>968</v>
      </c>
      <c r="G20" s="1151" t="s">
        <v>969</v>
      </c>
      <c r="H20" s="1150">
        <f t="shared" si="0"/>
        <v>0</v>
      </c>
      <c r="I20" s="1149"/>
      <c r="J20" s="1139"/>
      <c r="K20" s="1148"/>
    </row>
    <row r="21" spans="6:11" ht="33.75" customHeight="1">
      <c r="F21" s="1144" t="s">
        <v>970</v>
      </c>
      <c r="G21" s="1151" t="s">
        <v>971</v>
      </c>
      <c r="H21" s="1150">
        <f t="shared" si="0"/>
        <v>0</v>
      </c>
      <c r="I21" s="1149"/>
      <c r="J21" s="1139"/>
      <c r="K21" s="1148"/>
    </row>
    <row r="22" spans="6:11" ht="33.75" customHeight="1">
      <c r="F22" s="1144" t="s">
        <v>972</v>
      </c>
      <c r="G22" s="1151" t="s">
        <v>973</v>
      </c>
      <c r="H22" s="1150">
        <f t="shared" si="0"/>
        <v>0</v>
      </c>
      <c r="I22" s="1149"/>
      <c r="J22" s="1139"/>
      <c r="K22" s="1148"/>
    </row>
    <row r="23" spans="6:11" ht="22.5" customHeight="1">
      <c r="F23" s="1144" t="s">
        <v>974</v>
      </c>
      <c r="G23" s="1151" t="s">
        <v>975</v>
      </c>
      <c r="H23" s="1150">
        <f t="shared" si="0"/>
        <v>0</v>
      </c>
      <c r="I23" s="1149"/>
      <c r="J23" s="1139"/>
      <c r="K23" s="1148"/>
    </row>
    <row r="24" spans="6:11" ht="22.5" customHeight="1">
      <c r="F24" s="1144" t="s">
        <v>976</v>
      </c>
      <c r="G24" s="1151" t="s">
        <v>977</v>
      </c>
      <c r="H24" s="1150">
        <f t="shared" si="0"/>
        <v>0</v>
      </c>
      <c r="I24" s="1149"/>
      <c r="J24" s="1139"/>
      <c r="K24" s="1148"/>
    </row>
    <row r="25" spans="6:11" ht="33.75" customHeight="1">
      <c r="F25" s="1144" t="s">
        <v>978</v>
      </c>
      <c r="G25" s="1151" t="s">
        <v>979</v>
      </c>
      <c r="H25" s="1150">
        <f t="shared" si="0"/>
        <v>0</v>
      </c>
      <c r="I25" s="1149"/>
      <c r="J25" s="1139"/>
      <c r="K25" s="1148"/>
    </row>
    <row r="26" spans="6:11" ht="33.75" customHeight="1">
      <c r="F26" s="1144" t="s">
        <v>980</v>
      </c>
      <c r="G26" s="1151" t="s">
        <v>981</v>
      </c>
      <c r="H26" s="1150">
        <f t="shared" si="0"/>
        <v>0</v>
      </c>
      <c r="I26" s="1149"/>
      <c r="J26" s="1139"/>
      <c r="K26" s="1148"/>
    </row>
    <row r="27" spans="6:11" ht="11.25" customHeight="1">
      <c r="F27" s="1144" t="s">
        <v>982</v>
      </c>
      <c r="G27" s="1151" t="s">
        <v>983</v>
      </c>
      <c r="H27" s="1150">
        <f t="shared" si="0"/>
        <v>0</v>
      </c>
      <c r="I27" s="1149"/>
      <c r="J27" s="1139"/>
      <c r="K27" s="1148"/>
    </row>
    <row r="28" spans="6:11" ht="11.25" customHeight="1">
      <c r="F28" s="1144">
        <v>2</v>
      </c>
      <c r="G28" s="608" t="s">
        <v>984</v>
      </c>
      <c r="H28" s="1150">
        <f t="shared" si="0"/>
        <v>0</v>
      </c>
      <c r="I28" s="1150">
        <f>SUM(I29:I31)</f>
        <v>0</v>
      </c>
      <c r="J28" s="1139"/>
      <c r="K28" s="1148"/>
    </row>
    <row r="29" spans="6:11" ht="11.25" customHeight="1">
      <c r="F29" s="1144" t="s">
        <v>646</v>
      </c>
      <c r="G29" s="1151" t="s">
        <v>985</v>
      </c>
      <c r="H29" s="1150">
        <f t="shared" si="0"/>
        <v>0</v>
      </c>
      <c r="I29" s="1149"/>
      <c r="J29" s="1139"/>
      <c r="K29" s="1148"/>
    </row>
    <row r="30" spans="6:11" ht="11.25" customHeight="1">
      <c r="F30" s="1144" t="s">
        <v>336</v>
      </c>
      <c r="G30" s="1151" t="s">
        <v>986</v>
      </c>
      <c r="H30" s="1150">
        <f t="shared" si="0"/>
        <v>0</v>
      </c>
      <c r="I30" s="1149"/>
      <c r="J30" s="1139"/>
      <c r="K30" s="1148"/>
    </row>
    <row r="31" spans="6:11" ht="11.25" customHeight="1">
      <c r="F31" s="1144" t="s">
        <v>339</v>
      </c>
      <c r="G31" s="1151" t="s">
        <v>987</v>
      </c>
      <c r="H31" s="1150">
        <f t="shared" si="0"/>
        <v>0</v>
      </c>
      <c r="I31" s="1149"/>
      <c r="J31" s="1139"/>
      <c r="K31" s="1148"/>
    </row>
    <row r="32" spans="6:11" ht="11.25" customHeight="1">
      <c r="F32" s="1144">
        <v>3</v>
      </c>
      <c r="G32" s="608" t="s">
        <v>988</v>
      </c>
      <c r="H32" s="1150">
        <f t="shared" si="0"/>
        <v>0</v>
      </c>
      <c r="I32" s="1150">
        <f>SUM(I33:I34)</f>
        <v>0</v>
      </c>
      <c r="J32" s="1139"/>
      <c r="K32" s="1148"/>
    </row>
    <row r="33" spans="6:11" ht="33.75" customHeight="1">
      <c r="F33" s="1144" t="s">
        <v>355</v>
      </c>
      <c r="G33" s="1151" t="s">
        <v>989</v>
      </c>
      <c r="H33" s="1150">
        <f t="shared" si="0"/>
        <v>0</v>
      </c>
      <c r="I33" s="1149"/>
      <c r="J33" s="1139"/>
      <c r="K33" s="1148"/>
    </row>
    <row r="34" spans="6:11" ht="11.25" customHeight="1">
      <c r="F34" s="1144" t="s">
        <v>363</v>
      </c>
      <c r="G34" s="1151" t="s">
        <v>990</v>
      </c>
      <c r="H34" s="1150">
        <f t="shared" si="0"/>
        <v>0</v>
      </c>
      <c r="I34" s="1149"/>
      <c r="J34" s="1139"/>
      <c r="K34" s="1148"/>
    </row>
    <row r="35" spans="6:11" ht="11.25" customHeight="1">
      <c r="F35" s="1144">
        <v>4</v>
      </c>
      <c r="G35" s="608" t="s">
        <v>991</v>
      </c>
      <c r="H35" s="1150">
        <f t="shared" si="0"/>
        <v>0</v>
      </c>
      <c r="I35" s="1149"/>
      <c r="J35" s="1139"/>
      <c r="K35" s="1148"/>
    </row>
    <row r="36" spans="6:11" ht="11.25" customHeight="1">
      <c r="F36" s="1144"/>
      <c r="G36" s="611" t="s">
        <v>992</v>
      </c>
      <c r="H36" s="1150">
        <f t="shared" si="0"/>
        <v>0</v>
      </c>
      <c r="I36" s="1150">
        <f>SUM(I15,I28,I32,I35)</f>
        <v>0</v>
      </c>
      <c r="J36" s="1139"/>
      <c r="K36" s="1148"/>
    </row>
    <row r="37" spans="6:11" ht="27.75" customHeight="1">
      <c r="F37" s="1145" t="s">
        <v>993</v>
      </c>
      <c r="G37" s="4021" t="s">
        <v>994</v>
      </c>
      <c r="H37" s="4021"/>
      <c r="I37" s="4021"/>
      <c r="J37" s="4021"/>
      <c r="K37" s="1148"/>
    </row>
    <row r="38" spans="6:11" ht="22.5" customHeight="1">
      <c r="F38" s="1144" t="s">
        <v>129</v>
      </c>
      <c r="G38" s="608" t="s">
        <v>995</v>
      </c>
      <c r="H38" s="1150">
        <f t="shared" ref="H38:H58" si="1">SUM(I38:J38)</f>
        <v>0</v>
      </c>
      <c r="I38" s="1150">
        <f>SUM(I39,I44,I47)</f>
        <v>0</v>
      </c>
      <c r="J38" s="1139"/>
      <c r="K38" s="1148"/>
    </row>
    <row r="39" spans="6:11" ht="11.25" customHeight="1">
      <c r="F39" s="1144" t="s">
        <v>960</v>
      </c>
      <c r="G39" s="1151" t="s">
        <v>959</v>
      </c>
      <c r="H39" s="1150">
        <f t="shared" si="1"/>
        <v>0</v>
      </c>
      <c r="I39" s="1150">
        <f>SUM(I40:I43)</f>
        <v>0</v>
      </c>
      <c r="J39" s="1139"/>
      <c r="K39" s="1148"/>
    </row>
    <row r="40" spans="6:11" ht="22.5" customHeight="1">
      <c r="F40" s="1144" t="s">
        <v>996</v>
      </c>
      <c r="G40" s="1152" t="s">
        <v>997</v>
      </c>
      <c r="H40" s="1150">
        <f t="shared" si="1"/>
        <v>0</v>
      </c>
      <c r="I40" s="1149"/>
      <c r="J40" s="1139"/>
      <c r="K40" s="1148"/>
    </row>
    <row r="41" spans="6:11" ht="11.25" customHeight="1">
      <c r="F41" s="1144" t="s">
        <v>998</v>
      </c>
      <c r="G41" s="1152" t="s">
        <v>999</v>
      </c>
      <c r="H41" s="1150">
        <f t="shared" si="1"/>
        <v>0</v>
      </c>
      <c r="I41" s="1149"/>
      <c r="J41" s="1139"/>
      <c r="K41" s="1148"/>
    </row>
    <row r="42" spans="6:11" ht="11.25" customHeight="1">
      <c r="F42" s="1144" t="s">
        <v>1000</v>
      </c>
      <c r="G42" s="1152" t="s">
        <v>1001</v>
      </c>
      <c r="H42" s="1150">
        <f t="shared" si="1"/>
        <v>0</v>
      </c>
      <c r="I42" s="1149"/>
      <c r="J42" s="1139"/>
      <c r="K42" s="1148"/>
    </row>
    <row r="43" spans="6:11" ht="33.75" customHeight="1">
      <c r="F43" s="1144" t="s">
        <v>1002</v>
      </c>
      <c r="G43" s="1152" t="s">
        <v>1003</v>
      </c>
      <c r="H43" s="1150">
        <f t="shared" si="1"/>
        <v>0</v>
      </c>
      <c r="I43" s="1149"/>
      <c r="J43" s="1139"/>
      <c r="K43" s="1148"/>
    </row>
    <row r="44" spans="6:11" ht="11.25" customHeight="1">
      <c r="F44" s="1144" t="s">
        <v>962</v>
      </c>
      <c r="G44" s="1151" t="s">
        <v>988</v>
      </c>
      <c r="H44" s="1150">
        <f t="shared" si="1"/>
        <v>0</v>
      </c>
      <c r="I44" s="1150">
        <f>SUM(I45:I46)</f>
        <v>0</v>
      </c>
      <c r="J44" s="1139"/>
      <c r="K44" s="1148"/>
    </row>
    <row r="45" spans="6:11" ht="45" customHeight="1">
      <c r="F45" s="1144" t="s">
        <v>1004</v>
      </c>
      <c r="G45" s="1152" t="s">
        <v>989</v>
      </c>
      <c r="H45" s="1150">
        <f t="shared" si="1"/>
        <v>0</v>
      </c>
      <c r="I45" s="1149"/>
      <c r="J45" s="1139"/>
      <c r="K45" s="1148"/>
    </row>
    <row r="46" spans="6:11" ht="11.25" customHeight="1">
      <c r="F46" s="1144" t="s">
        <v>1005</v>
      </c>
      <c r="G46" s="1152" t="s">
        <v>990</v>
      </c>
      <c r="H46" s="1150">
        <f t="shared" si="1"/>
        <v>0</v>
      </c>
      <c r="I46" s="1149"/>
      <c r="J46" s="1139"/>
      <c r="K46" s="1148"/>
    </row>
    <row r="47" spans="6:11" ht="11.25" customHeight="1">
      <c r="F47" s="1144" t="s">
        <v>964</v>
      </c>
      <c r="G47" s="1151" t="s">
        <v>1006</v>
      </c>
      <c r="H47" s="1150">
        <f t="shared" si="1"/>
        <v>0</v>
      </c>
      <c r="I47" s="1149"/>
      <c r="J47" s="1139"/>
      <c r="K47" s="1148"/>
    </row>
    <row r="48" spans="6:11" ht="22.5" customHeight="1">
      <c r="F48" s="1144" t="s">
        <v>102</v>
      </c>
      <c r="G48" s="608" t="s">
        <v>1007</v>
      </c>
      <c r="H48" s="1150">
        <f t="shared" si="1"/>
        <v>0</v>
      </c>
      <c r="I48" s="1150">
        <f>SUM(I49,I54,I57)</f>
        <v>0</v>
      </c>
      <c r="J48" s="1139"/>
      <c r="K48" s="1148"/>
    </row>
    <row r="49" spans="6:11" ht="11.25" customHeight="1">
      <c r="F49" s="1144" t="s">
        <v>646</v>
      </c>
      <c r="G49" s="1151" t="s">
        <v>959</v>
      </c>
      <c r="H49" s="1150">
        <f t="shared" si="1"/>
        <v>0</v>
      </c>
      <c r="I49" s="1150">
        <f>SUM(I50:I53)</f>
        <v>0</v>
      </c>
      <c r="J49" s="1139"/>
      <c r="K49" s="1148"/>
    </row>
    <row r="50" spans="6:11" ht="22.5" customHeight="1">
      <c r="F50" s="1144" t="s">
        <v>649</v>
      </c>
      <c r="G50" s="1152" t="s">
        <v>997</v>
      </c>
      <c r="H50" s="1150">
        <f t="shared" si="1"/>
        <v>0</v>
      </c>
      <c r="I50" s="1149"/>
      <c r="J50" s="1139"/>
      <c r="K50" s="1148"/>
    </row>
    <row r="51" spans="6:11" ht="11.25" customHeight="1">
      <c r="F51" s="1144" t="s">
        <v>652</v>
      </c>
      <c r="G51" s="1152" t="s">
        <v>999</v>
      </c>
      <c r="H51" s="1150">
        <f t="shared" si="1"/>
        <v>0</v>
      </c>
      <c r="I51" s="1149"/>
      <c r="J51" s="1139"/>
      <c r="K51" s="1148"/>
    </row>
    <row r="52" spans="6:11" ht="11.25" customHeight="1">
      <c r="F52" s="1144" t="s">
        <v>1008</v>
      </c>
      <c r="G52" s="1152" t="s">
        <v>1001</v>
      </c>
      <c r="H52" s="1150">
        <f t="shared" si="1"/>
        <v>0</v>
      </c>
      <c r="I52" s="1149"/>
      <c r="J52" s="1139"/>
      <c r="K52" s="1148"/>
    </row>
    <row r="53" spans="6:11" ht="33.75" customHeight="1">
      <c r="F53" s="1144" t="s">
        <v>1009</v>
      </c>
      <c r="G53" s="1152" t="s">
        <v>1003</v>
      </c>
      <c r="H53" s="1150">
        <f t="shared" si="1"/>
        <v>0</v>
      </c>
      <c r="I53" s="1149"/>
      <c r="J53" s="1139"/>
      <c r="K53" s="1148"/>
    </row>
    <row r="54" spans="6:11" ht="11.25" customHeight="1">
      <c r="F54" s="1144" t="s">
        <v>336</v>
      </c>
      <c r="G54" s="1151" t="s">
        <v>988</v>
      </c>
      <c r="H54" s="1150">
        <f t="shared" si="1"/>
        <v>0</v>
      </c>
      <c r="I54" s="1150">
        <f>SUM(I55:I56)</f>
        <v>0</v>
      </c>
      <c r="J54" s="1139"/>
      <c r="K54" s="1148"/>
    </row>
    <row r="55" spans="6:11" ht="45" customHeight="1">
      <c r="F55" s="1144" t="s">
        <v>656</v>
      </c>
      <c r="G55" s="1152" t="s">
        <v>989</v>
      </c>
      <c r="H55" s="1150">
        <f t="shared" si="1"/>
        <v>0</v>
      </c>
      <c r="I55" s="1149"/>
      <c r="J55" s="1139"/>
      <c r="K55" s="1148"/>
    </row>
    <row r="56" spans="6:11" ht="11.25" customHeight="1">
      <c r="F56" s="1144" t="s">
        <v>658</v>
      </c>
      <c r="G56" s="1152" t="s">
        <v>990</v>
      </c>
      <c r="H56" s="1150">
        <f t="shared" si="1"/>
        <v>0</v>
      </c>
      <c r="I56" s="1149"/>
      <c r="J56" s="1139"/>
      <c r="K56" s="1148"/>
    </row>
    <row r="57" spans="6:11" ht="11.25" customHeight="1">
      <c r="F57" s="1144" t="s">
        <v>339</v>
      </c>
      <c r="G57" s="1151" t="s">
        <v>1006</v>
      </c>
      <c r="H57" s="1150">
        <f t="shared" si="1"/>
        <v>0</v>
      </c>
      <c r="I57" s="1149"/>
      <c r="J57" s="1139"/>
      <c r="K57" s="1148"/>
    </row>
    <row r="58" spans="6:11" ht="11.25" customHeight="1">
      <c r="F58" s="1144"/>
      <c r="G58" s="1153" t="s">
        <v>992</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402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3823"/>
      <c r="H5" s="3823"/>
      <c r="I5" s="3823"/>
      <c r="J5" s="3823"/>
      <c r="K5" s="3823"/>
      <c r="L5" s="3823"/>
      <c r="M5" s="3823"/>
      <c r="N5" s="3823"/>
      <c r="O5" s="3823"/>
      <c r="P5" s="3823"/>
      <c r="Q5" s="3823"/>
      <c r="R5" s="3823"/>
      <c r="S5" s="3823"/>
      <c r="T5" s="3823"/>
      <c r="U5" s="3823"/>
      <c r="V5" s="3823"/>
      <c r="W5" s="3823"/>
      <c r="X5" s="3823"/>
      <c r="Y5" s="3823"/>
      <c r="Z5" s="3823"/>
      <c r="AA5" s="3823"/>
      <c r="AB5" s="3823"/>
      <c r="AC5" s="3823"/>
      <c r="AD5" s="3823"/>
      <c r="AE5" s="3823"/>
      <c r="AF5" s="3823"/>
      <c r="AG5" s="3823"/>
      <c r="AH5" s="3823"/>
      <c r="AI5" s="3823"/>
      <c r="AJ5" s="3823"/>
      <c r="AK5" s="3823"/>
      <c r="AL5" s="3823"/>
      <c r="AM5" s="3823"/>
      <c r="AN5" s="3823"/>
      <c r="AO5" s="3823"/>
      <c r="AP5" s="3823"/>
      <c r="AQ5" s="3823"/>
      <c r="AR5" s="3823"/>
      <c r="AS5" s="3823"/>
      <c r="AT5" s="3823"/>
      <c r="AU5" s="3823"/>
      <c r="AV5" s="3823"/>
      <c r="AW5" s="3823"/>
      <c r="AX5" s="3823"/>
      <c r="AY5" s="3823"/>
      <c r="AZ5" s="3823"/>
      <c r="BA5" s="3823"/>
      <c r="BB5" s="3823"/>
      <c r="BC5" s="3823"/>
      <c r="BD5" s="3823"/>
      <c r="BE5" s="3823"/>
      <c r="BF5" s="3823"/>
      <c r="BG5" s="3823"/>
      <c r="BH5" s="3823"/>
      <c r="BI5" s="3823"/>
      <c r="BJ5" s="3823"/>
      <c r="BK5" s="3823"/>
      <c r="BL5" s="3823"/>
      <c r="BM5" s="3823"/>
      <c r="BN5" s="3823"/>
      <c r="BO5" s="3823"/>
      <c r="BP5" s="3823"/>
      <c r="BQ5" s="3823"/>
      <c r="BR5" s="3823"/>
      <c r="BS5" s="3823"/>
    </row>
    <row r="6" spans="2:180" s="1808" customFormat="1" ht="18" customHeight="1">
      <c r="B6" s="855"/>
      <c r="E6" s="856"/>
      <c r="F6" s="3873" t="str">
        <f>IF(org=0,"Не определено",org)</f>
        <v>ГУП СК "Ставрополькрайводоканал"</v>
      </c>
      <c r="G6" s="3874"/>
      <c r="H6" s="3874"/>
      <c r="I6" s="3874"/>
      <c r="J6" s="3874"/>
      <c r="K6" s="3874"/>
      <c r="L6" s="3874"/>
      <c r="M6" s="3874"/>
      <c r="N6" s="3874"/>
      <c r="O6" s="3874"/>
      <c r="P6" s="3874"/>
      <c r="Q6" s="3874"/>
      <c r="R6" s="3874"/>
      <c r="S6" s="3874"/>
      <c r="T6" s="3874"/>
      <c r="U6" s="3874"/>
      <c r="V6" s="3874"/>
      <c r="W6" s="3874"/>
      <c r="X6" s="3874"/>
      <c r="Y6" s="3874"/>
      <c r="Z6" s="3874"/>
      <c r="AA6" s="3874"/>
      <c r="AB6" s="3874"/>
      <c r="AC6" s="3874"/>
      <c r="AD6" s="3874"/>
      <c r="AE6" s="3874"/>
      <c r="AF6" s="3874"/>
      <c r="AG6" s="3874"/>
      <c r="AH6" s="3874"/>
      <c r="AI6" s="3874"/>
      <c r="AJ6" s="3874"/>
      <c r="AK6" s="3874"/>
      <c r="AL6" s="3874"/>
      <c r="AM6" s="3874"/>
      <c r="AN6" s="3874"/>
      <c r="AO6" s="3874"/>
      <c r="AP6" s="3874"/>
      <c r="AQ6" s="3874"/>
      <c r="AR6" s="3874"/>
      <c r="AS6" s="3874"/>
      <c r="AT6" s="3874"/>
      <c r="AU6" s="3874"/>
      <c r="AV6" s="3874"/>
      <c r="AW6" s="3874"/>
      <c r="AX6" s="3874"/>
      <c r="AY6" s="3874"/>
      <c r="AZ6" s="3874"/>
      <c r="BA6" s="3874"/>
      <c r="BB6" s="3874"/>
      <c r="BC6" s="3874"/>
      <c r="BD6" s="3874"/>
      <c r="BE6" s="3874"/>
      <c r="BF6" s="3874"/>
      <c r="BG6" s="3874"/>
      <c r="BH6" s="3874"/>
      <c r="BI6" s="3874"/>
      <c r="BJ6" s="3874"/>
      <c r="BK6" s="3874"/>
      <c r="BL6" s="3874"/>
      <c r="BM6" s="3874"/>
      <c r="BN6" s="3874"/>
      <c r="BO6" s="3874"/>
      <c r="BP6" s="3874"/>
      <c r="BQ6" s="3874"/>
      <c r="BR6" s="3874"/>
      <c r="BS6" s="3874"/>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4047" t="s">
        <v>1010</v>
      </c>
      <c r="P8" s="4048"/>
      <c r="Q8" s="4048"/>
      <c r="R8" s="4048"/>
      <c r="S8" s="4048"/>
      <c r="T8" s="4048"/>
      <c r="U8" s="4048"/>
      <c r="V8" s="4048"/>
      <c r="W8" s="4048"/>
      <c r="X8" s="4048"/>
      <c r="Y8" s="4048"/>
      <c r="Z8" s="4048"/>
      <c r="AA8" s="4048"/>
      <c r="AB8" s="4048"/>
      <c r="AC8" s="4048"/>
      <c r="AD8" s="4048"/>
      <c r="AE8" s="4048"/>
      <c r="AF8" s="4048"/>
      <c r="AG8" s="4048"/>
      <c r="AH8" s="4048"/>
      <c r="AI8" s="4048"/>
      <c r="AJ8" s="4048"/>
      <c r="AK8" s="4048"/>
      <c r="AL8" s="4048"/>
      <c r="AM8" s="4048"/>
      <c r="AN8" s="4048"/>
      <c r="AO8" s="4048"/>
      <c r="AP8" s="4048"/>
      <c r="AQ8" s="4048"/>
      <c r="AR8" s="4048"/>
      <c r="AS8" s="4048"/>
      <c r="AT8" s="4048"/>
      <c r="AU8" s="4048"/>
      <c r="AV8" s="4048"/>
      <c r="AW8" s="4048"/>
      <c r="AX8" s="4048"/>
      <c r="AY8" s="4048"/>
      <c r="AZ8" s="4048"/>
      <c r="BA8" s="4048"/>
      <c r="BB8" s="4048"/>
      <c r="BC8" s="4048"/>
      <c r="BD8" s="4048"/>
      <c r="BE8" s="4048"/>
      <c r="BF8" s="4048"/>
      <c r="BG8" s="4048"/>
      <c r="BH8" s="4048"/>
      <c r="BI8" s="4048"/>
      <c r="BJ8" s="4048"/>
      <c r="BK8" s="4048"/>
      <c r="BL8" s="4048"/>
      <c r="BM8" s="4048"/>
      <c r="BN8" s="4048"/>
      <c r="BO8" s="4048"/>
      <c r="BP8" s="4048"/>
      <c r="BQ8" s="4048"/>
      <c r="BR8" s="4048"/>
      <c r="BS8" s="4049"/>
      <c r="BT8" s="4036"/>
      <c r="BU8" s="4037"/>
      <c r="BV8" s="4037"/>
      <c r="BW8" s="4037"/>
      <c r="BX8" s="4037"/>
      <c r="BY8" s="4037"/>
      <c r="BZ8" s="4037"/>
      <c r="CA8" s="4037"/>
      <c r="CB8" s="4037"/>
      <c r="CC8" s="4037"/>
      <c r="CD8" s="4037"/>
      <c r="CE8" s="4037"/>
      <c r="CF8" s="4037"/>
      <c r="CG8" s="4037"/>
      <c r="CH8" s="4037"/>
      <c r="CI8" s="4037"/>
      <c r="CJ8" s="4037"/>
      <c r="CK8" s="4037"/>
      <c r="CL8" s="4037"/>
      <c r="CM8" s="4037"/>
      <c r="CN8" s="4037"/>
      <c r="CO8" s="4037"/>
      <c r="CP8" s="4037"/>
      <c r="CQ8" s="4037"/>
      <c r="CR8" s="4037"/>
      <c r="CS8" s="4037"/>
      <c r="CT8" s="4037"/>
      <c r="CU8" s="4037"/>
      <c r="CV8" s="4037"/>
      <c r="CW8" s="4037"/>
      <c r="CX8" s="4038"/>
      <c r="CY8" s="4039"/>
      <c r="CZ8" s="4040"/>
      <c r="DA8" s="4040"/>
      <c r="DB8" s="4040"/>
      <c r="DC8" s="4040"/>
      <c r="DD8" s="4040"/>
      <c r="DE8" s="4040"/>
      <c r="DF8" s="4040"/>
      <c r="DG8" s="4040"/>
      <c r="DH8" s="4040"/>
      <c r="DI8" s="4040"/>
      <c r="DJ8" s="4040"/>
      <c r="DK8" s="4040"/>
      <c r="DL8" s="4040"/>
      <c r="DM8" s="4040"/>
      <c r="DN8" s="4040"/>
      <c r="DO8" s="4040"/>
      <c r="DP8" s="4040"/>
      <c r="DQ8" s="4040"/>
      <c r="DR8" s="4040"/>
      <c r="DS8" s="4040"/>
      <c r="DT8" s="4040"/>
      <c r="DU8" s="4040"/>
      <c r="DV8" s="4040"/>
      <c r="DW8" s="4040"/>
      <c r="DX8" s="4041"/>
      <c r="DY8" s="4042" t="s">
        <v>1011</v>
      </c>
      <c r="DZ8" s="4043"/>
      <c r="EA8" s="4043"/>
      <c r="EB8" s="4043"/>
      <c r="EC8" s="4043"/>
      <c r="ED8" s="4043"/>
      <c r="EE8" s="4043"/>
      <c r="EF8" s="4043"/>
      <c r="EG8" s="4043"/>
      <c r="EH8" s="4043"/>
      <c r="EI8" s="4043"/>
      <c r="EJ8" s="4043"/>
      <c r="EK8" s="4043"/>
      <c r="EL8" s="4043"/>
      <c r="EM8" s="4043"/>
      <c r="EN8" s="4043"/>
      <c r="EO8" s="4043"/>
      <c r="EP8" s="4043"/>
      <c r="EQ8" s="4043"/>
      <c r="ER8" s="4043"/>
      <c r="ES8" s="4043"/>
      <c r="ET8" s="4043"/>
      <c r="EU8" s="4043"/>
      <c r="EV8" s="4043"/>
      <c r="EW8" s="4043"/>
      <c r="EX8" s="4043"/>
      <c r="EY8" s="4043"/>
      <c r="EZ8" s="4043"/>
      <c r="FA8" s="4043"/>
      <c r="FB8" s="4043"/>
      <c r="FC8" s="4043"/>
      <c r="FD8" s="4043"/>
      <c r="FE8" s="4043"/>
      <c r="FF8" s="4043"/>
      <c r="FG8" s="4043"/>
      <c r="FH8" s="4043"/>
      <c r="FI8" s="4043"/>
      <c r="FJ8" s="4043"/>
      <c r="FK8" s="4043"/>
      <c r="FL8" s="4043"/>
      <c r="FM8" s="4043"/>
      <c r="FN8" s="4043"/>
      <c r="FO8" s="4043"/>
      <c r="FP8" s="4043"/>
      <c r="FQ8" s="4043"/>
      <c r="FR8" s="4043"/>
      <c r="FS8" s="4043"/>
      <c r="FT8" s="4043"/>
      <c r="FU8" s="4043"/>
      <c r="FV8" s="4043"/>
      <c r="FW8" s="4044"/>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4045"/>
      <c r="FX9" s="967"/>
    </row>
    <row r="10" spans="2:180" s="844" customFormat="1" ht="11.25" customHeight="1">
      <c r="B10" s="845"/>
      <c r="F10" s="4011" t="s">
        <v>329</v>
      </c>
      <c r="G10" s="4027"/>
      <c r="H10" s="4027"/>
      <c r="I10" s="4027"/>
      <c r="J10" s="4027"/>
      <c r="K10" s="4027"/>
      <c r="L10" s="4027"/>
      <c r="M10" s="4027"/>
      <c r="N10" s="4027"/>
      <c r="O10" s="4027"/>
      <c r="P10" s="4027"/>
      <c r="Q10" s="4027"/>
      <c r="R10" s="4027"/>
      <c r="S10" s="4027"/>
      <c r="T10" s="4027"/>
      <c r="U10" s="4027"/>
      <c r="V10" s="4027"/>
      <c r="W10" s="4027"/>
      <c r="X10" s="4027"/>
      <c r="Y10" s="4027"/>
      <c r="Z10" s="4027"/>
      <c r="AA10" s="4027"/>
      <c r="AB10" s="4027"/>
      <c r="AC10" s="4027"/>
      <c r="AD10" s="4027"/>
      <c r="AE10" s="4027"/>
      <c r="AF10" s="4027"/>
      <c r="AG10" s="4027"/>
      <c r="AH10" s="4027"/>
      <c r="AI10" s="4027"/>
      <c r="AJ10" s="4027"/>
      <c r="AK10" s="4027"/>
      <c r="AL10" s="4027"/>
      <c r="AM10" s="4027"/>
      <c r="AN10" s="4027"/>
      <c r="AO10" s="4027"/>
      <c r="AP10" s="4027"/>
      <c r="AQ10" s="4027"/>
      <c r="AR10" s="4027"/>
      <c r="AS10" s="4027"/>
      <c r="AT10" s="4027"/>
      <c r="AU10" s="4027"/>
      <c r="AV10" s="4027"/>
      <c r="AW10" s="4027"/>
      <c r="AX10" s="4027"/>
      <c r="AY10" s="4027"/>
      <c r="AZ10" s="4027"/>
      <c r="BA10" s="4027"/>
      <c r="BB10" s="4027"/>
      <c r="BC10" s="4027"/>
      <c r="BD10" s="4027"/>
      <c r="BE10" s="4027"/>
      <c r="BF10" s="4027"/>
      <c r="BG10" s="4027"/>
      <c r="BH10" s="4027"/>
      <c r="BI10" s="4027"/>
      <c r="BJ10" s="4027"/>
      <c r="BK10" s="4027"/>
      <c r="BL10" s="4027"/>
      <c r="BM10" s="4027"/>
      <c r="BN10" s="4027"/>
      <c r="BO10" s="4027"/>
      <c r="BP10" s="4027"/>
      <c r="BQ10" s="4027"/>
      <c r="BR10" s="4027"/>
      <c r="BS10" s="4027"/>
      <c r="BT10" s="4027"/>
      <c r="BU10" s="4027"/>
      <c r="BV10" s="4027"/>
      <c r="BW10" s="4027"/>
      <c r="BX10" s="4027"/>
      <c r="BY10" s="4027"/>
      <c r="BZ10" s="4027"/>
      <c r="CA10" s="4027"/>
      <c r="CB10" s="4027"/>
      <c r="CC10" s="4027"/>
      <c r="CD10" s="4027"/>
      <c r="CE10" s="4027"/>
      <c r="CF10" s="4027"/>
      <c r="CG10" s="4027"/>
      <c r="CH10" s="4027"/>
      <c r="CI10" s="4027"/>
      <c r="CJ10" s="4027"/>
      <c r="CK10" s="4027"/>
      <c r="CL10" s="4027"/>
      <c r="CM10" s="4027"/>
      <c r="CN10" s="4027"/>
      <c r="CO10" s="4027"/>
      <c r="CP10" s="4027"/>
      <c r="CQ10" s="4027"/>
      <c r="CR10" s="4027"/>
      <c r="CS10" s="4027"/>
      <c r="CT10" s="4027"/>
      <c r="CU10" s="4027"/>
      <c r="CV10" s="4027"/>
      <c r="CW10" s="4027"/>
      <c r="CX10" s="4027"/>
      <c r="CY10" s="4027"/>
      <c r="CZ10" s="4027"/>
      <c r="DA10" s="4027"/>
      <c r="DB10" s="4027"/>
      <c r="DC10" s="4027"/>
      <c r="DD10" s="4027"/>
      <c r="DE10" s="4027"/>
      <c r="DF10" s="4027"/>
      <c r="DG10" s="4027"/>
      <c r="DH10" s="4027"/>
      <c r="DI10" s="4027"/>
      <c r="DJ10" s="4027"/>
      <c r="DK10" s="4027"/>
      <c r="DL10" s="4027"/>
      <c r="DM10" s="4027"/>
      <c r="DN10" s="4027"/>
      <c r="DO10" s="4027"/>
      <c r="DP10" s="4027"/>
      <c r="DQ10" s="4027"/>
      <c r="DR10" s="4027"/>
      <c r="DS10" s="4027"/>
      <c r="DT10" s="4027"/>
      <c r="DU10" s="4027"/>
      <c r="DV10" s="4027"/>
      <c r="DW10" s="4027"/>
      <c r="DX10" s="4027"/>
      <c r="DY10" s="4027"/>
      <c r="DZ10" s="4027"/>
      <c r="EA10" s="4027"/>
      <c r="EB10" s="4027"/>
      <c r="EC10" s="4027"/>
      <c r="ED10" s="4027"/>
      <c r="EE10" s="4027"/>
      <c r="EF10" s="4027"/>
      <c r="EG10" s="4027"/>
      <c r="EH10" s="4027"/>
      <c r="EI10" s="4027"/>
      <c r="EJ10" s="4027"/>
      <c r="EK10" s="4027"/>
      <c r="EL10" s="4027"/>
      <c r="EM10" s="4027"/>
      <c r="EN10" s="4027"/>
      <c r="EO10" s="4027"/>
      <c r="EP10" s="4027"/>
      <c r="EQ10" s="4027"/>
      <c r="ER10" s="4027"/>
      <c r="ES10" s="4027"/>
      <c r="ET10" s="4027"/>
      <c r="EU10" s="4027"/>
      <c r="EV10" s="4027"/>
      <c r="EW10" s="4027"/>
      <c r="EX10" s="4027"/>
      <c r="EY10" s="4027"/>
      <c r="EZ10" s="4027"/>
      <c r="FA10" s="4027"/>
      <c r="FB10" s="4027"/>
      <c r="FC10" s="4027"/>
      <c r="FD10" s="4027"/>
      <c r="FE10" s="4027"/>
      <c r="FF10" s="4027"/>
      <c r="FG10" s="4027"/>
      <c r="FH10" s="4027"/>
      <c r="FI10" s="4027"/>
      <c r="FJ10" s="4027"/>
      <c r="FK10" s="4027"/>
      <c r="FL10" s="4027"/>
      <c r="FM10" s="4027"/>
      <c r="FN10" s="4027"/>
      <c r="FO10" s="4027"/>
      <c r="FP10" s="4027"/>
      <c r="FQ10" s="4027"/>
      <c r="FR10" s="4027"/>
      <c r="FS10" s="4027"/>
      <c r="FT10" s="4027"/>
      <c r="FU10" s="4027"/>
      <c r="FV10" s="4028"/>
      <c r="FW10" s="4045"/>
      <c r="FX10" s="967"/>
    </row>
    <row r="11" spans="2:180" ht="12" customHeight="1">
      <c r="E11" s="848"/>
      <c r="F11" s="3863" t="s">
        <v>86</v>
      </c>
      <c r="G11" s="3863" t="s">
        <v>1012</v>
      </c>
      <c r="H11" s="3863" t="s">
        <v>1013</v>
      </c>
      <c r="I11" s="3863" t="s">
        <v>1014</v>
      </c>
      <c r="J11" s="4035"/>
      <c r="K11" s="4035"/>
      <c r="L11" s="4035"/>
      <c r="M11" s="4035"/>
      <c r="N11" s="4035"/>
      <c r="O11" s="3868" t="s">
        <v>1015</v>
      </c>
      <c r="P11" s="3868"/>
      <c r="Q11" s="3868"/>
      <c r="R11" s="3868"/>
      <c r="S11" s="3868"/>
      <c r="T11" s="3868"/>
      <c r="U11" s="3868"/>
      <c r="V11" s="3868"/>
      <c r="W11" s="3868"/>
      <c r="X11" s="3868"/>
      <c r="Y11" s="3868"/>
      <c r="Z11" s="3868"/>
      <c r="AA11" s="3868"/>
      <c r="AB11" s="3868"/>
      <c r="AC11" s="4033"/>
      <c r="AD11" s="4033"/>
      <c r="AE11" s="4033"/>
      <c r="AF11" s="4033"/>
      <c r="AG11" s="4033"/>
      <c r="AH11" s="4033"/>
      <c r="AI11" s="4033"/>
      <c r="AJ11" s="4033"/>
      <c r="AK11" s="4033"/>
      <c r="AL11" s="4033"/>
      <c r="AM11" s="4033"/>
      <c r="AN11" s="4033"/>
      <c r="AO11" s="4033"/>
      <c r="AP11" s="4033"/>
      <c r="AQ11" s="4033"/>
      <c r="AR11" s="4033"/>
      <c r="AS11" s="4033"/>
      <c r="AT11" s="4033"/>
      <c r="AU11" s="4033"/>
      <c r="AV11" s="4033"/>
      <c r="AW11" s="4033"/>
      <c r="AX11" s="4033"/>
      <c r="AY11" s="4033"/>
      <c r="AZ11" s="4033"/>
      <c r="BA11" s="4033"/>
      <c r="BB11" s="4033"/>
      <c r="BC11" s="4033"/>
      <c r="BD11" s="4033"/>
      <c r="BE11" s="4033"/>
      <c r="BF11" s="4033"/>
      <c r="BG11" s="4033"/>
      <c r="BH11" s="4033"/>
      <c r="BI11" s="4033"/>
      <c r="BJ11" s="4033"/>
      <c r="BK11" s="4033"/>
      <c r="BL11" s="4033"/>
      <c r="BM11" s="4033"/>
      <c r="BN11" s="4033"/>
      <c r="BO11" s="4033"/>
      <c r="BP11" s="4033"/>
      <c r="BQ11" s="4033"/>
      <c r="BR11" s="4033"/>
      <c r="BS11" s="4050"/>
      <c r="BT11" s="4030" t="s">
        <v>1015</v>
      </c>
      <c r="BU11" s="4031"/>
      <c r="BV11" s="4031"/>
      <c r="BW11" s="4031"/>
      <c r="BX11" s="4031"/>
      <c r="BY11" s="4031"/>
      <c r="BZ11" s="4031"/>
      <c r="CA11" s="4031"/>
      <c r="CB11" s="4031"/>
      <c r="CC11" s="4031"/>
      <c r="CD11" s="4031"/>
      <c r="CE11" s="4031"/>
      <c r="CF11" s="4031"/>
      <c r="CG11" s="4031"/>
      <c r="CH11" s="4031"/>
      <c r="CI11" s="4031"/>
      <c r="CJ11" s="4031"/>
      <c r="CK11" s="4032"/>
      <c r="CL11" s="4034"/>
      <c r="CM11" s="4033"/>
      <c r="CN11" s="4033"/>
      <c r="CO11" s="4033"/>
      <c r="CP11" s="4033"/>
      <c r="CQ11" s="4033"/>
      <c r="CR11" s="4033"/>
      <c r="CS11" s="4033"/>
      <c r="CT11" s="4033"/>
      <c r="CU11" s="4033"/>
      <c r="CV11" s="4033"/>
      <c r="CW11" s="4033"/>
      <c r="CX11" s="4050"/>
      <c r="CY11" s="4030" t="s">
        <v>1015</v>
      </c>
      <c r="CZ11" s="4031"/>
      <c r="DA11" s="4031"/>
      <c r="DB11" s="4031"/>
      <c r="DC11" s="4031"/>
      <c r="DD11" s="4031"/>
      <c r="DE11" s="4031"/>
      <c r="DF11" s="4031"/>
      <c r="DG11" s="4031"/>
      <c r="DH11" s="4031"/>
      <c r="DI11" s="4031"/>
      <c r="DJ11" s="4032"/>
      <c r="DK11" s="4034"/>
      <c r="DL11" s="4033"/>
      <c r="DM11" s="4033"/>
      <c r="DN11" s="4033"/>
      <c r="DO11" s="4033"/>
      <c r="DP11" s="4033"/>
      <c r="DQ11" s="4033"/>
      <c r="DR11" s="4033"/>
      <c r="DS11" s="4033"/>
      <c r="DT11" s="4033"/>
      <c r="DU11" s="4033"/>
      <c r="DV11" s="4033"/>
      <c r="DW11" s="4033"/>
      <c r="DX11" s="4033"/>
      <c r="DY11" s="4033"/>
      <c r="DZ11" s="4033"/>
      <c r="EA11" s="4033"/>
      <c r="EB11" s="4033"/>
      <c r="EC11" s="4033"/>
      <c r="ED11" s="4033"/>
      <c r="EE11" s="4033"/>
      <c r="EF11" s="4033"/>
      <c r="EG11" s="4033"/>
      <c r="EH11" s="4033"/>
      <c r="EI11" s="4033"/>
      <c r="EJ11" s="4033"/>
      <c r="EK11" s="4033"/>
      <c r="EL11" s="4033"/>
      <c r="EM11" s="4033"/>
      <c r="EN11" s="4033"/>
      <c r="EO11" s="4033"/>
      <c r="EP11" s="4033"/>
      <c r="EQ11" s="4033"/>
      <c r="ER11" s="4033"/>
      <c r="ES11" s="4033"/>
      <c r="ET11" s="4033"/>
      <c r="EU11" s="4033"/>
      <c r="EV11" s="4033"/>
      <c r="EW11" s="4033"/>
      <c r="EX11" s="4033"/>
      <c r="EY11" s="4033"/>
      <c r="EZ11" s="4033"/>
      <c r="FA11" s="4033"/>
      <c r="FB11" s="4033"/>
      <c r="FC11" s="4033"/>
      <c r="FD11" s="4033"/>
      <c r="FE11" s="4033"/>
      <c r="FF11" s="4033"/>
      <c r="FG11" s="4033"/>
      <c r="FH11" s="4033"/>
      <c r="FI11" s="4033"/>
      <c r="FJ11" s="4033"/>
      <c r="FK11" s="4033"/>
      <c r="FL11" s="4033"/>
      <c r="FM11" s="4033"/>
      <c r="FN11" s="4033"/>
      <c r="FO11" s="4033"/>
      <c r="FP11" s="4033"/>
      <c r="FQ11" s="4033"/>
      <c r="FR11" s="4033"/>
      <c r="FS11" s="4033"/>
      <c r="FT11" s="4033"/>
      <c r="FU11" s="4033"/>
      <c r="FV11" s="4033"/>
      <c r="FW11" s="4045"/>
      <c r="FX11" s="677"/>
    </row>
    <row r="12" spans="2:180" ht="12" customHeight="1">
      <c r="D12" s="849"/>
      <c r="E12" s="848"/>
      <c r="F12" s="3863"/>
      <c r="G12" s="3863"/>
      <c r="H12" s="3863"/>
      <c r="I12" s="3863"/>
      <c r="J12" s="4035"/>
      <c r="K12" s="4035"/>
      <c r="L12" s="4035"/>
      <c r="M12" s="4035"/>
      <c r="N12" s="4035"/>
      <c r="O12" s="3868" t="s">
        <v>1016</v>
      </c>
      <c r="P12" s="3868"/>
      <c r="Q12" s="3868"/>
      <c r="R12" s="3868"/>
      <c r="S12" s="3868" t="s">
        <v>1017</v>
      </c>
      <c r="T12" s="3868"/>
      <c r="U12" s="3868"/>
      <c r="V12" s="3868"/>
      <c r="W12" s="3868"/>
      <c r="X12" s="3868"/>
      <c r="Y12" s="3868"/>
      <c r="Z12" s="3868"/>
      <c r="AA12" s="3868"/>
      <c r="AB12" s="3868"/>
      <c r="AC12" s="4033"/>
      <c r="AD12" s="4033"/>
      <c r="AE12" s="4033"/>
      <c r="AF12" s="4033"/>
      <c r="AG12" s="4033"/>
      <c r="AH12" s="4033"/>
      <c r="AI12" s="4033"/>
      <c r="AJ12" s="4033"/>
      <c r="AK12" s="4033"/>
      <c r="AL12" s="4033"/>
      <c r="AM12" s="4033"/>
      <c r="AN12" s="4033"/>
      <c r="AO12" s="4033"/>
      <c r="AP12" s="4033"/>
      <c r="AQ12" s="4033"/>
      <c r="AR12" s="4033"/>
      <c r="AS12" s="4033"/>
      <c r="AT12" s="4033"/>
      <c r="AU12" s="4033"/>
      <c r="AV12" s="4033"/>
      <c r="AW12" s="4033"/>
      <c r="AX12" s="4033"/>
      <c r="AY12" s="4033"/>
      <c r="AZ12" s="4033"/>
      <c r="BA12" s="4033"/>
      <c r="BB12" s="4033"/>
      <c r="BC12" s="4033"/>
      <c r="BD12" s="4033"/>
      <c r="BE12" s="4033"/>
      <c r="BF12" s="4033"/>
      <c r="BG12" s="4033"/>
      <c r="BH12" s="4033"/>
      <c r="BI12" s="4033"/>
      <c r="BJ12" s="4033"/>
      <c r="BK12" s="4033"/>
      <c r="BL12" s="4033"/>
      <c r="BM12" s="4033"/>
      <c r="BN12" s="4033"/>
      <c r="BO12" s="4033"/>
      <c r="BP12" s="4033"/>
      <c r="BQ12" s="4033"/>
      <c r="BR12" s="4033"/>
      <c r="BS12" s="4050"/>
      <c r="BT12" s="4030" t="s">
        <v>1018</v>
      </c>
      <c r="BU12" s="4031"/>
      <c r="BV12" s="4031"/>
      <c r="BW12" s="4032"/>
      <c r="BX12" s="4030" t="s">
        <v>1019</v>
      </c>
      <c r="BY12" s="4031"/>
      <c r="BZ12" s="4031"/>
      <c r="CA12" s="4032"/>
      <c r="CB12" s="4030" t="s">
        <v>1020</v>
      </c>
      <c r="CC12" s="4032"/>
      <c r="CD12" s="4030" t="s">
        <v>1021</v>
      </c>
      <c r="CE12" s="4031"/>
      <c r="CF12" s="4031"/>
      <c r="CG12" s="4031"/>
      <c r="CH12" s="4031"/>
      <c r="CI12" s="4031"/>
      <c r="CJ12" s="4031"/>
      <c r="CK12" s="4032"/>
      <c r="CL12" s="4034"/>
      <c r="CM12" s="4033"/>
      <c r="CN12" s="4033"/>
      <c r="CO12" s="4033"/>
      <c r="CP12" s="4033"/>
      <c r="CQ12" s="4033"/>
      <c r="CR12" s="4033"/>
      <c r="CS12" s="4033"/>
      <c r="CT12" s="4033"/>
      <c r="CU12" s="4033"/>
      <c r="CV12" s="4033"/>
      <c r="CW12" s="4033"/>
      <c r="CX12" s="4050"/>
      <c r="CY12" s="4030" t="s">
        <v>1022</v>
      </c>
      <c r="CZ12" s="4031"/>
      <c r="DA12" s="4031"/>
      <c r="DB12" s="4031"/>
      <c r="DC12" s="4031"/>
      <c r="DD12" s="4032"/>
      <c r="DE12" s="4030" t="s">
        <v>1023</v>
      </c>
      <c r="DF12" s="4032"/>
      <c r="DG12" s="4030" t="s">
        <v>1021</v>
      </c>
      <c r="DH12" s="4031"/>
      <c r="DI12" s="4031"/>
      <c r="DJ12" s="4032"/>
      <c r="DK12" s="4034"/>
      <c r="DL12" s="4033"/>
      <c r="DM12" s="4033"/>
      <c r="DN12" s="4033"/>
      <c r="DO12" s="4033"/>
      <c r="DP12" s="4033"/>
      <c r="DQ12" s="4033"/>
      <c r="DR12" s="4033"/>
      <c r="DS12" s="4033"/>
      <c r="DT12" s="4033"/>
      <c r="DU12" s="4033"/>
      <c r="DV12" s="4033"/>
      <c r="DW12" s="4033"/>
      <c r="DX12" s="4033"/>
      <c r="DY12" s="4033"/>
      <c r="DZ12" s="4033"/>
      <c r="EA12" s="4033"/>
      <c r="EB12" s="4033"/>
      <c r="EC12" s="4033"/>
      <c r="ED12" s="4033"/>
      <c r="EE12" s="4033"/>
      <c r="EF12" s="4033"/>
      <c r="EG12" s="4033"/>
      <c r="EH12" s="4033"/>
      <c r="EI12" s="4033"/>
      <c r="EJ12" s="4033"/>
      <c r="EK12" s="4033"/>
      <c r="EL12" s="4033"/>
      <c r="EM12" s="4033"/>
      <c r="EN12" s="4033"/>
      <c r="EO12" s="4033"/>
      <c r="EP12" s="4033"/>
      <c r="EQ12" s="4033"/>
      <c r="ER12" s="4033"/>
      <c r="ES12" s="4033"/>
      <c r="ET12" s="4033"/>
      <c r="EU12" s="4033"/>
      <c r="EV12" s="4033"/>
      <c r="EW12" s="4033"/>
      <c r="EX12" s="4033"/>
      <c r="EY12" s="4033"/>
      <c r="EZ12" s="4033"/>
      <c r="FA12" s="4033"/>
      <c r="FB12" s="4033"/>
      <c r="FC12" s="4033"/>
      <c r="FD12" s="4033"/>
      <c r="FE12" s="4033"/>
      <c r="FF12" s="4033"/>
      <c r="FG12" s="4033"/>
      <c r="FH12" s="4033"/>
      <c r="FI12" s="4033"/>
      <c r="FJ12" s="4033"/>
      <c r="FK12" s="4033"/>
      <c r="FL12" s="4033"/>
      <c r="FM12" s="4033"/>
      <c r="FN12" s="4033"/>
      <c r="FO12" s="4033"/>
      <c r="FP12" s="4033"/>
      <c r="FQ12" s="4033"/>
      <c r="FR12" s="4033"/>
      <c r="FS12" s="4033"/>
      <c r="FT12" s="4033"/>
      <c r="FU12" s="4033"/>
      <c r="FV12" s="4033"/>
      <c r="FW12" s="4045"/>
      <c r="FX12" s="677"/>
    </row>
    <row r="13" spans="2:180" ht="36" customHeight="1">
      <c r="D13" s="849"/>
      <c r="E13" s="848"/>
      <c r="F13" s="3863"/>
      <c r="G13" s="3863"/>
      <c r="H13" s="3863"/>
      <c r="I13" s="3863"/>
      <c r="J13" s="4035"/>
      <c r="K13" s="4035"/>
      <c r="L13" s="4035"/>
      <c r="M13" s="4035"/>
      <c r="N13" s="4035"/>
      <c r="O13" s="3868" t="s">
        <v>1024</v>
      </c>
      <c r="P13" s="3868"/>
      <c r="Q13" s="3868"/>
      <c r="R13" s="3868"/>
      <c r="S13" s="3954" t="s">
        <v>1025</v>
      </c>
      <c r="T13" s="4013"/>
      <c r="U13" s="3778" t="s">
        <v>1026</v>
      </c>
      <c r="V13" s="3778"/>
      <c r="W13" s="3778"/>
      <c r="X13" s="3778"/>
      <c r="Y13" s="3778" t="s">
        <v>1027</v>
      </c>
      <c r="Z13" s="3778"/>
      <c r="AA13" s="3778"/>
      <c r="AB13" s="3778"/>
      <c r="AC13" s="4033"/>
      <c r="AD13" s="4033"/>
      <c r="AE13" s="4033"/>
      <c r="AF13" s="4033"/>
      <c r="AG13" s="4033"/>
      <c r="AH13" s="4033"/>
      <c r="AI13" s="4033"/>
      <c r="AJ13" s="4033"/>
      <c r="AK13" s="4033"/>
      <c r="AL13" s="4033"/>
      <c r="AM13" s="4033"/>
      <c r="AN13" s="4033"/>
      <c r="AO13" s="4033"/>
      <c r="AP13" s="4033"/>
      <c r="AQ13" s="4033"/>
      <c r="AR13" s="4033"/>
      <c r="AS13" s="4033"/>
      <c r="AT13" s="4033"/>
      <c r="AU13" s="4033"/>
      <c r="AV13" s="4033"/>
      <c r="AW13" s="4033"/>
      <c r="AX13" s="4033"/>
      <c r="AY13" s="4033"/>
      <c r="AZ13" s="4033"/>
      <c r="BA13" s="4033"/>
      <c r="BB13" s="4033"/>
      <c r="BC13" s="4033"/>
      <c r="BD13" s="4033"/>
      <c r="BE13" s="4033"/>
      <c r="BF13" s="4033"/>
      <c r="BG13" s="4033"/>
      <c r="BH13" s="4033"/>
      <c r="BI13" s="4033"/>
      <c r="BJ13" s="4033"/>
      <c r="BK13" s="4033"/>
      <c r="BL13" s="4033"/>
      <c r="BM13" s="4033"/>
      <c r="BN13" s="4033"/>
      <c r="BO13" s="4033"/>
      <c r="BP13" s="4033"/>
      <c r="BQ13" s="4033"/>
      <c r="BR13" s="4033"/>
      <c r="BS13" s="4050"/>
      <c r="BT13" s="3954" t="s">
        <v>1028</v>
      </c>
      <c r="BU13" s="4013"/>
      <c r="BV13" s="3954" t="s">
        <v>1029</v>
      </c>
      <c r="BW13" s="4013"/>
      <c r="BX13" s="3954" t="s">
        <v>1030</v>
      </c>
      <c r="BY13" s="4013"/>
      <c r="BZ13" s="3954" t="s">
        <v>1031</v>
      </c>
      <c r="CA13" s="4013"/>
      <c r="CB13" s="3954" t="s">
        <v>1032</v>
      </c>
      <c r="CC13" s="4013"/>
      <c r="CD13" s="3954" t="s">
        <v>1033</v>
      </c>
      <c r="CE13" s="4013"/>
      <c r="CF13" s="3954" t="s">
        <v>1034</v>
      </c>
      <c r="CG13" s="4013"/>
      <c r="CH13" s="4030" t="s">
        <v>1035</v>
      </c>
      <c r="CI13" s="4031"/>
      <c r="CJ13" s="4031"/>
      <c r="CK13" s="4032"/>
      <c r="CL13" s="4034"/>
      <c r="CM13" s="4033"/>
      <c r="CN13" s="4033"/>
      <c r="CO13" s="4033"/>
      <c r="CP13" s="4033"/>
      <c r="CQ13" s="4033"/>
      <c r="CR13" s="4033"/>
      <c r="CS13" s="4033"/>
      <c r="CT13" s="4033"/>
      <c r="CU13" s="4033"/>
      <c r="CV13" s="4033"/>
      <c r="CW13" s="4033"/>
      <c r="CX13" s="4050"/>
      <c r="CY13" s="3954" t="s">
        <v>1036</v>
      </c>
      <c r="CZ13" s="4013"/>
      <c r="DA13" s="3954" t="s">
        <v>1037</v>
      </c>
      <c r="DB13" s="4013"/>
      <c r="DC13" s="3954" t="s">
        <v>1038</v>
      </c>
      <c r="DD13" s="4013"/>
      <c r="DE13" s="3954" t="s">
        <v>1039</v>
      </c>
      <c r="DF13" s="4013"/>
      <c r="DG13" s="4030" t="s">
        <v>1040</v>
      </c>
      <c r="DH13" s="4031"/>
      <c r="DI13" s="4031"/>
      <c r="DJ13" s="4032"/>
      <c r="DK13" s="4034"/>
      <c r="DL13" s="4033"/>
      <c r="DM13" s="4033"/>
      <c r="DN13" s="4033"/>
      <c r="DO13" s="4033"/>
      <c r="DP13" s="4033"/>
      <c r="DQ13" s="4033"/>
      <c r="DR13" s="4033"/>
      <c r="DS13" s="4033"/>
      <c r="DT13" s="4033"/>
      <c r="DU13" s="4033"/>
      <c r="DV13" s="4033"/>
      <c r="DW13" s="4033"/>
      <c r="DX13" s="4033"/>
      <c r="DY13" s="4033"/>
      <c r="DZ13" s="4033"/>
      <c r="EA13" s="4033"/>
      <c r="EB13" s="4033"/>
      <c r="EC13" s="4033"/>
      <c r="ED13" s="4033"/>
      <c r="EE13" s="4033"/>
      <c r="EF13" s="4033"/>
      <c r="EG13" s="4033"/>
      <c r="EH13" s="4033"/>
      <c r="EI13" s="4033"/>
      <c r="EJ13" s="4033"/>
      <c r="EK13" s="4033"/>
      <c r="EL13" s="4033"/>
      <c r="EM13" s="4033"/>
      <c r="EN13" s="4033"/>
      <c r="EO13" s="4033"/>
      <c r="EP13" s="4033"/>
      <c r="EQ13" s="4033"/>
      <c r="ER13" s="4033"/>
      <c r="ES13" s="4033"/>
      <c r="ET13" s="4033"/>
      <c r="EU13" s="4033"/>
      <c r="EV13" s="4033"/>
      <c r="EW13" s="4033"/>
      <c r="EX13" s="4033"/>
      <c r="EY13" s="4033"/>
      <c r="EZ13" s="4033"/>
      <c r="FA13" s="4033"/>
      <c r="FB13" s="4033"/>
      <c r="FC13" s="4033"/>
      <c r="FD13" s="4033"/>
      <c r="FE13" s="4033"/>
      <c r="FF13" s="4033"/>
      <c r="FG13" s="4033"/>
      <c r="FH13" s="4033"/>
      <c r="FI13" s="4033"/>
      <c r="FJ13" s="4033"/>
      <c r="FK13" s="4033"/>
      <c r="FL13" s="4033"/>
      <c r="FM13" s="4033"/>
      <c r="FN13" s="4033"/>
      <c r="FO13" s="4033"/>
      <c r="FP13" s="4033"/>
      <c r="FQ13" s="4033"/>
      <c r="FR13" s="4033"/>
      <c r="FS13" s="4033"/>
      <c r="FT13" s="4033"/>
      <c r="FU13" s="4033"/>
      <c r="FV13" s="4033"/>
      <c r="FW13" s="4045"/>
      <c r="FX13" s="677"/>
    </row>
    <row r="14" spans="2:180" ht="36" customHeight="1">
      <c r="D14" s="849"/>
      <c r="E14" s="848"/>
      <c r="F14" s="3863"/>
      <c r="G14" s="3863"/>
      <c r="H14" s="3863"/>
      <c r="I14" s="3863"/>
      <c r="J14" s="4035"/>
      <c r="K14" s="4035"/>
      <c r="L14" s="4035"/>
      <c r="M14" s="4035"/>
      <c r="N14" s="4035"/>
      <c r="O14" s="3954" t="s">
        <v>1041</v>
      </c>
      <c r="P14" s="4013"/>
      <c r="Q14" s="3954" t="s">
        <v>1042</v>
      </c>
      <c r="R14" s="4013"/>
      <c r="S14" s="3955"/>
      <c r="T14" s="3869"/>
      <c r="U14" s="3954" t="s">
        <v>774</v>
      </c>
      <c r="V14" s="4013"/>
      <c r="W14" s="3954" t="s">
        <v>777</v>
      </c>
      <c r="X14" s="4013"/>
      <c r="Y14" s="3954" t="s">
        <v>774</v>
      </c>
      <c r="Z14" s="4013"/>
      <c r="AA14" s="3954" t="s">
        <v>784</v>
      </c>
      <c r="AB14" s="4013"/>
      <c r="AC14" s="4033"/>
      <c r="AD14" s="4033"/>
      <c r="AE14" s="4033"/>
      <c r="AF14" s="4033"/>
      <c r="AG14" s="4033"/>
      <c r="AH14" s="4033"/>
      <c r="AI14" s="4033"/>
      <c r="AJ14" s="4033"/>
      <c r="AK14" s="4033"/>
      <c r="AL14" s="4033"/>
      <c r="AM14" s="4033"/>
      <c r="AN14" s="4033"/>
      <c r="AO14" s="4033"/>
      <c r="AP14" s="4033"/>
      <c r="AQ14" s="4033"/>
      <c r="AR14" s="4033"/>
      <c r="AS14" s="4033"/>
      <c r="AT14" s="4033"/>
      <c r="AU14" s="4033"/>
      <c r="AV14" s="4033"/>
      <c r="AW14" s="4033"/>
      <c r="AX14" s="4033"/>
      <c r="AY14" s="4033"/>
      <c r="AZ14" s="4033"/>
      <c r="BA14" s="4033"/>
      <c r="BB14" s="4033"/>
      <c r="BC14" s="4033"/>
      <c r="BD14" s="4033"/>
      <c r="BE14" s="4033"/>
      <c r="BF14" s="4033"/>
      <c r="BG14" s="4033"/>
      <c r="BH14" s="4033"/>
      <c r="BI14" s="4033"/>
      <c r="BJ14" s="4033"/>
      <c r="BK14" s="4033"/>
      <c r="BL14" s="4033"/>
      <c r="BM14" s="4033"/>
      <c r="BN14" s="4033"/>
      <c r="BO14" s="4033"/>
      <c r="BP14" s="4033"/>
      <c r="BQ14" s="4033"/>
      <c r="BR14" s="4033"/>
      <c r="BS14" s="4050"/>
      <c r="BT14" s="3955"/>
      <c r="BU14" s="3869"/>
      <c r="BV14" s="3955"/>
      <c r="BW14" s="3869"/>
      <c r="BX14" s="3955"/>
      <c r="BY14" s="3869"/>
      <c r="BZ14" s="3955"/>
      <c r="CA14" s="3869"/>
      <c r="CB14" s="3955"/>
      <c r="CC14" s="3869"/>
      <c r="CD14" s="3955"/>
      <c r="CE14" s="3869"/>
      <c r="CF14" s="3955"/>
      <c r="CG14" s="3869"/>
      <c r="CH14" s="3954" t="s">
        <v>1043</v>
      </c>
      <c r="CI14" s="4013"/>
      <c r="CJ14" s="3954" t="s">
        <v>1044</v>
      </c>
      <c r="CK14" s="4013"/>
      <c r="CL14" s="4034"/>
      <c r="CM14" s="4033"/>
      <c r="CN14" s="4033"/>
      <c r="CO14" s="4033"/>
      <c r="CP14" s="4033"/>
      <c r="CQ14" s="4033"/>
      <c r="CR14" s="4033"/>
      <c r="CS14" s="4033"/>
      <c r="CT14" s="4033"/>
      <c r="CU14" s="4033"/>
      <c r="CV14" s="4033"/>
      <c r="CW14" s="4033"/>
      <c r="CX14" s="4050"/>
      <c r="CY14" s="3955"/>
      <c r="CZ14" s="3869"/>
      <c r="DA14" s="3955"/>
      <c r="DB14" s="3869"/>
      <c r="DC14" s="3955"/>
      <c r="DD14" s="3869"/>
      <c r="DE14" s="3955"/>
      <c r="DF14" s="3869"/>
      <c r="DG14" s="3954" t="s">
        <v>1045</v>
      </c>
      <c r="DH14" s="4013"/>
      <c r="DI14" s="3954" t="s">
        <v>1046</v>
      </c>
      <c r="DJ14" s="4013"/>
      <c r="DK14" s="4034"/>
      <c r="DL14" s="4033"/>
      <c r="DM14" s="4033"/>
      <c r="DN14" s="4033"/>
      <c r="DO14" s="4033"/>
      <c r="DP14" s="4033"/>
      <c r="DQ14" s="4033"/>
      <c r="DR14" s="4033"/>
      <c r="DS14" s="4033"/>
      <c r="DT14" s="4033"/>
      <c r="DU14" s="4033"/>
      <c r="DV14" s="4033"/>
      <c r="DW14" s="4033"/>
      <c r="DX14" s="4033"/>
      <c r="DY14" s="4033"/>
      <c r="DZ14" s="4033"/>
      <c r="EA14" s="4033"/>
      <c r="EB14" s="4033"/>
      <c r="EC14" s="4033"/>
      <c r="ED14" s="4033"/>
      <c r="EE14" s="4033"/>
      <c r="EF14" s="4033"/>
      <c r="EG14" s="4033"/>
      <c r="EH14" s="4033"/>
      <c r="EI14" s="4033"/>
      <c r="EJ14" s="4033"/>
      <c r="EK14" s="4033"/>
      <c r="EL14" s="4033"/>
      <c r="EM14" s="4033"/>
      <c r="EN14" s="4033"/>
      <c r="EO14" s="4033"/>
      <c r="EP14" s="4033"/>
      <c r="EQ14" s="4033"/>
      <c r="ER14" s="4033"/>
      <c r="ES14" s="4033"/>
      <c r="ET14" s="4033"/>
      <c r="EU14" s="4033"/>
      <c r="EV14" s="4033"/>
      <c r="EW14" s="4033"/>
      <c r="EX14" s="4033"/>
      <c r="EY14" s="4033"/>
      <c r="EZ14" s="4033"/>
      <c r="FA14" s="4033"/>
      <c r="FB14" s="4033"/>
      <c r="FC14" s="4033"/>
      <c r="FD14" s="4033"/>
      <c r="FE14" s="4033"/>
      <c r="FF14" s="4033"/>
      <c r="FG14" s="4033"/>
      <c r="FH14" s="4033"/>
      <c r="FI14" s="4033"/>
      <c r="FJ14" s="4033"/>
      <c r="FK14" s="4033"/>
      <c r="FL14" s="4033"/>
      <c r="FM14" s="4033"/>
      <c r="FN14" s="4033"/>
      <c r="FO14" s="4033"/>
      <c r="FP14" s="4033"/>
      <c r="FQ14" s="4033"/>
      <c r="FR14" s="4033"/>
      <c r="FS14" s="4033"/>
      <c r="FT14" s="4033"/>
      <c r="FU14" s="4033"/>
      <c r="FV14" s="4033"/>
      <c r="FW14" s="4045"/>
      <c r="FX14" s="677"/>
    </row>
    <row r="15" spans="2:180" ht="36" customHeight="1">
      <c r="D15" s="849"/>
      <c r="E15" s="848"/>
      <c r="F15" s="3863"/>
      <c r="G15" s="3863"/>
      <c r="H15" s="3863"/>
      <c r="I15" s="3863"/>
      <c r="J15" s="4035"/>
      <c r="K15" s="4035"/>
      <c r="L15" s="4035"/>
      <c r="M15" s="4035"/>
      <c r="N15" s="4035"/>
      <c r="O15" s="3956"/>
      <c r="P15" s="4014"/>
      <c r="Q15" s="3956"/>
      <c r="R15" s="4014"/>
      <c r="S15" s="3956"/>
      <c r="T15" s="4014"/>
      <c r="U15" s="3956"/>
      <c r="V15" s="4014"/>
      <c r="W15" s="3956"/>
      <c r="X15" s="4014"/>
      <c r="Y15" s="3956"/>
      <c r="Z15" s="4014"/>
      <c r="AA15" s="3956"/>
      <c r="AB15" s="4014"/>
      <c r="AC15" s="4033"/>
      <c r="AD15" s="4033"/>
      <c r="AE15" s="4033"/>
      <c r="AF15" s="4033"/>
      <c r="AG15" s="4033"/>
      <c r="AH15" s="4033"/>
      <c r="AI15" s="4033"/>
      <c r="AJ15" s="4033"/>
      <c r="AK15" s="4033"/>
      <c r="AL15" s="4033"/>
      <c r="AM15" s="4033"/>
      <c r="AN15" s="4033"/>
      <c r="AO15" s="4033"/>
      <c r="AP15" s="4033"/>
      <c r="AQ15" s="4033"/>
      <c r="AR15" s="4033"/>
      <c r="AS15" s="4033"/>
      <c r="AT15" s="4033"/>
      <c r="AU15" s="4033"/>
      <c r="AV15" s="4033"/>
      <c r="AW15" s="4033"/>
      <c r="AX15" s="4033"/>
      <c r="AY15" s="4033"/>
      <c r="AZ15" s="4033"/>
      <c r="BA15" s="4033"/>
      <c r="BB15" s="4033"/>
      <c r="BC15" s="4033"/>
      <c r="BD15" s="4033"/>
      <c r="BE15" s="4033"/>
      <c r="BF15" s="4033"/>
      <c r="BG15" s="4033"/>
      <c r="BH15" s="4033"/>
      <c r="BI15" s="4033"/>
      <c r="BJ15" s="4033"/>
      <c r="BK15" s="4033"/>
      <c r="BL15" s="4033"/>
      <c r="BM15" s="4033"/>
      <c r="BN15" s="4033"/>
      <c r="BO15" s="4033"/>
      <c r="BP15" s="4033"/>
      <c r="BQ15" s="4033"/>
      <c r="BR15" s="4033"/>
      <c r="BS15" s="4050"/>
      <c r="BT15" s="3956"/>
      <c r="BU15" s="4014"/>
      <c r="BV15" s="3956"/>
      <c r="BW15" s="4014"/>
      <c r="BX15" s="3956"/>
      <c r="BY15" s="4014"/>
      <c r="BZ15" s="3956"/>
      <c r="CA15" s="4014"/>
      <c r="CB15" s="3956"/>
      <c r="CC15" s="4014"/>
      <c r="CD15" s="3956"/>
      <c r="CE15" s="4014"/>
      <c r="CF15" s="3956"/>
      <c r="CG15" s="4014"/>
      <c r="CH15" s="3956"/>
      <c r="CI15" s="4014"/>
      <c r="CJ15" s="3956"/>
      <c r="CK15" s="4014"/>
      <c r="CL15" s="4034"/>
      <c r="CM15" s="4033"/>
      <c r="CN15" s="4033"/>
      <c r="CO15" s="4033"/>
      <c r="CP15" s="4033"/>
      <c r="CQ15" s="4033"/>
      <c r="CR15" s="4033"/>
      <c r="CS15" s="4033"/>
      <c r="CT15" s="4033"/>
      <c r="CU15" s="4033"/>
      <c r="CV15" s="4033"/>
      <c r="CW15" s="4033"/>
      <c r="CX15" s="4050"/>
      <c r="CY15" s="3956"/>
      <c r="CZ15" s="4014"/>
      <c r="DA15" s="3956"/>
      <c r="DB15" s="4014"/>
      <c r="DC15" s="3956"/>
      <c r="DD15" s="4014"/>
      <c r="DE15" s="3956"/>
      <c r="DF15" s="4014"/>
      <c r="DG15" s="3956"/>
      <c r="DH15" s="4014"/>
      <c r="DI15" s="3956"/>
      <c r="DJ15" s="4014"/>
      <c r="DK15" s="4034"/>
      <c r="DL15" s="4033"/>
      <c r="DM15" s="4033"/>
      <c r="DN15" s="4033"/>
      <c r="DO15" s="4033"/>
      <c r="DP15" s="4033"/>
      <c r="DQ15" s="4033"/>
      <c r="DR15" s="4033"/>
      <c r="DS15" s="4033"/>
      <c r="DT15" s="4033"/>
      <c r="DU15" s="4033"/>
      <c r="DV15" s="4033"/>
      <c r="DW15" s="4033"/>
      <c r="DX15" s="4033"/>
      <c r="DY15" s="4033"/>
      <c r="DZ15" s="4033"/>
      <c r="EA15" s="4033"/>
      <c r="EB15" s="4033"/>
      <c r="EC15" s="4033"/>
      <c r="ED15" s="4033"/>
      <c r="EE15" s="4033"/>
      <c r="EF15" s="4033"/>
      <c r="EG15" s="4033"/>
      <c r="EH15" s="4033"/>
      <c r="EI15" s="4033"/>
      <c r="EJ15" s="4033"/>
      <c r="EK15" s="4033"/>
      <c r="EL15" s="4033"/>
      <c r="EM15" s="4033"/>
      <c r="EN15" s="4033"/>
      <c r="EO15" s="4033"/>
      <c r="EP15" s="4033"/>
      <c r="EQ15" s="4033"/>
      <c r="ER15" s="4033"/>
      <c r="ES15" s="4033"/>
      <c r="ET15" s="4033"/>
      <c r="EU15" s="4033"/>
      <c r="EV15" s="4033"/>
      <c r="EW15" s="4033"/>
      <c r="EX15" s="4033"/>
      <c r="EY15" s="4033"/>
      <c r="EZ15" s="4033"/>
      <c r="FA15" s="4033"/>
      <c r="FB15" s="4033"/>
      <c r="FC15" s="4033"/>
      <c r="FD15" s="4033"/>
      <c r="FE15" s="4033"/>
      <c r="FF15" s="4033"/>
      <c r="FG15" s="4033"/>
      <c r="FH15" s="4033"/>
      <c r="FI15" s="4033"/>
      <c r="FJ15" s="4033"/>
      <c r="FK15" s="4033"/>
      <c r="FL15" s="4033"/>
      <c r="FM15" s="4033"/>
      <c r="FN15" s="4033"/>
      <c r="FO15" s="4033"/>
      <c r="FP15" s="4033"/>
      <c r="FQ15" s="4033"/>
      <c r="FR15" s="4033"/>
      <c r="FS15" s="4033"/>
      <c r="FT15" s="4033"/>
      <c r="FU15" s="4033"/>
      <c r="FV15" s="4033"/>
      <c r="FW15" s="4045"/>
      <c r="FX15" s="677"/>
    </row>
    <row r="16" spans="2:180" ht="12" customHeight="1">
      <c r="D16" s="849"/>
      <c r="E16" s="848"/>
      <c r="F16" s="3863"/>
      <c r="G16" s="3863"/>
      <c r="H16" s="3863"/>
      <c r="I16" s="3863"/>
      <c r="J16" s="4035"/>
      <c r="K16" s="4035"/>
      <c r="L16" s="4035"/>
      <c r="M16" s="4035"/>
      <c r="N16" s="4035"/>
      <c r="O16" s="4030" t="s">
        <v>764</v>
      </c>
      <c r="P16" s="4032"/>
      <c r="Q16" s="4030" t="s">
        <v>766</v>
      </c>
      <c r="R16" s="4032"/>
      <c r="S16" s="4030" t="s">
        <v>770</v>
      </c>
      <c r="T16" s="4032"/>
      <c r="U16" s="4030" t="s">
        <v>775</v>
      </c>
      <c r="V16" s="4032"/>
      <c r="W16" s="4030" t="s">
        <v>778</v>
      </c>
      <c r="X16" s="4032"/>
      <c r="Y16" s="4030" t="s">
        <v>782</v>
      </c>
      <c r="Z16" s="4032"/>
      <c r="AA16" s="4030" t="s">
        <v>785</v>
      </c>
      <c r="AB16" s="4032"/>
      <c r="AC16" s="4033"/>
      <c r="AD16" s="4033"/>
      <c r="AE16" s="4033"/>
      <c r="AF16" s="4033"/>
      <c r="AG16" s="4033"/>
      <c r="AH16" s="4033"/>
      <c r="AI16" s="4033"/>
      <c r="AJ16" s="4033"/>
      <c r="AK16" s="4033"/>
      <c r="AL16" s="4033"/>
      <c r="AM16" s="4033"/>
      <c r="AN16" s="4033"/>
      <c r="AO16" s="4033"/>
      <c r="AP16" s="4033"/>
      <c r="AQ16" s="4033"/>
      <c r="AR16" s="4033"/>
      <c r="AS16" s="4033"/>
      <c r="AT16" s="4033"/>
      <c r="AU16" s="4033"/>
      <c r="AV16" s="4033"/>
      <c r="AW16" s="4033"/>
      <c r="AX16" s="4033"/>
      <c r="AY16" s="4033"/>
      <c r="AZ16" s="4033"/>
      <c r="BA16" s="4033"/>
      <c r="BB16" s="4033"/>
      <c r="BC16" s="4033"/>
      <c r="BD16" s="4033"/>
      <c r="BE16" s="4033"/>
      <c r="BF16" s="4033"/>
      <c r="BG16" s="4033"/>
      <c r="BH16" s="4033"/>
      <c r="BI16" s="4033"/>
      <c r="BJ16" s="4033"/>
      <c r="BK16" s="4033"/>
      <c r="BL16" s="4033"/>
      <c r="BM16" s="4033"/>
      <c r="BN16" s="4033"/>
      <c r="BO16" s="4033"/>
      <c r="BP16" s="4033"/>
      <c r="BQ16" s="4033"/>
      <c r="BR16" s="4033"/>
      <c r="BS16" s="4050"/>
      <c r="BT16" s="4030" t="s">
        <v>582</v>
      </c>
      <c r="BU16" s="4032"/>
      <c r="BV16" s="4030" t="s">
        <v>582</v>
      </c>
      <c r="BW16" s="4032"/>
      <c r="BX16" s="4030" t="s">
        <v>582</v>
      </c>
      <c r="BY16" s="4032"/>
      <c r="BZ16" s="4030" t="s">
        <v>582</v>
      </c>
      <c r="CA16" s="4032"/>
      <c r="CB16" s="4030" t="s">
        <v>1047</v>
      </c>
      <c r="CC16" s="4032"/>
      <c r="CD16" s="4030" t="s">
        <v>582</v>
      </c>
      <c r="CE16" s="4032"/>
      <c r="CF16" s="4030" t="s">
        <v>1048</v>
      </c>
      <c r="CG16" s="4032"/>
      <c r="CH16" s="4030" t="s">
        <v>1049</v>
      </c>
      <c r="CI16" s="4032"/>
      <c r="CJ16" s="4030" t="s">
        <v>1049</v>
      </c>
      <c r="CK16" s="4032"/>
      <c r="CL16" s="4034"/>
      <c r="CM16" s="4033"/>
      <c r="CN16" s="4033"/>
      <c r="CO16" s="4033"/>
      <c r="CP16" s="4033"/>
      <c r="CQ16" s="4033"/>
      <c r="CR16" s="4033"/>
      <c r="CS16" s="4033"/>
      <c r="CT16" s="4033"/>
      <c r="CU16" s="4033"/>
      <c r="CV16" s="4033"/>
      <c r="CW16" s="4033"/>
      <c r="CX16" s="4050"/>
      <c r="CY16" s="3954" t="s">
        <v>582</v>
      </c>
      <c r="CZ16" s="4013"/>
      <c r="DA16" s="3954" t="s">
        <v>582</v>
      </c>
      <c r="DB16" s="4013"/>
      <c r="DC16" s="3954" t="s">
        <v>582</v>
      </c>
      <c r="DD16" s="4013"/>
      <c r="DE16" s="4030" t="s">
        <v>1047</v>
      </c>
      <c r="DF16" s="4032"/>
      <c r="DG16" s="4030" t="s">
        <v>1050</v>
      </c>
      <c r="DH16" s="4032"/>
      <c r="DI16" s="4030" t="s">
        <v>1050</v>
      </c>
      <c r="DJ16" s="4032"/>
      <c r="DK16" s="4034"/>
      <c r="DL16" s="4033"/>
      <c r="DM16" s="4033"/>
      <c r="DN16" s="4033"/>
      <c r="DO16" s="4033"/>
      <c r="DP16" s="4033"/>
      <c r="DQ16" s="4033"/>
      <c r="DR16" s="4033"/>
      <c r="DS16" s="4033"/>
      <c r="DT16" s="4033"/>
      <c r="DU16" s="4033"/>
      <c r="DV16" s="4033"/>
      <c r="DW16" s="4033"/>
      <c r="DX16" s="4033"/>
      <c r="DY16" s="4033"/>
      <c r="DZ16" s="4033"/>
      <c r="EA16" s="4033"/>
      <c r="EB16" s="4033"/>
      <c r="EC16" s="4033"/>
      <c r="ED16" s="4033"/>
      <c r="EE16" s="4033"/>
      <c r="EF16" s="4033"/>
      <c r="EG16" s="4033"/>
      <c r="EH16" s="4033"/>
      <c r="EI16" s="4033"/>
      <c r="EJ16" s="4033"/>
      <c r="EK16" s="4033"/>
      <c r="EL16" s="4033"/>
      <c r="EM16" s="4033"/>
      <c r="EN16" s="4033"/>
      <c r="EO16" s="4033"/>
      <c r="EP16" s="4033"/>
      <c r="EQ16" s="4033"/>
      <c r="ER16" s="4033"/>
      <c r="ES16" s="4033"/>
      <c r="ET16" s="4033"/>
      <c r="EU16" s="4033"/>
      <c r="EV16" s="4033"/>
      <c r="EW16" s="4033"/>
      <c r="EX16" s="4033"/>
      <c r="EY16" s="4033"/>
      <c r="EZ16" s="4033"/>
      <c r="FA16" s="4033"/>
      <c r="FB16" s="4033"/>
      <c r="FC16" s="4033"/>
      <c r="FD16" s="4033"/>
      <c r="FE16" s="4033"/>
      <c r="FF16" s="4033"/>
      <c r="FG16" s="4033"/>
      <c r="FH16" s="4033"/>
      <c r="FI16" s="4033"/>
      <c r="FJ16" s="4033"/>
      <c r="FK16" s="4033"/>
      <c r="FL16" s="4033"/>
      <c r="FM16" s="4033"/>
      <c r="FN16" s="4033"/>
      <c r="FO16" s="4033"/>
      <c r="FP16" s="4033"/>
      <c r="FQ16" s="4033"/>
      <c r="FR16" s="4033"/>
      <c r="FS16" s="4033"/>
      <c r="FT16" s="4033"/>
      <c r="FU16" s="4033"/>
      <c r="FV16" s="4033"/>
      <c r="FW16" s="4045"/>
      <c r="FX16" s="677"/>
    </row>
    <row r="17" spans="1:184" ht="15" customHeight="1">
      <c r="E17" s="848"/>
      <c r="F17" s="3863"/>
      <c r="G17" s="3863"/>
      <c r="H17" s="3863"/>
      <c r="I17" s="3863"/>
      <c r="J17" s="4035"/>
      <c r="K17" s="4035"/>
      <c r="L17" s="4035"/>
      <c r="M17" s="4035"/>
      <c r="N17" s="4035"/>
      <c r="O17" s="1098" t="s">
        <v>1051</v>
      </c>
      <c r="P17" s="1098" t="s">
        <v>1052</v>
      </c>
      <c r="Q17" s="1098" t="s">
        <v>1051</v>
      </c>
      <c r="R17" s="1098" t="s">
        <v>1052</v>
      </c>
      <c r="S17" s="1098" t="s">
        <v>1051</v>
      </c>
      <c r="T17" s="1098" t="s">
        <v>1052</v>
      </c>
      <c r="U17" s="1098" t="s">
        <v>1051</v>
      </c>
      <c r="V17" s="1098" t="s">
        <v>1052</v>
      </c>
      <c r="W17" s="1098" t="s">
        <v>1051</v>
      </c>
      <c r="X17" s="1098" t="s">
        <v>1052</v>
      </c>
      <c r="Y17" s="1098" t="s">
        <v>1051</v>
      </c>
      <c r="Z17" s="1098" t="s">
        <v>1052</v>
      </c>
      <c r="AA17" s="1098" t="s">
        <v>1051</v>
      </c>
      <c r="AB17" s="1098" t="s">
        <v>1052</v>
      </c>
      <c r="AC17" s="4033"/>
      <c r="AD17" s="4033"/>
      <c r="AE17" s="4033"/>
      <c r="AF17" s="4033"/>
      <c r="AG17" s="4033"/>
      <c r="AH17" s="4033"/>
      <c r="AI17" s="4033"/>
      <c r="AJ17" s="4033"/>
      <c r="AK17" s="4033"/>
      <c r="AL17" s="4033"/>
      <c r="AM17" s="4033"/>
      <c r="AN17" s="4033"/>
      <c r="AO17" s="4033"/>
      <c r="AP17" s="4033"/>
      <c r="AQ17" s="4033"/>
      <c r="AR17" s="4033"/>
      <c r="AS17" s="4033"/>
      <c r="AT17" s="4033"/>
      <c r="AU17" s="4033"/>
      <c r="AV17" s="4033"/>
      <c r="AW17" s="4033"/>
      <c r="AX17" s="4033"/>
      <c r="AY17" s="4033"/>
      <c r="AZ17" s="4033"/>
      <c r="BA17" s="4033"/>
      <c r="BB17" s="4033"/>
      <c r="BC17" s="4033"/>
      <c r="BD17" s="4033"/>
      <c r="BE17" s="4033"/>
      <c r="BF17" s="4033"/>
      <c r="BG17" s="4033"/>
      <c r="BH17" s="4033"/>
      <c r="BI17" s="4033"/>
      <c r="BJ17" s="4033"/>
      <c r="BK17" s="4033"/>
      <c r="BL17" s="4033"/>
      <c r="BM17" s="4033"/>
      <c r="BN17" s="4033"/>
      <c r="BO17" s="4033"/>
      <c r="BP17" s="4033"/>
      <c r="BQ17" s="4033"/>
      <c r="BR17" s="4033"/>
      <c r="BS17" s="4050"/>
      <c r="BT17" s="1098" t="s">
        <v>1051</v>
      </c>
      <c r="BU17" s="1098" t="s">
        <v>1052</v>
      </c>
      <c r="BV17" s="1098" t="s">
        <v>1051</v>
      </c>
      <c r="BW17" s="1098" t="s">
        <v>1052</v>
      </c>
      <c r="BX17" s="1098" t="s">
        <v>1051</v>
      </c>
      <c r="BY17" s="1098" t="s">
        <v>1052</v>
      </c>
      <c r="BZ17" s="1098" t="s">
        <v>1051</v>
      </c>
      <c r="CA17" s="1098" t="s">
        <v>1052</v>
      </c>
      <c r="CB17" s="1098" t="s">
        <v>1051</v>
      </c>
      <c r="CC17" s="1098" t="s">
        <v>1052</v>
      </c>
      <c r="CD17" s="1098" t="s">
        <v>1051</v>
      </c>
      <c r="CE17" s="1098" t="s">
        <v>1052</v>
      </c>
      <c r="CF17" s="1098" t="s">
        <v>1051</v>
      </c>
      <c r="CG17" s="1098" t="s">
        <v>1052</v>
      </c>
      <c r="CH17" s="1098" t="s">
        <v>1051</v>
      </c>
      <c r="CI17" s="1098" t="s">
        <v>1052</v>
      </c>
      <c r="CJ17" s="1098" t="s">
        <v>1051</v>
      </c>
      <c r="CK17" s="1098" t="s">
        <v>1052</v>
      </c>
      <c r="CL17" s="4034"/>
      <c r="CM17" s="4033"/>
      <c r="CN17" s="4033"/>
      <c r="CO17" s="4033"/>
      <c r="CP17" s="4033"/>
      <c r="CQ17" s="4033"/>
      <c r="CR17" s="4033"/>
      <c r="CS17" s="4033"/>
      <c r="CT17" s="4033"/>
      <c r="CU17" s="4033"/>
      <c r="CV17" s="4033"/>
      <c r="CW17" s="4033"/>
      <c r="CX17" s="4050"/>
      <c r="CY17" s="1098" t="s">
        <v>1051</v>
      </c>
      <c r="CZ17" s="1098" t="s">
        <v>1052</v>
      </c>
      <c r="DA17" s="1098" t="s">
        <v>1051</v>
      </c>
      <c r="DB17" s="1098" t="s">
        <v>1052</v>
      </c>
      <c r="DC17" s="1098" t="s">
        <v>1051</v>
      </c>
      <c r="DD17" s="1098" t="s">
        <v>1052</v>
      </c>
      <c r="DE17" s="1098" t="s">
        <v>1051</v>
      </c>
      <c r="DF17" s="1098" t="s">
        <v>1052</v>
      </c>
      <c r="DG17" s="1098" t="s">
        <v>1051</v>
      </c>
      <c r="DH17" s="1098" t="s">
        <v>1052</v>
      </c>
      <c r="DI17" s="1098" t="s">
        <v>1051</v>
      </c>
      <c r="DJ17" s="1098" t="s">
        <v>1052</v>
      </c>
      <c r="DK17" s="4034"/>
      <c r="DL17" s="4033"/>
      <c r="DM17" s="4033"/>
      <c r="DN17" s="4033"/>
      <c r="DO17" s="4033"/>
      <c r="DP17" s="4033"/>
      <c r="DQ17" s="4033"/>
      <c r="DR17" s="4033"/>
      <c r="DS17" s="4033"/>
      <c r="DT17" s="4033"/>
      <c r="DU17" s="4033"/>
      <c r="DV17" s="4033"/>
      <c r="DW17" s="4033"/>
      <c r="DX17" s="4033"/>
      <c r="DY17" s="4033"/>
      <c r="DZ17" s="4033"/>
      <c r="EA17" s="4033"/>
      <c r="EB17" s="4033"/>
      <c r="EC17" s="4033"/>
      <c r="ED17" s="4033"/>
      <c r="EE17" s="4033"/>
      <c r="EF17" s="4033"/>
      <c r="EG17" s="4033"/>
      <c r="EH17" s="4033"/>
      <c r="EI17" s="4033"/>
      <c r="EJ17" s="4033"/>
      <c r="EK17" s="4033"/>
      <c r="EL17" s="4033"/>
      <c r="EM17" s="4033"/>
      <c r="EN17" s="4033"/>
      <c r="EO17" s="4033"/>
      <c r="EP17" s="4033"/>
      <c r="EQ17" s="4033"/>
      <c r="ER17" s="4033"/>
      <c r="ES17" s="4033"/>
      <c r="ET17" s="4033"/>
      <c r="EU17" s="4033"/>
      <c r="EV17" s="4033"/>
      <c r="EW17" s="4033"/>
      <c r="EX17" s="4033"/>
      <c r="EY17" s="4033"/>
      <c r="EZ17" s="4033"/>
      <c r="FA17" s="4033"/>
      <c r="FB17" s="4033"/>
      <c r="FC17" s="4033"/>
      <c r="FD17" s="4033"/>
      <c r="FE17" s="4033"/>
      <c r="FF17" s="4033"/>
      <c r="FG17" s="4033"/>
      <c r="FH17" s="4033"/>
      <c r="FI17" s="4033"/>
      <c r="FJ17" s="4033"/>
      <c r="FK17" s="4033"/>
      <c r="FL17" s="4033"/>
      <c r="FM17" s="4033"/>
      <c r="FN17" s="4033"/>
      <c r="FO17" s="4033"/>
      <c r="FP17" s="4033"/>
      <c r="FQ17" s="4033"/>
      <c r="FR17" s="4033"/>
      <c r="FS17" s="4033"/>
      <c r="FT17" s="4033"/>
      <c r="FU17" s="4033"/>
      <c r="FV17" s="4033"/>
      <c r="FW17" s="4046"/>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407</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38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892"/>
      <c r="F5" s="3892"/>
      <c r="G5" s="3892"/>
      <c r="H5" s="3892"/>
      <c r="I5" s="460"/>
    </row>
    <row r="6" spans="1:18" ht="15" customHeight="1">
      <c r="C6" s="94"/>
      <c r="D6" s="3839" t="str">
        <f>IF(org=0,"Не определено",org)</f>
        <v>ГУП СК "Ставрополькрайводоканал"</v>
      </c>
      <c r="E6" s="3839"/>
      <c r="F6" s="3839"/>
      <c r="G6" s="3839"/>
      <c r="H6" s="3839"/>
      <c r="I6" s="460"/>
    </row>
    <row r="7" spans="1:18" s="1555" customFormat="1" ht="15" customHeight="1">
      <c r="A7" s="674"/>
      <c r="C7" s="94"/>
      <c r="D7" s="594"/>
      <c r="E7" s="594"/>
      <c r="F7" s="594"/>
      <c r="G7" s="594"/>
      <c r="H7" s="667"/>
      <c r="I7" s="460"/>
      <c r="R7" s="593"/>
    </row>
    <row r="8" spans="1:18" ht="0.75" customHeight="1">
      <c r="C8" s="94"/>
      <c r="D8" s="433"/>
      <c r="E8" s="433"/>
      <c r="F8" s="433"/>
      <c r="G8" s="433"/>
      <c r="H8" s="460" t="s">
        <v>135</v>
      </c>
    </row>
    <row r="9" spans="1:18" ht="15" customHeight="1">
      <c r="C9" s="94"/>
      <c r="D9" s="628"/>
      <c r="E9" s="3983" t="s">
        <v>125</v>
      </c>
      <c r="F9" s="3984"/>
      <c r="G9" s="730" t="str">
        <f>IF(G8="","",INDEX(DIFFERENTIATION_UNMERGE_VD,MATCH(G8,DIFFERENTIATION_ID_DIFF,0)))</f>
        <v/>
      </c>
      <c r="H9" s="730">
        <f>IF(H8="","",INDEX(DIFFERENTIATION_UNMERGE_VD,MATCH(H8,DIFFERENTIATION_ID_DIFF,0)))</f>
        <v>0</v>
      </c>
      <c r="I9" s="3778" t="s">
        <v>330</v>
      </c>
    </row>
    <row r="10" spans="1:18" s="1555" customFormat="1" ht="15" customHeight="1">
      <c r="A10" s="674"/>
      <c r="C10" s="94"/>
      <c r="D10" s="628"/>
      <c r="E10" s="3983" t="s">
        <v>588</v>
      </c>
      <c r="F10" s="3984"/>
      <c r="G10" s="730" t="str">
        <f>IF(G8="","",INDEX(DIFFERENTIATION_UNMERGE_AREA,MATCH(G8,DIFFERENTIATION_ID_DIFF,0)))</f>
        <v/>
      </c>
      <c r="H10" s="730" t="str">
        <f>IF(H8="","",INDEX(DIFFERENTIATION_UNMERGE_AREA,MATCH(H8,DIFFERENTIATION_ID_DIFF,0)))</f>
        <v/>
      </c>
      <c r="I10" s="3778"/>
      <c r="R10" s="593"/>
    </row>
    <row r="11" spans="1:18" s="1555" customFormat="1" ht="15" customHeight="1">
      <c r="A11" s="674"/>
      <c r="C11" s="94"/>
      <c r="D11" s="628"/>
      <c r="E11" s="3983" t="s">
        <v>589</v>
      </c>
      <c r="F11" s="3984"/>
      <c r="G11" s="730" t="str">
        <f>IF(G8="","",INDEX(DIFFERENTIATION_UNMERGE_SYSTEM,MATCH(G8,DIFFERENTIATION_ID_DIFF,0)))</f>
        <v/>
      </c>
      <c r="H11" s="730" t="str">
        <f>IF(H8="","",INDEX(DIFFERENTIATION_UNMERGE_SYSTEM,MATCH(H8,DIFFERENTIATION_ID_DIFF,0)))</f>
        <v>без дифференциации</v>
      </c>
      <c r="I11" s="3778"/>
      <c r="R11" s="593"/>
    </row>
    <row r="12" spans="1:18" s="1555" customFormat="1" ht="15" customHeight="1">
      <c r="A12" s="674"/>
      <c r="C12" s="94"/>
      <c r="D12" s="3985" t="s">
        <v>329</v>
      </c>
      <c r="E12" s="3986"/>
      <c r="F12" s="3986"/>
      <c r="G12" s="801"/>
      <c r="H12" s="801"/>
      <c r="I12" s="3778"/>
      <c r="R12" s="593"/>
    </row>
    <row r="13" spans="1:18" ht="33.75" customHeight="1">
      <c r="C13" s="94"/>
      <c r="D13" s="676" t="s">
        <v>86</v>
      </c>
      <c r="E13" s="675" t="s">
        <v>331</v>
      </c>
      <c r="F13" s="675" t="s">
        <v>590</v>
      </c>
      <c r="G13" s="722" t="s">
        <v>332</v>
      </c>
      <c r="H13" s="669" t="s">
        <v>332</v>
      </c>
      <c r="I13" s="3778"/>
    </row>
    <row r="14" spans="1:18" ht="15" hidden="1" customHeight="1">
      <c r="C14" s="94"/>
      <c r="D14" s="514" t="s">
        <v>129</v>
      </c>
      <c r="E14" s="514" t="s">
        <v>102</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1053</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1053</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1053</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335</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1054</v>
      </c>
      <c r="E20" s="606"/>
      <c r="F20" s="433"/>
      <c r="G20" s="433"/>
      <c r="H20" s="433"/>
      <c r="I20" s="1682"/>
    </row>
    <row r="21" spans="1:18" ht="27.75" customHeight="1">
      <c r="C21" s="376"/>
      <c r="D21" s="462" t="s">
        <v>344</v>
      </c>
      <c r="E21" s="588"/>
      <c r="F21" s="1680" t="str">
        <f>IF(TEMPLATE_SPHERE="HEAT","Гкал/час","тыс. куб. м/сутки")</f>
        <v>тыс. куб. м/сутки</v>
      </c>
      <c r="G21" s="598"/>
      <c r="H21" s="598"/>
      <c r="I21" s="382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1055</v>
      </c>
      <c r="F22" s="495"/>
      <c r="G22" s="495"/>
      <c r="H22" s="495"/>
      <c r="I22" s="3825"/>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7"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381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814"/>
      <c r="F5" s="3814"/>
      <c r="G5" s="3815"/>
    </row>
    <row r="6" spans="1:16" s="1555" customFormat="1" ht="18" customHeight="1">
      <c r="A6" s="796"/>
      <c r="B6" s="346"/>
      <c r="C6" s="300"/>
      <c r="D6" s="3873" t="str">
        <f>IF(org=0,"Не определено",org)</f>
        <v>ГУП СК "Ставрополькрайводоканал"</v>
      </c>
      <c r="E6" s="3874"/>
      <c r="F6" s="3874"/>
      <c r="G6" s="3875"/>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3868" t="s">
        <v>329</v>
      </c>
      <c r="E9" s="3868"/>
      <c r="F9" s="3868"/>
      <c r="G9" s="4051" t="s">
        <v>330</v>
      </c>
    </row>
    <row r="10" spans="1:16" ht="14.25" customHeight="1">
      <c r="C10" s="26"/>
      <c r="D10" s="32" t="s">
        <v>86</v>
      </c>
      <c r="E10" s="35" t="s">
        <v>331</v>
      </c>
      <c r="F10" s="35" t="s">
        <v>421</v>
      </c>
      <c r="G10" s="4051"/>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335</v>
      </c>
      <c r="G12" s="71"/>
    </row>
    <row r="13" spans="1:16" ht="22.5" customHeight="1">
      <c r="A13" s="109"/>
      <c r="C13" s="26"/>
      <c r="D13" s="67" t="s">
        <v>960</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335</v>
      </c>
      <c r="G13" s="71"/>
    </row>
    <row r="14" spans="1:16" ht="14.25" customHeight="1">
      <c r="A14" s="109"/>
      <c r="C14" s="26"/>
      <c r="D14" s="67" t="s">
        <v>996</v>
      </c>
      <c r="E14" s="112"/>
      <c r="F14" s="130"/>
      <c r="G14" s="38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1056</v>
      </c>
      <c r="F15" s="118"/>
      <c r="G15" s="3825"/>
    </row>
    <row r="16" spans="1:16" ht="14.25" customHeight="1">
      <c r="A16" s="109"/>
      <c r="C16" s="26"/>
      <c r="D16" s="67" t="s">
        <v>962</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335</v>
      </c>
      <c r="G16" s="259"/>
    </row>
    <row r="17" spans="1:16" ht="14.25" customHeight="1">
      <c r="A17" s="109"/>
      <c r="C17" s="26"/>
      <c r="D17" s="67" t="s">
        <v>1004</v>
      </c>
      <c r="E17" s="112"/>
      <c r="F17" s="314"/>
      <c r="G17" s="38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1057</v>
      </c>
      <c r="F18" s="260"/>
      <c r="G18" s="3825"/>
      <c r="I18" s="271"/>
      <c r="J18" s="271"/>
    </row>
    <row r="19" spans="1:16" s="1555" customFormat="1" ht="256.5" hidden="1" customHeight="1">
      <c r="A19" s="264"/>
      <c r="B19" s="346"/>
      <c r="C19" s="300"/>
      <c r="D19" s="798" t="s">
        <v>964</v>
      </c>
      <c r="E19" s="797" t="s">
        <v>1058</v>
      </c>
      <c r="F19" s="314"/>
      <c r="G19" s="259" t="s">
        <v>1059</v>
      </c>
      <c r="I19" s="424"/>
      <c r="J19" s="424"/>
    </row>
    <row r="20" spans="1:16" s="1555" customFormat="1" ht="14.25" customHeight="1">
      <c r="A20" s="264"/>
      <c r="B20" s="66"/>
      <c r="C20" s="222"/>
      <c r="D20" s="799">
        <v>2</v>
      </c>
      <c r="E20" s="252" t="s">
        <v>1060</v>
      </c>
      <c r="F20" s="115" t="s">
        <v>335</v>
      </c>
      <c r="G20" s="259"/>
      <c r="I20" s="271"/>
      <c r="J20" s="271"/>
    </row>
    <row r="21" spans="1:16" s="1555" customFormat="1" ht="18.75" hidden="1" customHeight="1">
      <c r="A21" s="264"/>
      <c r="B21" s="66"/>
      <c r="C21" s="222"/>
      <c r="D21" s="255" t="s">
        <v>890</v>
      </c>
      <c r="E21" s="254"/>
      <c r="F21" s="253"/>
      <c r="G21" s="263"/>
      <c r="H21" s="256"/>
      <c r="I21" s="271"/>
      <c r="J21" s="271"/>
    </row>
    <row r="22" spans="1:16" ht="15" customHeight="1">
      <c r="A22" s="109"/>
      <c r="C22" s="26"/>
      <c r="D22" s="36"/>
      <c r="E22" s="120" t="s">
        <v>1061</v>
      </c>
      <c r="F22" s="260"/>
      <c r="G22" s="261"/>
    </row>
    <row r="23" spans="1:16" s="1555" customFormat="1" ht="22.5" hidden="1" customHeight="1">
      <c r="A23" s="264"/>
      <c r="B23" s="1065"/>
      <c r="C23" s="300"/>
      <c r="D23" s="1593" t="s">
        <v>102</v>
      </c>
      <c r="E23" s="114" t="s">
        <v>1062</v>
      </c>
      <c r="F23" s="1590" t="s">
        <v>335</v>
      </c>
      <c r="G23" s="266"/>
      <c r="I23" s="1544"/>
      <c r="J23" s="1544"/>
    </row>
    <row r="24" spans="1:16" s="1555" customFormat="1" ht="14.25" hidden="1" customHeight="1">
      <c r="A24" s="264"/>
      <c r="B24" s="1065"/>
      <c r="C24" s="300"/>
      <c r="D24" s="1593" t="s">
        <v>646</v>
      </c>
      <c r="E24" s="1592" t="s">
        <v>1063</v>
      </c>
      <c r="F24" s="1590" t="s">
        <v>335</v>
      </c>
      <c r="G24" s="259"/>
      <c r="I24" s="1544"/>
      <c r="J24" s="1544"/>
    </row>
    <row r="25" spans="1:16" s="1555" customFormat="1" ht="14.25" hidden="1" customHeight="1">
      <c r="A25" s="264"/>
      <c r="B25" s="1065"/>
      <c r="C25" s="300"/>
      <c r="D25" s="1593" t="s">
        <v>649</v>
      </c>
      <c r="E25" s="112"/>
      <c r="F25" s="314"/>
      <c r="G25" s="3823" t="s">
        <v>1064</v>
      </c>
      <c r="I25" s="1544"/>
      <c r="J25" s="1544"/>
    </row>
    <row r="26" spans="1:16" s="1555" customFormat="1" ht="22.5" hidden="1" customHeight="1">
      <c r="A26" s="264"/>
      <c r="B26" s="1065"/>
      <c r="C26" s="300"/>
      <c r="D26" s="268"/>
      <c r="E26" s="270" t="s">
        <v>1065</v>
      </c>
      <c r="F26" s="260"/>
      <c r="G26" s="3825"/>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16"/>
  <sheetViews>
    <sheetView showGridLines="0" tabSelected="1" topLeftCell="C13" zoomScale="90" workbookViewId="0">
      <selection activeCell="G23" sqref="G23"/>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103</v>
      </c>
      <c r="D2" s="1593"/>
      <c r="E2" s="116"/>
      <c r="F2" s="1590"/>
      <c r="G2" s="1590" t="s">
        <v>335</v>
      </c>
      <c r="H2" s="1066"/>
      <c r="K2" s="1544"/>
      <c r="L2" s="1544"/>
    </row>
    <row r="3" spans="1:12" s="1555" customFormat="1" ht="14.25" hidden="1" customHeight="1">
      <c r="A3" s="1283"/>
      <c r="B3" s="1065"/>
      <c r="C3" s="265"/>
      <c r="K3" s="1544"/>
      <c r="L3" s="1544"/>
    </row>
    <row r="4" spans="1:12" s="1555" customFormat="1" ht="18.75" hidden="1" customHeight="1">
      <c r="A4" s="1603"/>
      <c r="B4" s="1065"/>
      <c r="C4" s="1649" t="s">
        <v>103</v>
      </c>
      <c r="D4" s="1593"/>
      <c r="E4" s="122" t="s">
        <v>1066</v>
      </c>
      <c r="F4" s="1590"/>
      <c r="G4" s="172"/>
      <c r="H4" s="1590" t="s">
        <v>335</v>
      </c>
      <c r="K4" s="1544"/>
      <c r="L4" s="1544"/>
    </row>
    <row r="5" spans="1:12" s="1555" customFormat="1" ht="14.25" hidden="1" customHeight="1">
      <c r="A5" s="1283"/>
      <c r="B5" s="1065"/>
      <c r="C5" s="265"/>
      <c r="K5" s="1544"/>
      <c r="L5" s="1544"/>
    </row>
    <row r="6" spans="1:12" s="1555" customFormat="1" ht="18.75" hidden="1" customHeight="1">
      <c r="A6" s="1603"/>
      <c r="B6" s="1065"/>
      <c r="C6" s="1649" t="s">
        <v>103</v>
      </c>
      <c r="D6" s="1593"/>
      <c r="E6" s="123" t="s">
        <v>1067</v>
      </c>
      <c r="F6" s="1590"/>
      <c r="G6" s="172"/>
      <c r="H6" s="1590" t="s">
        <v>335</v>
      </c>
      <c r="K6" s="1544"/>
      <c r="L6" s="1544"/>
    </row>
    <row r="7" spans="1:12" s="1555" customFormat="1" ht="14.25" hidden="1" customHeight="1">
      <c r="A7" s="1283"/>
      <c r="B7" s="1065"/>
      <c r="C7" s="265"/>
      <c r="K7" s="1544"/>
      <c r="L7" s="1544"/>
    </row>
    <row r="8" spans="1:12" s="1555" customFormat="1" ht="18.75" hidden="1" customHeight="1">
      <c r="A8" s="1603"/>
      <c r="B8" s="1065"/>
      <c r="C8" s="1649" t="s">
        <v>103</v>
      </c>
      <c r="D8" s="1593"/>
      <c r="E8" s="123" t="s">
        <v>1068</v>
      </c>
      <c r="F8" s="1590"/>
      <c r="G8" s="172"/>
      <c r="H8" s="1590" t="s">
        <v>335</v>
      </c>
      <c r="K8" s="1544"/>
      <c r="L8" s="1544"/>
    </row>
    <row r="9" spans="1:12" s="1555" customFormat="1" ht="14.25" hidden="1" customHeight="1">
      <c r="A9" s="1283"/>
      <c r="B9" s="1065"/>
      <c r="C9" s="265"/>
      <c r="K9" s="1544"/>
      <c r="L9" s="1544"/>
    </row>
    <row r="10" spans="1:12" s="1555" customFormat="1" ht="18.75" hidden="1" customHeight="1">
      <c r="A10" s="1603"/>
      <c r="B10" s="1065"/>
      <c r="C10" s="1649" t="s">
        <v>103</v>
      </c>
      <c r="D10" s="1593"/>
      <c r="E10" s="123" t="s">
        <v>1069</v>
      </c>
      <c r="F10" s="1590"/>
      <c r="G10" s="1594"/>
      <c r="H10" s="1590" t="s">
        <v>335</v>
      </c>
      <c r="K10" s="1544"/>
      <c r="L10" s="1544" t="s">
        <v>1070</v>
      </c>
    </row>
    <row r="11" spans="1:12" ht="14.25" hidden="1" customHeight="1"/>
    <row r="12" spans="1:12" ht="14.25" hidden="1" customHeight="1"/>
    <row r="13" spans="1:12" ht="14.25" customHeight="1">
      <c r="C13" s="26"/>
      <c r="D13" s="15"/>
      <c r="E13" s="15"/>
      <c r="F13" s="15"/>
      <c r="G13" s="15"/>
      <c r="H13" s="16"/>
      <c r="I13" s="16"/>
    </row>
    <row r="14" spans="1:12" ht="27.75" customHeight="1">
      <c r="C14" s="26"/>
      <c r="D14" s="381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814"/>
      <c r="F14" s="3814"/>
      <c r="G14" s="3814"/>
      <c r="H14" s="3815"/>
      <c r="J14" s="1551"/>
    </row>
    <row r="15" spans="1:12" s="1555" customFormat="1" ht="14.25" customHeight="1">
      <c r="A15" s="1283"/>
      <c r="B15" s="1065"/>
      <c r="C15" s="300"/>
      <c r="D15" s="3873" t="str">
        <f>IF(org=0,"Не определено",org)</f>
        <v>ГУП СК "Ставрополькрайводоканал"</v>
      </c>
      <c r="E15" s="3874"/>
      <c r="F15" s="3874"/>
      <c r="G15" s="3874"/>
      <c r="H15" s="3875"/>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3868" t="s">
        <v>329</v>
      </c>
      <c r="E18" s="3868"/>
      <c r="F18" s="3868"/>
      <c r="G18" s="3868"/>
      <c r="H18" s="3868"/>
      <c r="I18" s="4051" t="s">
        <v>330</v>
      </c>
    </row>
    <row r="19" spans="1:12" ht="21" customHeight="1">
      <c r="C19" s="26"/>
      <c r="D19" s="32" t="s">
        <v>86</v>
      </c>
      <c r="E19" s="35" t="s">
        <v>331</v>
      </c>
      <c r="F19" s="35"/>
      <c r="G19" s="35" t="s">
        <v>332</v>
      </c>
      <c r="H19" s="35" t="s">
        <v>421</v>
      </c>
      <c r="I19" s="4051"/>
    </row>
    <row r="20" spans="1:12" ht="12" hidden="1" customHeight="1">
      <c r="C20" s="26"/>
      <c r="D20" s="18"/>
      <c r="E20" s="18"/>
      <c r="F20" s="18"/>
      <c r="G20" s="18"/>
      <c r="H20" s="18"/>
      <c r="I20" s="18"/>
    </row>
    <row r="21" spans="1:12" ht="14.25" customHeight="1">
      <c r="A21" s="1603"/>
      <c r="C21" s="26"/>
      <c r="D21" s="67">
        <v>1</v>
      </c>
      <c r="E21" s="4053" t="s">
        <v>1071</v>
      </c>
      <c r="F21" s="4053"/>
      <c r="G21" s="4053"/>
      <c r="H21" s="4053"/>
      <c r="I21" s="125"/>
    </row>
    <row r="22" spans="1:12" ht="20.25" customHeight="1">
      <c r="A22" s="1603"/>
      <c r="C22" s="26"/>
      <c r="D22" s="67" t="s">
        <v>960</v>
      </c>
      <c r="E22" s="111" t="s">
        <v>1072</v>
      </c>
      <c r="F22" s="115"/>
      <c r="G22" s="1656">
        <v>45289</v>
      </c>
      <c r="H22" s="115" t="s">
        <v>335</v>
      </c>
      <c r="I22" s="71" t="s">
        <v>1073</v>
      </c>
    </row>
    <row r="23" spans="1:12" ht="45" customHeight="1">
      <c r="A23" s="1603"/>
      <c r="C23" s="26"/>
      <c r="D23" s="67" t="s">
        <v>962</v>
      </c>
      <c r="E23" s="111" t="s">
        <v>1074</v>
      </c>
      <c r="F23" s="115"/>
      <c r="G23" s="3628" t="s">
        <v>1075</v>
      </c>
      <c r="H23" s="130" t="s">
        <v>1076</v>
      </c>
      <c r="I23" s="173" t="s">
        <v>1077</v>
      </c>
    </row>
    <row r="24" spans="1:12" ht="35.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335</v>
      </c>
      <c r="H24" s="130" t="s">
        <v>1078</v>
      </c>
      <c r="I24" s="174" t="s">
        <v>827</v>
      </c>
    </row>
    <row r="25" spans="1:12" ht="46.5" customHeight="1">
      <c r="A25" s="1603"/>
      <c r="C25" s="26"/>
      <c r="D25" s="67">
        <v>3</v>
      </c>
      <c r="E25" s="40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4053"/>
      <c r="G25" s="4053"/>
      <c r="H25" s="4053"/>
      <c r="I25" s="171"/>
    </row>
    <row r="26" spans="1:12" ht="35.25" customHeight="1">
      <c r="A26" s="1603"/>
      <c r="C26" s="26"/>
      <c r="D26" s="67" t="s">
        <v>355</v>
      </c>
      <c r="E26" s="116" t="s">
        <v>1079</v>
      </c>
      <c r="F26" s="115"/>
      <c r="G26" s="115" t="s">
        <v>335</v>
      </c>
      <c r="H26" s="130" t="s">
        <v>1078</v>
      </c>
      <c r="I26" s="3823" t="s">
        <v>1080</v>
      </c>
    </row>
    <row r="27" spans="1:12" s="1555" customFormat="1" ht="57" customHeight="1">
      <c r="A27" s="1603"/>
      <c r="B27" s="1287"/>
      <c r="C27" s="1649" t="s">
        <v>103</v>
      </c>
      <c r="D27" s="1810" t="s">
        <v>363</v>
      </c>
      <c r="E27" s="1687" t="s">
        <v>1081</v>
      </c>
      <c r="F27" s="1824"/>
      <c r="G27" s="1824" t="s">
        <v>335</v>
      </c>
      <c r="H27" s="1069" t="s">
        <v>1078</v>
      </c>
      <c r="I27" s="4052"/>
      <c r="K27" s="1544"/>
      <c r="L27" s="1544"/>
    </row>
    <row r="28" spans="1:12" s="1555" customFormat="1" ht="78.75" customHeight="1">
      <c r="A28" s="1603"/>
      <c r="B28" s="1287"/>
      <c r="C28" s="1649" t="s">
        <v>103</v>
      </c>
      <c r="D28" s="1810" t="s">
        <v>365</v>
      </c>
      <c r="E28" s="1687" t="s">
        <v>1082</v>
      </c>
      <c r="F28" s="1824"/>
      <c r="G28" s="1824" t="s">
        <v>335</v>
      </c>
      <c r="H28" s="1069" t="s">
        <v>1078</v>
      </c>
      <c r="I28" s="4052"/>
      <c r="K28" s="1544"/>
      <c r="L28" s="1544"/>
    </row>
    <row r="29" spans="1:12" s="1555" customFormat="1" ht="35.25" customHeight="1">
      <c r="A29" s="1603"/>
      <c r="B29" s="1287"/>
      <c r="C29" s="1649" t="s">
        <v>103</v>
      </c>
      <c r="D29" s="1810" t="s">
        <v>367</v>
      </c>
      <c r="E29" s="1687" t="s">
        <v>1083</v>
      </c>
      <c r="F29" s="1824"/>
      <c r="G29" s="1824" t="s">
        <v>335</v>
      </c>
      <c r="H29" s="1069" t="s">
        <v>1078</v>
      </c>
      <c r="I29" s="4052"/>
      <c r="K29" s="1544"/>
      <c r="L29" s="1544"/>
    </row>
    <row r="30" spans="1:12" s="1555" customFormat="1" ht="57" customHeight="1">
      <c r="A30" s="1603"/>
      <c r="B30" s="1287"/>
      <c r="C30" s="1649" t="s">
        <v>103</v>
      </c>
      <c r="D30" s="1810" t="s">
        <v>855</v>
      </c>
      <c r="E30" s="1687" t="s">
        <v>1084</v>
      </c>
      <c r="F30" s="1824"/>
      <c r="G30" s="1824" t="s">
        <v>335</v>
      </c>
      <c r="H30" s="1069" t="s">
        <v>1078</v>
      </c>
      <c r="I30" s="4052"/>
      <c r="K30" s="1544"/>
      <c r="L30" s="1544"/>
    </row>
    <row r="31" spans="1:12" s="1555" customFormat="1" ht="78.75" customHeight="1">
      <c r="A31" s="1603"/>
      <c r="B31" s="1287"/>
      <c r="C31" s="1649" t="s">
        <v>103</v>
      </c>
      <c r="D31" s="1810" t="s">
        <v>857</v>
      </c>
      <c r="E31" s="1687" t="s">
        <v>1085</v>
      </c>
      <c r="F31" s="1824"/>
      <c r="G31" s="1824" t="s">
        <v>335</v>
      </c>
      <c r="H31" s="1069" t="s">
        <v>1078</v>
      </c>
      <c r="I31" s="4052"/>
      <c r="K31" s="1544"/>
      <c r="L31" s="1544"/>
    </row>
    <row r="32" spans="1:12" s="1555" customFormat="1" ht="99.75" customHeight="1">
      <c r="A32" s="1603"/>
      <c r="B32" s="1287"/>
      <c r="C32" s="1649" t="s">
        <v>103</v>
      </c>
      <c r="D32" s="1810" t="s">
        <v>859</v>
      </c>
      <c r="E32" s="1687" t="s">
        <v>1086</v>
      </c>
      <c r="F32" s="1824"/>
      <c r="G32" s="1824" t="s">
        <v>335</v>
      </c>
      <c r="H32" s="1069" t="s">
        <v>1078</v>
      </c>
      <c r="I32" s="4052"/>
      <c r="K32" s="1544"/>
      <c r="L32" s="1544"/>
    </row>
    <row r="33" spans="1:12" s="1555" customFormat="1" ht="89.25" customHeight="1">
      <c r="A33" s="1603"/>
      <c r="B33" s="1287"/>
      <c r="C33" s="1649" t="s">
        <v>103</v>
      </c>
      <c r="D33" s="1810" t="s">
        <v>1087</v>
      </c>
      <c r="E33" s="1687" t="s">
        <v>1088</v>
      </c>
      <c r="F33" s="1824"/>
      <c r="G33" s="1824" t="s">
        <v>335</v>
      </c>
      <c r="H33" s="1069" t="s">
        <v>1078</v>
      </c>
      <c r="I33" s="4052"/>
      <c r="K33" s="1544"/>
      <c r="L33" s="1544"/>
    </row>
    <row r="34" spans="1:12" s="1555" customFormat="1" ht="121.5" customHeight="1">
      <c r="A34" s="1603"/>
      <c r="B34" s="1287"/>
      <c r="C34" s="1649" t="s">
        <v>103</v>
      </c>
      <c r="D34" s="1810" t="s">
        <v>1089</v>
      </c>
      <c r="E34" s="1687" t="s">
        <v>1090</v>
      </c>
      <c r="F34" s="1824"/>
      <c r="G34" s="1824" t="s">
        <v>335</v>
      </c>
      <c r="H34" s="1069" t="s">
        <v>1078</v>
      </c>
      <c r="I34" s="4052"/>
      <c r="K34" s="1544"/>
      <c r="L34" s="1544"/>
    </row>
    <row r="35" spans="1:12" ht="15" customHeight="1">
      <c r="A35" s="1603" t="s">
        <v>129</v>
      </c>
      <c r="C35" s="26"/>
      <c r="D35" s="36"/>
      <c r="E35" s="120" t="s">
        <v>1061</v>
      </c>
      <c r="F35" s="121"/>
      <c r="G35" s="121"/>
      <c r="H35" s="118"/>
      <c r="I35" s="3825"/>
    </row>
    <row r="36" spans="1:12" ht="38.25" customHeight="1">
      <c r="A36" s="1603"/>
      <c r="B36" s="66">
        <v>3</v>
      </c>
      <c r="C36" s="26"/>
      <c r="D36" s="67">
        <v>4</v>
      </c>
      <c r="E36" s="40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36" s="4053"/>
      <c r="G36" s="4053"/>
      <c r="H36" s="4053"/>
      <c r="I36" s="171"/>
    </row>
    <row r="37" spans="1:12" ht="24" customHeight="1">
      <c r="A37" s="1603"/>
      <c r="C37" s="26"/>
      <c r="D37" s="67" t="s">
        <v>691</v>
      </c>
      <c r="E37" s="122" t="s">
        <v>1066</v>
      </c>
      <c r="F37" s="115"/>
      <c r="G37" s="172" t="s">
        <v>1091</v>
      </c>
      <c r="H37" s="115" t="s">
        <v>335</v>
      </c>
      <c r="I37" s="3823" t="s">
        <v>1092</v>
      </c>
    </row>
    <row r="38" spans="1:12" s="1555" customFormat="1" ht="143.25" customHeight="1">
      <c r="A38" s="1603"/>
      <c r="B38" s="1287"/>
      <c r="C38" s="1649" t="s">
        <v>103</v>
      </c>
      <c r="D38" s="1810" t="s">
        <v>734</v>
      </c>
      <c r="E38" s="1819" t="s">
        <v>1066</v>
      </c>
      <c r="F38" s="1824"/>
      <c r="G38" s="1823" t="s">
        <v>1093</v>
      </c>
      <c r="H38" s="1824" t="s">
        <v>335</v>
      </c>
      <c r="I38" s="4052"/>
      <c r="K38" s="1544"/>
      <c r="L38" s="1544"/>
    </row>
    <row r="39" spans="1:12" s="1555" customFormat="1" ht="89.25" customHeight="1">
      <c r="A39" s="1603"/>
      <c r="B39" s="1287"/>
      <c r="C39" s="1649" t="s">
        <v>103</v>
      </c>
      <c r="D39" s="1810" t="s">
        <v>737</v>
      </c>
      <c r="E39" s="1819" t="s">
        <v>1066</v>
      </c>
      <c r="F39" s="1824"/>
      <c r="G39" s="1823" t="s">
        <v>1094</v>
      </c>
      <c r="H39" s="1824" t="s">
        <v>335</v>
      </c>
      <c r="I39" s="4052"/>
      <c r="K39" s="1544"/>
      <c r="L39" s="1544"/>
    </row>
    <row r="40" spans="1:12" s="1555" customFormat="1" ht="57" customHeight="1">
      <c r="A40" s="1603"/>
      <c r="B40" s="1287"/>
      <c r="C40" s="1649" t="s">
        <v>103</v>
      </c>
      <c r="D40" s="1810" t="s">
        <v>815</v>
      </c>
      <c r="E40" s="1819" t="s">
        <v>1066</v>
      </c>
      <c r="F40" s="1824"/>
      <c r="G40" s="1823" t="s">
        <v>1095</v>
      </c>
      <c r="H40" s="1824" t="s">
        <v>335</v>
      </c>
      <c r="I40" s="4052"/>
      <c r="K40" s="1544"/>
      <c r="L40" s="1544"/>
    </row>
    <row r="41" spans="1:12" s="1555" customFormat="1" ht="45.75" customHeight="1">
      <c r="A41" s="1603"/>
      <c r="B41" s="1287"/>
      <c r="C41" s="1649" t="s">
        <v>103</v>
      </c>
      <c r="D41" s="1810" t="s">
        <v>817</v>
      </c>
      <c r="E41" s="1819" t="s">
        <v>1066</v>
      </c>
      <c r="F41" s="1824"/>
      <c r="G41" s="1823" t="s">
        <v>1096</v>
      </c>
      <c r="H41" s="1824" t="s">
        <v>335</v>
      </c>
      <c r="I41" s="4052"/>
      <c r="K41" s="1544"/>
      <c r="L41" s="1544"/>
    </row>
    <row r="42" spans="1:12" s="1555" customFormat="1" ht="45.75" customHeight="1">
      <c r="A42" s="1603"/>
      <c r="B42" s="1287"/>
      <c r="C42" s="1649" t="s">
        <v>103</v>
      </c>
      <c r="D42" s="1810" t="s">
        <v>863</v>
      </c>
      <c r="E42" s="1819" t="s">
        <v>1066</v>
      </c>
      <c r="F42" s="1824"/>
      <c r="G42" s="1823" t="s">
        <v>1097</v>
      </c>
      <c r="H42" s="1824" t="s">
        <v>335</v>
      </c>
      <c r="I42" s="4052"/>
      <c r="K42" s="1544"/>
      <c r="L42" s="1544"/>
    </row>
    <row r="43" spans="1:12" s="1555" customFormat="1" ht="121.5" customHeight="1">
      <c r="A43" s="1603"/>
      <c r="B43" s="1287"/>
      <c r="C43" s="1649" t="s">
        <v>103</v>
      </c>
      <c r="D43" s="1810" t="s">
        <v>864</v>
      </c>
      <c r="E43" s="1819" t="s">
        <v>1066</v>
      </c>
      <c r="F43" s="1824"/>
      <c r="G43" s="1823" t="s">
        <v>1098</v>
      </c>
      <c r="H43" s="1824" t="s">
        <v>335</v>
      </c>
      <c r="I43" s="4052"/>
      <c r="K43" s="1544"/>
      <c r="L43" s="1544"/>
    </row>
    <row r="44" spans="1:12" s="1555" customFormat="1" ht="121.5" customHeight="1">
      <c r="A44" s="1603"/>
      <c r="B44" s="1287"/>
      <c r="C44" s="1649" t="s">
        <v>103</v>
      </c>
      <c r="D44" s="1810" t="s">
        <v>1099</v>
      </c>
      <c r="E44" s="1819" t="s">
        <v>1066</v>
      </c>
      <c r="F44" s="1824"/>
      <c r="G44" s="1823" t="s">
        <v>1100</v>
      </c>
      <c r="H44" s="1824" t="s">
        <v>335</v>
      </c>
      <c r="I44" s="4052"/>
      <c r="K44" s="1544"/>
      <c r="L44" s="1544"/>
    </row>
    <row r="45" spans="1:12" s="1555" customFormat="1" ht="111" customHeight="1">
      <c r="A45" s="1603"/>
      <c r="B45" s="1287"/>
      <c r="C45" s="1649" t="s">
        <v>103</v>
      </c>
      <c r="D45" s="1810" t="s">
        <v>1101</v>
      </c>
      <c r="E45" s="1819" t="s">
        <v>1066</v>
      </c>
      <c r="F45" s="1824"/>
      <c r="G45" s="1823" t="s">
        <v>1102</v>
      </c>
      <c r="H45" s="1824" t="s">
        <v>335</v>
      </c>
      <c r="I45" s="4052"/>
      <c r="K45" s="1544"/>
      <c r="L45" s="1544"/>
    </row>
    <row r="46" spans="1:12" s="1555" customFormat="1" ht="111" customHeight="1">
      <c r="A46" s="1603"/>
      <c r="B46" s="1287"/>
      <c r="C46" s="1649" t="s">
        <v>103</v>
      </c>
      <c r="D46" s="1810" t="s">
        <v>1103</v>
      </c>
      <c r="E46" s="1819" t="s">
        <v>1066</v>
      </c>
      <c r="F46" s="1824"/>
      <c r="G46" s="1823" t="s">
        <v>1104</v>
      </c>
      <c r="H46" s="1824" t="s">
        <v>335</v>
      </c>
      <c r="I46" s="4052"/>
      <c r="K46" s="1544"/>
      <c r="L46" s="1544"/>
    </row>
    <row r="47" spans="1:12" s="1555" customFormat="1" ht="121.5" customHeight="1">
      <c r="A47" s="1603"/>
      <c r="B47" s="1287"/>
      <c r="C47" s="1649" t="s">
        <v>103</v>
      </c>
      <c r="D47" s="1810" t="s">
        <v>1105</v>
      </c>
      <c r="E47" s="1819" t="s">
        <v>1066</v>
      </c>
      <c r="F47" s="1824"/>
      <c r="G47" s="1823" t="s">
        <v>1106</v>
      </c>
      <c r="H47" s="1824" t="s">
        <v>335</v>
      </c>
      <c r="I47" s="4052"/>
      <c r="K47" s="1544"/>
      <c r="L47" s="1544"/>
    </row>
    <row r="48" spans="1:12" s="1555" customFormat="1" ht="121.5" customHeight="1">
      <c r="A48" s="1603"/>
      <c r="B48" s="1287"/>
      <c r="C48" s="1649" t="s">
        <v>103</v>
      </c>
      <c r="D48" s="1810" t="s">
        <v>1107</v>
      </c>
      <c r="E48" s="1819" t="s">
        <v>1066</v>
      </c>
      <c r="F48" s="1824"/>
      <c r="G48" s="1823" t="s">
        <v>1108</v>
      </c>
      <c r="H48" s="1824" t="s">
        <v>335</v>
      </c>
      <c r="I48" s="4052"/>
      <c r="K48" s="1544"/>
      <c r="L48" s="1544"/>
    </row>
    <row r="49" spans="1:12" s="1555" customFormat="1" ht="121.5" customHeight="1">
      <c r="A49" s="1603"/>
      <c r="B49" s="1287"/>
      <c r="C49" s="1649" t="s">
        <v>103</v>
      </c>
      <c r="D49" s="1810" t="s">
        <v>1109</v>
      </c>
      <c r="E49" s="1819" t="s">
        <v>1066</v>
      </c>
      <c r="F49" s="1824"/>
      <c r="G49" s="1823" t="s">
        <v>1110</v>
      </c>
      <c r="H49" s="1824" t="s">
        <v>335</v>
      </c>
      <c r="I49" s="4052"/>
      <c r="K49" s="1544"/>
      <c r="L49" s="1544"/>
    </row>
    <row r="50" spans="1:12" s="1555" customFormat="1" ht="121.5" customHeight="1">
      <c r="A50" s="1603"/>
      <c r="B50" s="1287"/>
      <c r="C50" s="1649" t="s">
        <v>103</v>
      </c>
      <c r="D50" s="1810" t="s">
        <v>1111</v>
      </c>
      <c r="E50" s="1819" t="s">
        <v>1066</v>
      </c>
      <c r="F50" s="1824"/>
      <c r="G50" s="1823" t="s">
        <v>1112</v>
      </c>
      <c r="H50" s="1824" t="s">
        <v>335</v>
      </c>
      <c r="I50" s="4052"/>
      <c r="K50" s="1544"/>
      <c r="L50" s="1544"/>
    </row>
    <row r="51" spans="1:12" ht="15" customHeight="1">
      <c r="A51" s="1603" t="s">
        <v>102</v>
      </c>
      <c r="C51" s="26"/>
      <c r="D51" s="36"/>
      <c r="E51" s="120" t="s">
        <v>1061</v>
      </c>
      <c r="F51" s="121"/>
      <c r="G51" s="121"/>
      <c r="H51" s="118"/>
      <c r="I51" s="3825"/>
    </row>
    <row r="52" spans="1:12" ht="30" customHeight="1">
      <c r="A52" s="1603"/>
      <c r="B52" s="66">
        <v>3</v>
      </c>
      <c r="C52" s="26"/>
      <c r="D52" s="67">
        <v>5</v>
      </c>
      <c r="E52" s="40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2" s="4053"/>
      <c r="G52" s="4053"/>
      <c r="H52" s="4053"/>
      <c r="I52" s="171"/>
    </row>
    <row r="53" spans="1:12" ht="26.25" customHeight="1">
      <c r="A53" s="1603"/>
      <c r="C53" s="26"/>
      <c r="D53" s="67" t="s">
        <v>344</v>
      </c>
      <c r="E53" s="40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3" s="4009"/>
      <c r="G53" s="4009"/>
      <c r="H53" s="4009"/>
      <c r="I53" s="171"/>
    </row>
    <row r="54" spans="1:12" ht="14.25" customHeight="1">
      <c r="A54" s="1603"/>
      <c r="C54" s="26"/>
      <c r="D54" s="67" t="s">
        <v>1113</v>
      </c>
      <c r="E54" s="123" t="s">
        <v>1067</v>
      </c>
      <c r="F54" s="115"/>
      <c r="G54" s="172" t="s">
        <v>1114</v>
      </c>
      <c r="H54" s="115" t="s">
        <v>335</v>
      </c>
      <c r="I54" s="3823" t="s">
        <v>1115</v>
      </c>
    </row>
    <row r="55" spans="1:12" s="1555" customFormat="1" ht="18.75" customHeight="1">
      <c r="A55" s="1603"/>
      <c r="B55" s="1287"/>
      <c r="C55" s="1649" t="s">
        <v>103</v>
      </c>
      <c r="D55" s="1810" t="s">
        <v>1116</v>
      </c>
      <c r="E55" s="123" t="s">
        <v>1067</v>
      </c>
      <c r="F55" s="1824"/>
      <c r="G55" s="1823" t="s">
        <v>1117</v>
      </c>
      <c r="H55" s="1824" t="s">
        <v>335</v>
      </c>
      <c r="I55" s="4052"/>
      <c r="K55" s="1544"/>
      <c r="L55" s="1544"/>
    </row>
    <row r="56" spans="1:12" s="1555" customFormat="1" ht="18.75" customHeight="1">
      <c r="A56" s="1603"/>
      <c r="B56" s="1287"/>
      <c r="C56" s="1649" t="s">
        <v>103</v>
      </c>
      <c r="D56" s="1810" t="s">
        <v>1118</v>
      </c>
      <c r="E56" s="123" t="s">
        <v>1067</v>
      </c>
      <c r="F56" s="1824"/>
      <c r="G56" s="1823" t="s">
        <v>1119</v>
      </c>
      <c r="H56" s="1824" t="s">
        <v>335</v>
      </c>
      <c r="I56" s="4052"/>
      <c r="K56" s="1544"/>
      <c r="L56" s="1544"/>
    </row>
    <row r="57" spans="1:12" s="1555" customFormat="1" ht="18.75" customHeight="1">
      <c r="A57" s="1603"/>
      <c r="B57" s="1287"/>
      <c r="C57" s="1649" t="s">
        <v>103</v>
      </c>
      <c r="D57" s="1810" t="s">
        <v>1120</v>
      </c>
      <c r="E57" s="123" t="s">
        <v>1067</v>
      </c>
      <c r="F57" s="1824"/>
      <c r="G57" s="1823" t="s">
        <v>1121</v>
      </c>
      <c r="H57" s="1824" t="s">
        <v>335</v>
      </c>
      <c r="I57" s="4052"/>
      <c r="K57" s="1544"/>
      <c r="L57" s="1544"/>
    </row>
    <row r="58" spans="1:12" s="1555" customFormat="1" ht="18.75" customHeight="1">
      <c r="A58" s="1603"/>
      <c r="B58" s="1287"/>
      <c r="C58" s="1649" t="s">
        <v>103</v>
      </c>
      <c r="D58" s="1810" t="s">
        <v>1122</v>
      </c>
      <c r="E58" s="123" t="s">
        <v>1067</v>
      </c>
      <c r="F58" s="1824"/>
      <c r="G58" s="1823" t="s">
        <v>1123</v>
      </c>
      <c r="H58" s="1824" t="s">
        <v>335</v>
      </c>
      <c r="I58" s="4052"/>
      <c r="K58" s="1544"/>
      <c r="L58" s="1544"/>
    </row>
    <row r="59" spans="1:12" s="1555" customFormat="1" ht="18.75" customHeight="1">
      <c r="A59" s="1603"/>
      <c r="B59" s="1287"/>
      <c r="C59" s="1649" t="s">
        <v>103</v>
      </c>
      <c r="D59" s="1810" t="s">
        <v>1124</v>
      </c>
      <c r="E59" s="123" t="s">
        <v>1067</v>
      </c>
      <c r="F59" s="1824"/>
      <c r="G59" s="1823" t="s">
        <v>1125</v>
      </c>
      <c r="H59" s="1824" t="s">
        <v>335</v>
      </c>
      <c r="I59" s="4052"/>
      <c r="K59" s="1544"/>
      <c r="L59" s="1544"/>
    </row>
    <row r="60" spans="1:12" s="1555" customFormat="1" ht="18.75" customHeight="1">
      <c r="A60" s="1603"/>
      <c r="B60" s="1287"/>
      <c r="C60" s="1649" t="s">
        <v>103</v>
      </c>
      <c r="D60" s="1810" t="s">
        <v>1126</v>
      </c>
      <c r="E60" s="123" t="s">
        <v>1067</v>
      </c>
      <c r="F60" s="1824"/>
      <c r="G60" s="1823" t="s">
        <v>1127</v>
      </c>
      <c r="H60" s="1824" t="s">
        <v>335</v>
      </c>
      <c r="I60" s="4052"/>
      <c r="K60" s="1544"/>
      <c r="L60" s="1544"/>
    </row>
    <row r="61" spans="1:12" s="1555" customFormat="1" ht="18.75" customHeight="1">
      <c r="A61" s="1603"/>
      <c r="B61" s="1287"/>
      <c r="C61" s="1649" t="s">
        <v>103</v>
      </c>
      <c r="D61" s="1810" t="s">
        <v>1128</v>
      </c>
      <c r="E61" s="123" t="s">
        <v>1067</v>
      </c>
      <c r="F61" s="1824"/>
      <c r="G61" s="1823" t="s">
        <v>1129</v>
      </c>
      <c r="H61" s="1824" t="s">
        <v>335</v>
      </c>
      <c r="I61" s="4052"/>
      <c r="K61" s="1544"/>
      <c r="L61" s="1544"/>
    </row>
    <row r="62" spans="1:12" s="1555" customFormat="1" ht="18.75" customHeight="1">
      <c r="A62" s="1603"/>
      <c r="B62" s="1287"/>
      <c r="C62" s="1649" t="s">
        <v>103</v>
      </c>
      <c r="D62" s="1810" t="s">
        <v>1130</v>
      </c>
      <c r="E62" s="123" t="s">
        <v>1067</v>
      </c>
      <c r="F62" s="1824"/>
      <c r="G62" s="1823" t="s">
        <v>1131</v>
      </c>
      <c r="H62" s="1824" t="s">
        <v>335</v>
      </c>
      <c r="I62" s="4052"/>
      <c r="K62" s="1544"/>
      <c r="L62" s="1544"/>
    </row>
    <row r="63" spans="1:12" s="1555" customFormat="1" ht="18.75" customHeight="1">
      <c r="A63" s="1603"/>
      <c r="B63" s="1287"/>
      <c r="C63" s="1649" t="s">
        <v>103</v>
      </c>
      <c r="D63" s="1810" t="s">
        <v>1132</v>
      </c>
      <c r="E63" s="123" t="s">
        <v>1067</v>
      </c>
      <c r="F63" s="1824"/>
      <c r="G63" s="1823" t="s">
        <v>1133</v>
      </c>
      <c r="H63" s="1824" t="s">
        <v>335</v>
      </c>
      <c r="I63" s="4052"/>
      <c r="K63" s="1544"/>
      <c r="L63" s="1544"/>
    </row>
    <row r="64" spans="1:12" s="1555" customFormat="1" ht="18.75" customHeight="1">
      <c r="A64" s="1603"/>
      <c r="B64" s="1287"/>
      <c r="C64" s="1649" t="s">
        <v>103</v>
      </c>
      <c r="D64" s="1810" t="s">
        <v>1134</v>
      </c>
      <c r="E64" s="123" t="s">
        <v>1067</v>
      </c>
      <c r="F64" s="1824"/>
      <c r="G64" s="1823" t="s">
        <v>1135</v>
      </c>
      <c r="H64" s="1824" t="s">
        <v>335</v>
      </c>
      <c r="I64" s="4052"/>
      <c r="K64" s="1544"/>
      <c r="L64" s="1544"/>
    </row>
    <row r="65" spans="1:12" s="1555" customFormat="1" ht="18.75" customHeight="1">
      <c r="A65" s="1603"/>
      <c r="B65" s="1287"/>
      <c r="C65" s="1649" t="s">
        <v>103</v>
      </c>
      <c r="D65" s="1810" t="s">
        <v>1136</v>
      </c>
      <c r="E65" s="123" t="s">
        <v>1067</v>
      </c>
      <c r="F65" s="1824"/>
      <c r="G65" s="1823" t="s">
        <v>1137</v>
      </c>
      <c r="H65" s="1824" t="s">
        <v>335</v>
      </c>
      <c r="I65" s="4052"/>
      <c r="K65" s="1544"/>
      <c r="L65" s="1544"/>
    </row>
    <row r="66" spans="1:12" s="1555" customFormat="1" ht="18.75" customHeight="1">
      <c r="A66" s="1603"/>
      <c r="B66" s="1287"/>
      <c r="C66" s="1649" t="s">
        <v>103</v>
      </c>
      <c r="D66" s="1810" t="s">
        <v>1138</v>
      </c>
      <c r="E66" s="123" t="s">
        <v>1067</v>
      </c>
      <c r="F66" s="1824"/>
      <c r="G66" s="1823" t="s">
        <v>1139</v>
      </c>
      <c r="H66" s="1824" t="s">
        <v>335</v>
      </c>
      <c r="I66" s="4052"/>
      <c r="K66" s="1544"/>
      <c r="L66" s="1544"/>
    </row>
    <row r="67" spans="1:12" s="1555" customFormat="1" ht="18.75" customHeight="1">
      <c r="A67" s="1603"/>
      <c r="B67" s="1287"/>
      <c r="C67" s="1649" t="s">
        <v>103</v>
      </c>
      <c r="D67" s="1810" t="s">
        <v>1140</v>
      </c>
      <c r="E67" s="123" t="s">
        <v>1067</v>
      </c>
      <c r="F67" s="1824"/>
      <c r="G67" s="1823" t="s">
        <v>1141</v>
      </c>
      <c r="H67" s="1824" t="s">
        <v>335</v>
      </c>
      <c r="I67" s="4052"/>
      <c r="K67" s="1544"/>
      <c r="L67" s="1544"/>
    </row>
    <row r="68" spans="1:12" s="1555" customFormat="1" ht="18.75" customHeight="1">
      <c r="A68" s="1603"/>
      <c r="B68" s="1287"/>
      <c r="C68" s="1649" t="s">
        <v>103</v>
      </c>
      <c r="D68" s="1810" t="s">
        <v>1142</v>
      </c>
      <c r="E68" s="123" t="s">
        <v>1067</v>
      </c>
      <c r="F68" s="1824"/>
      <c r="G68" s="1823" t="s">
        <v>1143</v>
      </c>
      <c r="H68" s="1824" t="s">
        <v>335</v>
      </c>
      <c r="I68" s="4052"/>
      <c r="K68" s="1544"/>
      <c r="L68" s="1544"/>
    </row>
    <row r="69" spans="1:12" s="1555" customFormat="1" ht="18.75" customHeight="1">
      <c r="A69" s="1603"/>
      <c r="B69" s="1287"/>
      <c r="C69" s="1649" t="s">
        <v>103</v>
      </c>
      <c r="D69" s="1810" t="s">
        <v>1144</v>
      </c>
      <c r="E69" s="123" t="s">
        <v>1067</v>
      </c>
      <c r="F69" s="1824"/>
      <c r="G69" s="1823" t="s">
        <v>1145</v>
      </c>
      <c r="H69" s="1824" t="s">
        <v>335</v>
      </c>
      <c r="I69" s="4052"/>
      <c r="K69" s="1544"/>
      <c r="L69" s="1544"/>
    </row>
    <row r="70" spans="1:12" s="1555" customFormat="1" ht="18.75" customHeight="1">
      <c r="A70" s="1603"/>
      <c r="B70" s="1287"/>
      <c r="C70" s="1649" t="s">
        <v>103</v>
      </c>
      <c r="D70" s="1810" t="s">
        <v>1146</v>
      </c>
      <c r="E70" s="123" t="s">
        <v>1067</v>
      </c>
      <c r="F70" s="1824"/>
      <c r="G70" s="1823" t="s">
        <v>1147</v>
      </c>
      <c r="H70" s="1824" t="s">
        <v>335</v>
      </c>
      <c r="I70" s="4052"/>
      <c r="K70" s="1544"/>
      <c r="L70" s="1544"/>
    </row>
    <row r="71" spans="1:12" s="1555" customFormat="1" ht="18.75" customHeight="1">
      <c r="A71" s="1603"/>
      <c r="B71" s="1287"/>
      <c r="C71" s="1649" t="s">
        <v>103</v>
      </c>
      <c r="D71" s="1810" t="s">
        <v>1148</v>
      </c>
      <c r="E71" s="123" t="s">
        <v>1067</v>
      </c>
      <c r="F71" s="1824"/>
      <c r="G71" s="1823" t="s">
        <v>1149</v>
      </c>
      <c r="H71" s="1824" t="s">
        <v>335</v>
      </c>
      <c r="I71" s="4052"/>
      <c r="K71" s="1544"/>
      <c r="L71" s="1544"/>
    </row>
    <row r="72" spans="1:12" s="1555" customFormat="1" ht="18.75" customHeight="1">
      <c r="A72" s="1603"/>
      <c r="B72" s="1287"/>
      <c r="C72" s="1649" t="s">
        <v>103</v>
      </c>
      <c r="D72" s="1810" t="s">
        <v>1150</v>
      </c>
      <c r="E72" s="123" t="s">
        <v>1067</v>
      </c>
      <c r="F72" s="1824"/>
      <c r="G72" s="1823" t="s">
        <v>1151</v>
      </c>
      <c r="H72" s="1824" t="s">
        <v>335</v>
      </c>
      <c r="I72" s="4052"/>
      <c r="K72" s="1544"/>
      <c r="L72" s="1544"/>
    </row>
    <row r="73" spans="1:12" s="1555" customFormat="1" ht="18.75" customHeight="1">
      <c r="A73" s="1603"/>
      <c r="B73" s="1287"/>
      <c r="C73" s="1649" t="s">
        <v>103</v>
      </c>
      <c r="D73" s="1810" t="s">
        <v>1152</v>
      </c>
      <c r="E73" s="123" t="s">
        <v>1067</v>
      </c>
      <c r="F73" s="1824"/>
      <c r="G73" s="1823" t="s">
        <v>1153</v>
      </c>
      <c r="H73" s="1824" t="s">
        <v>335</v>
      </c>
      <c r="I73" s="4052"/>
      <c r="K73" s="1544"/>
      <c r="L73" s="1544"/>
    </row>
    <row r="74" spans="1:12" s="1555" customFormat="1" ht="18.75" customHeight="1">
      <c r="A74" s="1603"/>
      <c r="B74" s="1287"/>
      <c r="C74" s="1649" t="s">
        <v>103</v>
      </c>
      <c r="D74" s="1810" t="s">
        <v>1154</v>
      </c>
      <c r="E74" s="123" t="s">
        <v>1067</v>
      </c>
      <c r="F74" s="1824"/>
      <c r="G74" s="1823" t="s">
        <v>1155</v>
      </c>
      <c r="H74" s="1824" t="s">
        <v>335</v>
      </c>
      <c r="I74" s="4052"/>
      <c r="K74" s="1544"/>
      <c r="L74" s="1544"/>
    </row>
    <row r="75" spans="1:12" s="1555" customFormat="1" ht="18.75" customHeight="1">
      <c r="A75" s="1603"/>
      <c r="B75" s="1287"/>
      <c r="C75" s="1649" t="s">
        <v>103</v>
      </c>
      <c r="D75" s="1810" t="s">
        <v>1156</v>
      </c>
      <c r="E75" s="123" t="s">
        <v>1067</v>
      </c>
      <c r="F75" s="1824"/>
      <c r="G75" s="1823" t="s">
        <v>1157</v>
      </c>
      <c r="H75" s="1824" t="s">
        <v>335</v>
      </c>
      <c r="I75" s="4052"/>
      <c r="K75" s="1544"/>
      <c r="L75" s="1544"/>
    </row>
    <row r="76" spans="1:12" s="1555" customFormat="1" ht="18.75" customHeight="1">
      <c r="A76" s="1603"/>
      <c r="B76" s="1287"/>
      <c r="C76" s="1649" t="s">
        <v>103</v>
      </c>
      <c r="D76" s="1810" t="s">
        <v>1158</v>
      </c>
      <c r="E76" s="123" t="s">
        <v>1067</v>
      </c>
      <c r="F76" s="1824"/>
      <c r="G76" s="1823" t="s">
        <v>1159</v>
      </c>
      <c r="H76" s="1824" t="s">
        <v>335</v>
      </c>
      <c r="I76" s="4052"/>
      <c r="K76" s="1544"/>
      <c r="L76" s="1544"/>
    </row>
    <row r="77" spans="1:12" s="1555" customFormat="1" ht="18.75" customHeight="1">
      <c r="A77" s="1603"/>
      <c r="B77" s="1287"/>
      <c r="C77" s="1649" t="s">
        <v>103</v>
      </c>
      <c r="D77" s="1810" t="s">
        <v>1160</v>
      </c>
      <c r="E77" s="123" t="s">
        <v>1067</v>
      </c>
      <c r="F77" s="1824"/>
      <c r="G77" s="1823" t="s">
        <v>1161</v>
      </c>
      <c r="H77" s="1824" t="s">
        <v>335</v>
      </c>
      <c r="I77" s="4052"/>
      <c r="K77" s="1544"/>
      <c r="L77" s="1544"/>
    </row>
    <row r="78" spans="1:12" s="1555" customFormat="1" ht="18.75" customHeight="1">
      <c r="A78" s="1603"/>
      <c r="B78" s="1287"/>
      <c r="C78" s="1649" t="s">
        <v>103</v>
      </c>
      <c r="D78" s="1810" t="s">
        <v>1162</v>
      </c>
      <c r="E78" s="123" t="s">
        <v>1067</v>
      </c>
      <c r="F78" s="1824"/>
      <c r="G78" s="1823" t="s">
        <v>1163</v>
      </c>
      <c r="H78" s="1824" t="s">
        <v>335</v>
      </c>
      <c r="I78" s="4052"/>
      <c r="K78" s="1544"/>
      <c r="L78" s="1544"/>
    </row>
    <row r="79" spans="1:12" s="1555" customFormat="1" ht="18.75" customHeight="1">
      <c r="A79" s="1603"/>
      <c r="B79" s="1287"/>
      <c r="C79" s="1649" t="s">
        <v>103</v>
      </c>
      <c r="D79" s="1810" t="s">
        <v>1164</v>
      </c>
      <c r="E79" s="123" t="s">
        <v>1067</v>
      </c>
      <c r="F79" s="1824"/>
      <c r="G79" s="1823" t="s">
        <v>1165</v>
      </c>
      <c r="H79" s="1824" t="s">
        <v>335</v>
      </c>
      <c r="I79" s="4052"/>
      <c r="K79" s="1544"/>
      <c r="L79" s="1544"/>
    </row>
    <row r="80" spans="1:12" s="1555" customFormat="1" ht="18.75" customHeight="1">
      <c r="A80" s="1603"/>
      <c r="B80" s="1287"/>
      <c r="C80" s="1649" t="s">
        <v>103</v>
      </c>
      <c r="D80" s="1810" t="s">
        <v>1166</v>
      </c>
      <c r="E80" s="123" t="s">
        <v>1067</v>
      </c>
      <c r="F80" s="1824"/>
      <c r="G80" s="1823" t="s">
        <v>1167</v>
      </c>
      <c r="H80" s="1824" t="s">
        <v>335</v>
      </c>
      <c r="I80" s="4052"/>
      <c r="K80" s="1544"/>
      <c r="L80" s="1544"/>
    </row>
    <row r="81" spans="1:12" ht="15" customHeight="1">
      <c r="A81" s="1603" t="s">
        <v>88</v>
      </c>
      <c r="C81" s="26"/>
      <c r="D81" s="36"/>
      <c r="E81" s="121" t="s">
        <v>1061</v>
      </c>
      <c r="F81" s="117"/>
      <c r="G81" s="117"/>
      <c r="H81" s="118"/>
      <c r="I81" s="3825"/>
    </row>
    <row r="82" spans="1:12" ht="24" customHeight="1">
      <c r="A82" s="1603"/>
      <c r="C82" s="26"/>
      <c r="D82" s="67" t="s">
        <v>346</v>
      </c>
      <c r="E82" s="40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82" s="4009"/>
      <c r="G82" s="4009"/>
      <c r="H82" s="4009"/>
      <c r="I82" s="171"/>
    </row>
    <row r="83" spans="1:12" ht="13.5" customHeight="1">
      <c r="A83" s="1603"/>
      <c r="C83" s="26"/>
      <c r="D83" s="67" t="s">
        <v>1168</v>
      </c>
      <c r="E83" s="123" t="s">
        <v>1068</v>
      </c>
      <c r="F83" s="115"/>
      <c r="G83" s="172" t="s">
        <v>1169</v>
      </c>
      <c r="H83" s="115" t="s">
        <v>335</v>
      </c>
      <c r="I83" s="3794" t="s">
        <v>1170</v>
      </c>
    </row>
    <row r="84" spans="1:12" s="1555" customFormat="1" ht="24" customHeight="1">
      <c r="A84" s="1603"/>
      <c r="B84" s="1287"/>
      <c r="C84" s="1649" t="s">
        <v>103</v>
      </c>
      <c r="D84" s="1810" t="s">
        <v>1171</v>
      </c>
      <c r="E84" s="123" t="s">
        <v>1068</v>
      </c>
      <c r="F84" s="1824"/>
      <c r="G84" s="1823" t="s">
        <v>1172</v>
      </c>
      <c r="H84" s="1824" t="s">
        <v>335</v>
      </c>
      <c r="I84" s="4052"/>
      <c r="K84" s="1544"/>
      <c r="L84" s="1544"/>
    </row>
    <row r="85" spans="1:12" s="1555" customFormat="1" ht="24" customHeight="1">
      <c r="A85" s="1603"/>
      <c r="B85" s="1287"/>
      <c r="C85" s="1649" t="s">
        <v>103</v>
      </c>
      <c r="D85" s="1810" t="s">
        <v>1173</v>
      </c>
      <c r="E85" s="123" t="s">
        <v>1068</v>
      </c>
      <c r="F85" s="1824"/>
      <c r="G85" s="1823" t="s">
        <v>1174</v>
      </c>
      <c r="H85" s="1824" t="s">
        <v>335</v>
      </c>
      <c r="I85" s="4052"/>
      <c r="K85" s="1544"/>
      <c r="L85" s="1544"/>
    </row>
    <row r="86" spans="1:12" s="1555" customFormat="1" ht="45.75" customHeight="1">
      <c r="A86" s="1603"/>
      <c r="B86" s="1287"/>
      <c r="C86" s="1649" t="s">
        <v>103</v>
      </c>
      <c r="D86" s="1810" t="s">
        <v>1175</v>
      </c>
      <c r="E86" s="123" t="s">
        <v>1068</v>
      </c>
      <c r="F86" s="1824"/>
      <c r="G86" s="1823" t="s">
        <v>1176</v>
      </c>
      <c r="H86" s="1824" t="s">
        <v>335</v>
      </c>
      <c r="I86" s="4052"/>
      <c r="K86" s="1544"/>
      <c r="L86" s="1544"/>
    </row>
    <row r="87" spans="1:12" s="1555" customFormat="1" ht="24" customHeight="1">
      <c r="A87" s="1603"/>
      <c r="B87" s="1287"/>
      <c r="C87" s="1649" t="s">
        <v>103</v>
      </c>
      <c r="D87" s="1810" t="s">
        <v>1177</v>
      </c>
      <c r="E87" s="123" t="s">
        <v>1068</v>
      </c>
      <c r="F87" s="1824"/>
      <c r="G87" s="1823" t="s">
        <v>1178</v>
      </c>
      <c r="H87" s="1824" t="s">
        <v>335</v>
      </c>
      <c r="I87" s="4052"/>
      <c r="K87" s="1544"/>
      <c r="L87" s="1544"/>
    </row>
    <row r="88" spans="1:12" s="1555" customFormat="1" ht="35.25" customHeight="1">
      <c r="A88" s="1603"/>
      <c r="B88" s="1287"/>
      <c r="C88" s="1649" t="s">
        <v>103</v>
      </c>
      <c r="D88" s="1810" t="s">
        <v>1179</v>
      </c>
      <c r="E88" s="123" t="s">
        <v>1068</v>
      </c>
      <c r="F88" s="1824"/>
      <c r="G88" s="1823" t="s">
        <v>1180</v>
      </c>
      <c r="H88" s="1824" t="s">
        <v>335</v>
      </c>
      <c r="I88" s="4052"/>
      <c r="K88" s="1544"/>
      <c r="L88" s="1544"/>
    </row>
    <row r="89" spans="1:12" s="1555" customFormat="1" ht="24" customHeight="1">
      <c r="A89" s="1603"/>
      <c r="B89" s="1287"/>
      <c r="C89" s="1649" t="s">
        <v>103</v>
      </c>
      <c r="D89" s="1810" t="s">
        <v>1181</v>
      </c>
      <c r="E89" s="123" t="s">
        <v>1068</v>
      </c>
      <c r="F89" s="1824"/>
      <c r="G89" s="1823" t="s">
        <v>1182</v>
      </c>
      <c r="H89" s="1824" t="s">
        <v>335</v>
      </c>
      <c r="I89" s="4052"/>
      <c r="K89" s="1544"/>
      <c r="L89" s="1544"/>
    </row>
    <row r="90" spans="1:12" s="1555" customFormat="1" ht="24" customHeight="1">
      <c r="A90" s="1603"/>
      <c r="B90" s="1287"/>
      <c r="C90" s="1649" t="s">
        <v>103</v>
      </c>
      <c r="D90" s="1810" t="s">
        <v>1183</v>
      </c>
      <c r="E90" s="123" t="s">
        <v>1068</v>
      </c>
      <c r="F90" s="1824"/>
      <c r="G90" s="1823" t="s">
        <v>1184</v>
      </c>
      <c r="H90" s="1824" t="s">
        <v>335</v>
      </c>
      <c r="I90" s="4052"/>
      <c r="K90" s="1544"/>
      <c r="L90" s="1544"/>
    </row>
    <row r="91" spans="1:12" s="1555" customFormat="1" ht="24" customHeight="1">
      <c r="A91" s="1603"/>
      <c r="B91" s="1287"/>
      <c r="C91" s="1649" t="s">
        <v>103</v>
      </c>
      <c r="D91" s="1810" t="s">
        <v>1185</v>
      </c>
      <c r="E91" s="123" t="s">
        <v>1068</v>
      </c>
      <c r="F91" s="1824"/>
      <c r="G91" s="1823" t="s">
        <v>1186</v>
      </c>
      <c r="H91" s="1824" t="s">
        <v>335</v>
      </c>
      <c r="I91" s="4052"/>
      <c r="K91" s="1544"/>
      <c r="L91" s="1544"/>
    </row>
    <row r="92" spans="1:12" s="1555" customFormat="1" ht="24" customHeight="1">
      <c r="A92" s="1603"/>
      <c r="B92" s="1287"/>
      <c r="C92" s="1649" t="s">
        <v>103</v>
      </c>
      <c r="D92" s="1810" t="s">
        <v>1187</v>
      </c>
      <c r="E92" s="123" t="s">
        <v>1068</v>
      </c>
      <c r="F92" s="1824"/>
      <c r="G92" s="1823" t="s">
        <v>1188</v>
      </c>
      <c r="H92" s="1824" t="s">
        <v>335</v>
      </c>
      <c r="I92" s="4052"/>
      <c r="K92" s="1544"/>
      <c r="L92" s="1544"/>
    </row>
    <row r="93" spans="1:12" s="1555" customFormat="1" ht="24" customHeight="1">
      <c r="A93" s="1603"/>
      <c r="B93" s="1287"/>
      <c r="C93" s="1649" t="s">
        <v>103</v>
      </c>
      <c r="D93" s="1810" t="s">
        <v>1189</v>
      </c>
      <c r="E93" s="123" t="s">
        <v>1068</v>
      </c>
      <c r="F93" s="1824"/>
      <c r="G93" s="1823" t="s">
        <v>1190</v>
      </c>
      <c r="H93" s="1824" t="s">
        <v>335</v>
      </c>
      <c r="I93" s="4052"/>
      <c r="K93" s="1544"/>
      <c r="L93" s="1544"/>
    </row>
    <row r="94" spans="1:12" s="1555" customFormat="1" ht="24" customHeight="1">
      <c r="A94" s="1603"/>
      <c r="B94" s="1287"/>
      <c r="C94" s="1649" t="s">
        <v>103</v>
      </c>
      <c r="D94" s="1810" t="s">
        <v>1191</v>
      </c>
      <c r="E94" s="123" t="s">
        <v>1068</v>
      </c>
      <c r="F94" s="1824"/>
      <c r="G94" s="1823" t="s">
        <v>1192</v>
      </c>
      <c r="H94" s="1824" t="s">
        <v>335</v>
      </c>
      <c r="I94" s="4052"/>
      <c r="K94" s="1544"/>
      <c r="L94" s="1544"/>
    </row>
    <row r="95" spans="1:12" s="1555" customFormat="1" ht="24" customHeight="1">
      <c r="A95" s="1603"/>
      <c r="B95" s="1287"/>
      <c r="C95" s="1649" t="s">
        <v>103</v>
      </c>
      <c r="D95" s="1810" t="s">
        <v>1193</v>
      </c>
      <c r="E95" s="123" t="s">
        <v>1068</v>
      </c>
      <c r="F95" s="1824"/>
      <c r="G95" s="1823" t="s">
        <v>1194</v>
      </c>
      <c r="H95" s="1824" t="s">
        <v>335</v>
      </c>
      <c r="I95" s="4052"/>
      <c r="K95" s="1544"/>
      <c r="L95" s="1544"/>
    </row>
    <row r="96" spans="1:12" s="1555" customFormat="1" ht="24" customHeight="1">
      <c r="A96" s="1603"/>
      <c r="B96" s="1287"/>
      <c r="C96" s="1649" t="s">
        <v>103</v>
      </c>
      <c r="D96" s="1810" t="s">
        <v>1195</v>
      </c>
      <c r="E96" s="123" t="s">
        <v>1068</v>
      </c>
      <c r="F96" s="1824"/>
      <c r="G96" s="1823" t="s">
        <v>1196</v>
      </c>
      <c r="H96" s="1824" t="s">
        <v>335</v>
      </c>
      <c r="I96" s="4052"/>
      <c r="K96" s="1544"/>
      <c r="L96" s="1544"/>
    </row>
    <row r="97" spans="1:12" s="1555" customFormat="1" ht="35.25" customHeight="1">
      <c r="A97" s="1603"/>
      <c r="B97" s="1287"/>
      <c r="C97" s="1649" t="s">
        <v>103</v>
      </c>
      <c r="D97" s="1810" t="s">
        <v>1197</v>
      </c>
      <c r="E97" s="123" t="s">
        <v>1068</v>
      </c>
      <c r="F97" s="1824"/>
      <c r="G97" s="1823" t="s">
        <v>1198</v>
      </c>
      <c r="H97" s="1824" t="s">
        <v>335</v>
      </c>
      <c r="I97" s="4052"/>
      <c r="K97" s="1544"/>
      <c r="L97" s="1544"/>
    </row>
    <row r="98" spans="1:12" s="1555" customFormat="1" ht="35.25" customHeight="1">
      <c r="A98" s="1603"/>
      <c r="B98" s="1287"/>
      <c r="C98" s="1649" t="s">
        <v>103</v>
      </c>
      <c r="D98" s="1810" t="s">
        <v>1199</v>
      </c>
      <c r="E98" s="123" t="s">
        <v>1068</v>
      </c>
      <c r="F98" s="1824"/>
      <c r="G98" s="1823" t="s">
        <v>1200</v>
      </c>
      <c r="H98" s="1824" t="s">
        <v>335</v>
      </c>
      <c r="I98" s="4052"/>
      <c r="K98" s="1544"/>
      <c r="L98" s="1544"/>
    </row>
    <row r="99" spans="1:12" s="1555" customFormat="1" ht="35.25" customHeight="1">
      <c r="A99" s="1603"/>
      <c r="B99" s="1287"/>
      <c r="C99" s="1649" t="s">
        <v>103</v>
      </c>
      <c r="D99" s="1810" t="s">
        <v>1201</v>
      </c>
      <c r="E99" s="123" t="s">
        <v>1068</v>
      </c>
      <c r="F99" s="1824"/>
      <c r="G99" s="1823" t="s">
        <v>1202</v>
      </c>
      <c r="H99" s="1824" t="s">
        <v>335</v>
      </c>
      <c r="I99" s="4052"/>
      <c r="K99" s="1544"/>
      <c r="L99" s="1544"/>
    </row>
    <row r="100" spans="1:12" s="1555" customFormat="1" ht="24" customHeight="1">
      <c r="A100" s="1603"/>
      <c r="B100" s="1287"/>
      <c r="C100" s="1649" t="s">
        <v>103</v>
      </c>
      <c r="D100" s="1810" t="s">
        <v>1203</v>
      </c>
      <c r="E100" s="123" t="s">
        <v>1068</v>
      </c>
      <c r="F100" s="1824"/>
      <c r="G100" s="1823" t="s">
        <v>1204</v>
      </c>
      <c r="H100" s="1824" t="s">
        <v>335</v>
      </c>
      <c r="I100" s="4052"/>
      <c r="K100" s="1544"/>
      <c r="L100" s="1544"/>
    </row>
    <row r="101" spans="1:12" s="1555" customFormat="1" ht="35.25" customHeight="1">
      <c r="A101" s="1603"/>
      <c r="B101" s="1287"/>
      <c r="C101" s="1649" t="s">
        <v>103</v>
      </c>
      <c r="D101" s="1810" t="s">
        <v>1205</v>
      </c>
      <c r="E101" s="123" t="s">
        <v>1068</v>
      </c>
      <c r="F101" s="1824"/>
      <c r="G101" s="1823" t="s">
        <v>1206</v>
      </c>
      <c r="H101" s="1824" t="s">
        <v>335</v>
      </c>
      <c r="I101" s="4052"/>
      <c r="K101" s="1544"/>
      <c r="L101" s="1544"/>
    </row>
    <row r="102" spans="1:12" s="1555" customFormat="1" ht="24" customHeight="1">
      <c r="A102" s="1603"/>
      <c r="B102" s="1287"/>
      <c r="C102" s="1649" t="s">
        <v>103</v>
      </c>
      <c r="D102" s="1810" t="s">
        <v>1207</v>
      </c>
      <c r="E102" s="123" t="s">
        <v>1068</v>
      </c>
      <c r="F102" s="1824"/>
      <c r="G102" s="1823" t="s">
        <v>1208</v>
      </c>
      <c r="H102" s="1824" t="s">
        <v>335</v>
      </c>
      <c r="I102" s="4052"/>
      <c r="K102" s="1544"/>
      <c r="L102" s="1544"/>
    </row>
    <row r="103" spans="1:12" s="1555" customFormat="1" ht="45.75" customHeight="1">
      <c r="A103" s="1603"/>
      <c r="B103" s="1287"/>
      <c r="C103" s="1649" t="s">
        <v>103</v>
      </c>
      <c r="D103" s="1810" t="s">
        <v>1209</v>
      </c>
      <c r="E103" s="123" t="s">
        <v>1068</v>
      </c>
      <c r="F103" s="1824"/>
      <c r="G103" s="1823" t="s">
        <v>1210</v>
      </c>
      <c r="H103" s="1824" t="s">
        <v>335</v>
      </c>
      <c r="I103" s="4052"/>
      <c r="K103" s="1544"/>
      <c r="L103" s="1544"/>
    </row>
    <row r="104" spans="1:12" s="1555" customFormat="1" ht="24" customHeight="1">
      <c r="A104" s="1603"/>
      <c r="B104" s="1287"/>
      <c r="C104" s="1649" t="s">
        <v>103</v>
      </c>
      <c r="D104" s="1810" t="s">
        <v>1211</v>
      </c>
      <c r="E104" s="123" t="s">
        <v>1068</v>
      </c>
      <c r="F104" s="1824"/>
      <c r="G104" s="1823" t="s">
        <v>1212</v>
      </c>
      <c r="H104" s="1824" t="s">
        <v>335</v>
      </c>
      <c r="I104" s="4052"/>
      <c r="K104" s="1544"/>
      <c r="L104" s="1544"/>
    </row>
    <row r="105" spans="1:12" s="1555" customFormat="1" ht="24" customHeight="1">
      <c r="A105" s="1603"/>
      <c r="B105" s="1287"/>
      <c r="C105" s="1649" t="s">
        <v>103</v>
      </c>
      <c r="D105" s="1810" t="s">
        <v>1213</v>
      </c>
      <c r="E105" s="123" t="s">
        <v>1068</v>
      </c>
      <c r="F105" s="1824"/>
      <c r="G105" s="1823" t="s">
        <v>1214</v>
      </c>
      <c r="H105" s="1824" t="s">
        <v>335</v>
      </c>
      <c r="I105" s="4052"/>
      <c r="K105" s="1544"/>
      <c r="L105" s="1544"/>
    </row>
    <row r="106" spans="1:12" s="1555" customFormat="1" ht="35.25" customHeight="1">
      <c r="A106" s="1603"/>
      <c r="B106" s="1287"/>
      <c r="C106" s="1649" t="s">
        <v>103</v>
      </c>
      <c r="D106" s="1810" t="s">
        <v>1215</v>
      </c>
      <c r="E106" s="123" t="s">
        <v>1068</v>
      </c>
      <c r="F106" s="1824"/>
      <c r="G106" s="1823" t="s">
        <v>1216</v>
      </c>
      <c r="H106" s="1824" t="s">
        <v>335</v>
      </c>
      <c r="I106" s="4052"/>
      <c r="K106" s="1544"/>
      <c r="L106" s="1544"/>
    </row>
    <row r="107" spans="1:12" s="1555" customFormat="1" ht="24" customHeight="1">
      <c r="A107" s="1603"/>
      <c r="B107" s="1287"/>
      <c r="C107" s="1649" t="s">
        <v>103</v>
      </c>
      <c r="D107" s="1810" t="s">
        <v>1217</v>
      </c>
      <c r="E107" s="123" t="s">
        <v>1068</v>
      </c>
      <c r="F107" s="1824"/>
      <c r="G107" s="1823" t="s">
        <v>1218</v>
      </c>
      <c r="H107" s="1824" t="s">
        <v>335</v>
      </c>
      <c r="I107" s="4052"/>
      <c r="K107" s="1544"/>
      <c r="L107" s="1544"/>
    </row>
    <row r="108" spans="1:12" s="1555" customFormat="1" ht="24" customHeight="1">
      <c r="A108" s="1603"/>
      <c r="B108" s="1287"/>
      <c r="C108" s="1649" t="s">
        <v>103</v>
      </c>
      <c r="D108" s="1810" t="s">
        <v>1219</v>
      </c>
      <c r="E108" s="123" t="s">
        <v>1068</v>
      </c>
      <c r="F108" s="1824"/>
      <c r="G108" s="1823" t="s">
        <v>1220</v>
      </c>
      <c r="H108" s="1824" t="s">
        <v>335</v>
      </c>
      <c r="I108" s="4052"/>
      <c r="K108" s="1544"/>
      <c r="L108" s="1544"/>
    </row>
    <row r="109" spans="1:12" s="1555" customFormat="1" ht="24" customHeight="1">
      <c r="A109" s="1603"/>
      <c r="B109" s="1287"/>
      <c r="C109" s="1649" t="s">
        <v>103</v>
      </c>
      <c r="D109" s="1810" t="s">
        <v>1221</v>
      </c>
      <c r="E109" s="123" t="s">
        <v>1068</v>
      </c>
      <c r="F109" s="1824"/>
      <c r="G109" s="1823" t="s">
        <v>1222</v>
      </c>
      <c r="H109" s="1824" t="s">
        <v>335</v>
      </c>
      <c r="I109" s="4052"/>
      <c r="K109" s="1544"/>
      <c r="L109" s="1544"/>
    </row>
    <row r="110" spans="1:12" ht="15" customHeight="1">
      <c r="A110" s="1603" t="s">
        <v>89</v>
      </c>
      <c r="C110" s="26"/>
      <c r="D110" s="36"/>
      <c r="E110" s="121" t="s">
        <v>1061</v>
      </c>
      <c r="F110" s="117"/>
      <c r="G110" s="117"/>
      <c r="H110" s="118"/>
      <c r="I110" s="3794"/>
    </row>
    <row r="111" spans="1:12" ht="26.25" customHeight="1">
      <c r="A111" s="1603"/>
      <c r="C111" s="26"/>
      <c r="D111" s="67" t="s">
        <v>349</v>
      </c>
      <c r="E111" s="40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111" s="4009"/>
      <c r="G111" s="4009"/>
      <c r="H111" s="4009"/>
      <c r="I111" s="171"/>
    </row>
    <row r="112" spans="1:12" ht="14.25" customHeight="1">
      <c r="A112" s="1603"/>
      <c r="C112" s="26"/>
      <c r="D112" s="67" t="s">
        <v>820</v>
      </c>
      <c r="E112" s="123" t="s">
        <v>1069</v>
      </c>
      <c r="F112" s="115"/>
      <c r="G112" s="124" t="s">
        <v>1223</v>
      </c>
      <c r="H112" s="115" t="s">
        <v>335</v>
      </c>
      <c r="I112" s="3823" t="s">
        <v>1224</v>
      </c>
      <c r="L112" s="73" t="s">
        <v>1070</v>
      </c>
    </row>
    <row r="113" spans="1:12" s="1555" customFormat="1" ht="18.75" customHeight="1">
      <c r="A113" s="1603"/>
      <c r="B113" s="1287"/>
      <c r="C113" s="1649" t="s">
        <v>103</v>
      </c>
      <c r="D113" s="1810" t="s">
        <v>821</v>
      </c>
      <c r="E113" s="123" t="s">
        <v>1069</v>
      </c>
      <c r="F113" s="1824"/>
      <c r="G113" s="1821" t="s">
        <v>1225</v>
      </c>
      <c r="H113" s="1824" t="s">
        <v>335</v>
      </c>
      <c r="I113" s="4052"/>
      <c r="K113" s="1544"/>
      <c r="L113" s="1544" t="s">
        <v>1070</v>
      </c>
    </row>
    <row r="114" spans="1:12" ht="15" customHeight="1">
      <c r="A114" s="1603" t="s">
        <v>117</v>
      </c>
      <c r="C114" s="26"/>
      <c r="D114" s="36"/>
      <c r="E114" s="121" t="s">
        <v>1061</v>
      </c>
      <c r="F114" s="117"/>
      <c r="G114" s="117"/>
      <c r="H114" s="118"/>
      <c r="I114" s="3825"/>
    </row>
    <row r="115" spans="1:12" s="1742" customFormat="1" ht="3" customHeight="1">
      <c r="A115" s="1603"/>
      <c r="K115" s="113"/>
      <c r="L115" s="113"/>
    </row>
    <row r="116" spans="1:12" ht="24.75" customHeight="1">
      <c r="D116" s="1601" t="s">
        <v>742</v>
      </c>
      <c r="E116" s="39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116" s="3928"/>
      <c r="G116" s="3928"/>
      <c r="H116" s="3928"/>
      <c r="I116" s="3928"/>
    </row>
  </sheetData>
  <sheetProtection formatColumns="0" formatRows="0" insertRows="0" deleteColumns="0" deleteRows="0" sort="0" autoFilter="0"/>
  <mergeCells count="17">
    <mergeCell ref="I37:I51"/>
    <mergeCell ref="E52:H52"/>
    <mergeCell ref="D14:H14"/>
    <mergeCell ref="D18:H18"/>
    <mergeCell ref="I18:I19"/>
    <mergeCell ref="E21:H21"/>
    <mergeCell ref="E25:H25"/>
    <mergeCell ref="I26:I35"/>
    <mergeCell ref="E36:H36"/>
    <mergeCell ref="D15:H15"/>
    <mergeCell ref="E116:I116"/>
    <mergeCell ref="E53:H53"/>
    <mergeCell ref="E82:H82"/>
    <mergeCell ref="E111:H111"/>
    <mergeCell ref="I54:I81"/>
    <mergeCell ref="I83:I110"/>
    <mergeCell ref="I112:I11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112:G11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4">
      <formula1>900</formula1>
    </dataValidation>
    <dataValidation type="textLength" operator="lessThanOrEqual" allowBlank="1" showInputMessage="1" showErrorMessage="1" errorTitle="Ошибка" error="Допускается ввод не более 900 символов!" sqref="I23:I24 I54:I80 G83:G109 I112:I113 I26:I34 E37:E50 G54:G80 E83:E109 I37:I50 E54:E80 I83:I109 G23 E26:E34 I10 E23 G37:G50 E10 G8 E2 I2 I4 G4 E4 E6 I6 G6 E8 I8 E112:E113">
      <formula1>900</formula1>
    </dataValidation>
  </dataValidations>
  <hyperlinks>
    <hyperlink ref="G23" r:id="rId1" tooltip="http://skvk.ru/about/official/2024/8496/"/>
    <hyperlink ref="H24" r:id="rId2" tooltip="https://portal.eias.ru/Portal/DownloadPage.aspx?type=12&amp;guid=1941a757-16b2-4401-b1da-db20f358324b"/>
  </hyperlinks>
  <pageMargins left="0.7" right="0.7" top="0.75" bottom="0.75" header="0.3" footer="0.3"/>
  <pageSetup orientation="portrait"/>
  <headerFooter>
    <oddHeader>&amp;L&amp;C&amp;R</oddHeader>
    <oddFooter>&amp;L&amp;C&amp;R</oddFooter>
    <evenHeader>&amp;L&amp;C&amp;R</evenHeader>
    <evenFooter>&amp;L&amp;C&amp;R</even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56"/>
  <sheetViews>
    <sheetView showGridLines="0" topLeftCell="D13" zoomScale="90" workbookViewId="0">
      <selection activeCell="A325" sqref="A325:XFD326"/>
    </sheetView>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173</v>
      </c>
      <c r="B2" s="1700" t="s">
        <v>174</v>
      </c>
      <c r="C2" s="293"/>
      <c r="D2" s="265"/>
      <c r="E2" s="942"/>
      <c r="F2" s="942"/>
      <c r="G2" s="4025" t="str">
        <f>INDEX(PT_DIFFERENTIATION_NTAR,MATCH(B2,PT_DIFFERENTIATION_NTAR_ID,0))</f>
        <v/>
      </c>
      <c r="H2" s="1783"/>
      <c r="I2" s="1658"/>
      <c r="J2" s="1693"/>
      <c r="K2" s="1784"/>
      <c r="L2" s="1783" t="s">
        <v>335</v>
      </c>
      <c r="M2" s="1794"/>
      <c r="N2" s="256"/>
      <c r="O2" s="1544"/>
      <c r="P2" s="1544"/>
    </row>
    <row r="3" spans="1:33" s="1555" customFormat="1" ht="18.75" hidden="1" customHeight="1">
      <c r="A3" s="1700"/>
      <c r="B3" s="1700"/>
      <c r="C3" s="293" t="s">
        <v>1226</v>
      </c>
      <c r="D3" s="265"/>
      <c r="E3" s="942"/>
      <c r="F3" s="942"/>
      <c r="G3" s="4025"/>
      <c r="H3" s="1415"/>
      <c r="I3" s="569" t="s">
        <v>1227</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173</v>
      </c>
      <c r="B5" s="1700" t="s">
        <v>174</v>
      </c>
      <c r="C5" s="293"/>
      <c r="D5" s="265"/>
      <c r="E5" s="942"/>
      <c r="F5" s="942"/>
      <c r="G5" s="4025" t="str">
        <f>INDEX(PT_DIFFERENTIATION_NTAR,MATCH(B5,PT_DIFFERENTIATION_NTAR_ID,0))</f>
        <v/>
      </c>
      <c r="H5" s="1783"/>
      <c r="I5" s="1658"/>
      <c r="J5" s="1693"/>
      <c r="K5" s="1698"/>
      <c r="L5" s="1783" t="s">
        <v>335</v>
      </c>
      <c r="M5" s="1794"/>
      <c r="N5" s="256"/>
      <c r="O5" s="1544"/>
      <c r="P5" s="1544"/>
    </row>
    <row r="6" spans="1:33" s="1555" customFormat="1" ht="18.75" hidden="1" customHeight="1">
      <c r="A6" s="1700"/>
      <c r="B6" s="1700"/>
      <c r="C6" s="293" t="s">
        <v>1228</v>
      </c>
      <c r="D6" s="265"/>
      <c r="E6" s="942"/>
      <c r="F6" s="942"/>
      <c r="G6" s="4025"/>
      <c r="H6" s="1415"/>
      <c r="I6" s="569" t="s">
        <v>1227</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335</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335</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40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4059"/>
      <c r="G14" s="4059"/>
      <c r="H14" s="4059"/>
      <c r="I14" s="4059"/>
      <c r="J14" s="4059"/>
      <c r="K14" s="4059"/>
      <c r="L14" s="4059"/>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3910">
        <f>IF(TITLE_DATE_PR_CHANGE="",IF(TITLE_DATE_PR="","",TITLE_DATE_PR),TITLE_DATE_PR_CHANGE)</f>
        <v>45278</v>
      </c>
      <c r="H16" s="3910"/>
      <c r="I16" s="3910"/>
      <c r="J16" s="3910"/>
      <c r="K16" s="3910"/>
      <c r="L16" s="3910"/>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3901" t="str">
        <f>IF(TITLE_NUMBER_PR_CHANGE="",IF(TITLE_NUMBER_PR="","",TITLE_NUMBER_PR),TITLE_NUMBER_PR_CHANGE)</f>
        <v>79/2</v>
      </c>
      <c r="H17" s="3901"/>
      <c r="I17" s="3901"/>
      <c r="J17" s="3901"/>
      <c r="K17" s="3901"/>
      <c r="L17" s="3901"/>
      <c r="M17" s="327"/>
      <c r="N17" s="248"/>
    </row>
    <row r="18" spans="1:16" ht="14.25" customHeight="1">
      <c r="D18" s="300"/>
      <c r="E18" s="286"/>
      <c r="F18" s="318"/>
      <c r="G18" s="318"/>
      <c r="H18" s="318"/>
      <c r="I18" s="318"/>
      <c r="J18" s="318"/>
      <c r="K18" s="318"/>
      <c r="L18" s="667"/>
      <c r="M18" s="110"/>
    </row>
    <row r="19" spans="1:16" ht="21" customHeight="1">
      <c r="D19" s="300"/>
      <c r="E19" s="3868" t="s">
        <v>329</v>
      </c>
      <c r="F19" s="3868"/>
      <c r="G19" s="3868"/>
      <c r="H19" s="3868"/>
      <c r="I19" s="3868"/>
      <c r="J19" s="3868"/>
      <c r="K19" s="3868"/>
      <c r="L19" s="3868"/>
      <c r="M19" s="4051" t="s">
        <v>330</v>
      </c>
    </row>
    <row r="20" spans="1:16" ht="21" customHeight="1">
      <c r="D20" s="300"/>
      <c r="E20" s="3920" t="s">
        <v>86</v>
      </c>
      <c r="F20" s="3881" t="s">
        <v>140</v>
      </c>
      <c r="G20" s="3881" t="s">
        <v>141</v>
      </c>
      <c r="H20" s="4030" t="s">
        <v>1229</v>
      </c>
      <c r="I20" s="4031"/>
      <c r="J20" s="4032"/>
      <c r="K20" s="3881" t="s">
        <v>332</v>
      </c>
      <c r="L20" s="3881" t="s">
        <v>421</v>
      </c>
      <c r="M20" s="4051"/>
    </row>
    <row r="21" spans="1:16" ht="21" customHeight="1">
      <c r="D21" s="300"/>
      <c r="E21" s="3922"/>
      <c r="F21" s="3882"/>
      <c r="G21" s="3882"/>
      <c r="H21" s="3876" t="s">
        <v>1230</v>
      </c>
      <c r="I21" s="3878"/>
      <c r="J21" s="35" t="s">
        <v>1231</v>
      </c>
      <c r="K21" s="3882"/>
      <c r="L21" s="3882"/>
      <c r="M21" s="4051"/>
    </row>
    <row r="22" spans="1:16" ht="12" customHeight="1">
      <c r="D22" s="300"/>
      <c r="E22" s="197"/>
      <c r="F22" s="197"/>
      <c r="G22" s="197"/>
      <c r="H22" s="4061"/>
      <c r="I22" s="4061"/>
      <c r="J22" s="197"/>
      <c r="K22" s="197"/>
      <c r="L22" s="197"/>
      <c r="M22" s="197"/>
    </row>
    <row r="23" spans="1:16" ht="18.75" customHeight="1">
      <c r="A23" s="1700"/>
      <c r="B23" s="1700"/>
      <c r="D23" s="300"/>
      <c r="E23" s="1785" t="s">
        <v>129</v>
      </c>
      <c r="F23" s="4062" t="str">
        <f>"Предлагаемый метод регулирования"&amp;IF(TEMPLATE_SPHERE="HEAT"," в сфере "&amp;TEMPLATE_SPHERE_RUS,"")</f>
        <v>Предлагаемый метод регулирования</v>
      </c>
      <c r="G23" s="4062"/>
      <c r="H23" s="4053"/>
      <c r="I23" s="4053"/>
      <c r="J23" s="4053"/>
      <c r="K23" s="4062" t="s">
        <v>335</v>
      </c>
      <c r="L23" s="4053"/>
      <c r="M23" s="1689"/>
      <c r="N23" s="256"/>
    </row>
    <row r="24" spans="1:16" ht="60.75" hidden="1" customHeight="1">
      <c r="A24" s="1700" t="s">
        <v>173</v>
      </c>
      <c r="B24" s="1700" t="s">
        <v>174</v>
      </c>
      <c r="D24" s="4060"/>
      <c r="E24" s="3862"/>
      <c r="F24" s="40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025" t="str">
        <f>INDEX(PT_DIFFERENTIATION_NTAR,MATCH(B24,PT_DIFFERENTIATION_NTAR_ID,0))</f>
        <v/>
      </c>
      <c r="H24" s="1781"/>
      <c r="I24" s="1658"/>
      <c r="J24" s="1693"/>
      <c r="K24" s="1784"/>
      <c r="L24" s="1688" t="s">
        <v>335</v>
      </c>
      <c r="M24" s="3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1226</v>
      </c>
      <c r="D25" s="4060"/>
      <c r="E25" s="3862"/>
      <c r="F25" s="4063"/>
      <c r="G25" s="4025"/>
      <c r="H25" s="1415"/>
      <c r="I25" s="569" t="s">
        <v>1227</v>
      </c>
      <c r="J25" s="494"/>
      <c r="K25" s="1415"/>
      <c r="L25" s="131"/>
      <c r="M25" s="3824"/>
      <c r="N25" s="256"/>
      <c r="O25" s="1544"/>
      <c r="P25" s="1544"/>
    </row>
    <row r="26" spans="1:16" ht="0.75" hidden="1" customHeight="1">
      <c r="A26" s="1700"/>
      <c r="B26" s="1700"/>
      <c r="C26" s="293" t="s">
        <v>1232</v>
      </c>
      <c r="D26" s="4060"/>
      <c r="E26" s="3862"/>
      <c r="F26" s="3997"/>
      <c r="G26" s="329"/>
      <c r="H26" s="1415"/>
      <c r="I26" s="324"/>
      <c r="J26" s="270"/>
      <c r="K26" s="1415"/>
      <c r="L26" s="118"/>
      <c r="M26" s="3824"/>
      <c r="N26" s="256"/>
    </row>
    <row r="27" spans="1:16" s="1555" customFormat="1" ht="45" hidden="1" customHeight="1">
      <c r="A27" s="1700" t="s">
        <v>179</v>
      </c>
      <c r="B27" s="1700" t="s">
        <v>180</v>
      </c>
      <c r="C27" s="293"/>
      <c r="D27" s="4054"/>
      <c r="E27" s="4057"/>
      <c r="F27" s="405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4025" t="str">
        <f>INDEX(PT_DIFFERENTIATION_NTAR,MATCH(B27,PT_DIFFERENTIATION_NTAR_ID,0))</f>
        <v/>
      </c>
      <c r="H27" s="1781"/>
      <c r="I27" s="1658"/>
      <c r="J27" s="1693"/>
      <c r="K27" s="1784"/>
      <c r="L27" s="1781" t="s">
        <v>335</v>
      </c>
      <c r="M27" s="3824"/>
      <c r="N27" s="256"/>
      <c r="O27" s="1544"/>
      <c r="P27" s="1544"/>
    </row>
    <row r="28" spans="1:16" s="1555" customFormat="1" ht="18.75" hidden="1" customHeight="1">
      <c r="A28" s="1700"/>
      <c r="B28" s="1700"/>
      <c r="C28" s="293" t="s">
        <v>1226</v>
      </c>
      <c r="D28" s="4054"/>
      <c r="E28" s="4057"/>
      <c r="F28" s="4058"/>
      <c r="G28" s="4025"/>
      <c r="H28" s="1415"/>
      <c r="I28" s="569" t="s">
        <v>1227</v>
      </c>
      <c r="J28" s="494"/>
      <c r="K28" s="1415"/>
      <c r="L28" s="131"/>
      <c r="M28" s="3824"/>
      <c r="N28" s="256"/>
      <c r="O28" s="1544"/>
      <c r="P28" s="1544"/>
    </row>
    <row r="29" spans="1:16" s="1555" customFormat="1" ht="0.75" hidden="1" customHeight="1">
      <c r="A29" s="1700"/>
      <c r="B29" s="1700"/>
      <c r="C29" s="293" t="s">
        <v>1232</v>
      </c>
      <c r="D29" s="4054"/>
      <c r="E29" s="3862"/>
      <c r="F29" s="3997"/>
      <c r="G29" s="329"/>
      <c r="H29" s="1415"/>
      <c r="I29" s="569"/>
      <c r="J29" s="494"/>
      <c r="K29" s="1415"/>
      <c r="L29" s="131"/>
      <c r="M29" s="3824"/>
      <c r="N29" s="256"/>
      <c r="O29" s="1544"/>
      <c r="P29" s="1544"/>
    </row>
    <row r="30" spans="1:16" s="1555" customFormat="1" ht="45" hidden="1" customHeight="1">
      <c r="A30" s="1700" t="s">
        <v>185</v>
      </c>
      <c r="B30" s="1700" t="s">
        <v>186</v>
      </c>
      <c r="C30" s="293"/>
      <c r="D30" s="4054"/>
      <c r="E30" s="3862"/>
      <c r="F30" s="39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025" t="str">
        <f>INDEX(PT_DIFFERENTIATION_NTAR,MATCH(B30,PT_DIFFERENTIATION_NTAR_ID,0))</f>
        <v/>
      </c>
      <c r="H30" s="1781"/>
      <c r="I30" s="1658"/>
      <c r="J30" s="1693"/>
      <c r="K30" s="1784"/>
      <c r="L30" s="1781" t="s">
        <v>335</v>
      </c>
      <c r="M30" s="3824"/>
      <c r="N30" s="256"/>
      <c r="O30" s="1544"/>
      <c r="P30" s="1544"/>
    </row>
    <row r="31" spans="1:16" s="1555" customFormat="1" ht="18.75" hidden="1" customHeight="1">
      <c r="A31" s="1700"/>
      <c r="B31" s="1700"/>
      <c r="C31" s="293" t="s">
        <v>1226</v>
      </c>
      <c r="D31" s="4054"/>
      <c r="E31" s="3862"/>
      <c r="F31" s="3997"/>
      <c r="G31" s="4025"/>
      <c r="H31" s="1415"/>
      <c r="I31" s="569" t="s">
        <v>1227</v>
      </c>
      <c r="J31" s="494"/>
      <c r="K31" s="1415"/>
      <c r="L31" s="131"/>
      <c r="M31" s="3824"/>
      <c r="N31" s="256"/>
      <c r="O31" s="1544"/>
      <c r="P31" s="1544"/>
    </row>
    <row r="32" spans="1:16" s="1555" customFormat="1" ht="0.75" hidden="1" customHeight="1">
      <c r="A32" s="1700"/>
      <c r="B32" s="1700"/>
      <c r="C32" s="293" t="s">
        <v>1232</v>
      </c>
      <c r="D32" s="4054"/>
      <c r="E32" s="3862"/>
      <c r="F32" s="3997"/>
      <c r="G32" s="329"/>
      <c r="H32" s="1415"/>
      <c r="I32" s="569"/>
      <c r="J32" s="494"/>
      <c r="K32" s="1415"/>
      <c r="L32" s="131"/>
      <c r="M32" s="3824"/>
      <c r="N32" s="256"/>
      <c r="O32" s="1544"/>
      <c r="P32" s="1544"/>
    </row>
    <row r="33" spans="1:16" s="1555" customFormat="1" ht="45" hidden="1" customHeight="1">
      <c r="A33" s="1700" t="s">
        <v>191</v>
      </c>
      <c r="B33" s="1700" t="s">
        <v>192</v>
      </c>
      <c r="C33" s="293"/>
      <c r="D33" s="4054"/>
      <c r="E33" s="3862"/>
      <c r="F33" s="39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025" t="str">
        <f>INDEX(PT_DIFFERENTIATION_NTAR,MATCH(B33,PT_DIFFERENTIATION_NTAR_ID,0))</f>
        <v/>
      </c>
      <c r="H33" s="1781"/>
      <c r="I33" s="1658"/>
      <c r="J33" s="1693"/>
      <c r="K33" s="1784"/>
      <c r="L33" s="1781" t="s">
        <v>335</v>
      </c>
      <c r="M33" s="3824"/>
      <c r="N33" s="256"/>
      <c r="O33" s="1544"/>
      <c r="P33" s="1544"/>
    </row>
    <row r="34" spans="1:16" s="1555" customFormat="1" ht="18.75" hidden="1" customHeight="1">
      <c r="A34" s="1700"/>
      <c r="B34" s="1700"/>
      <c r="C34" s="293" t="s">
        <v>1226</v>
      </c>
      <c r="D34" s="4054"/>
      <c r="E34" s="3862"/>
      <c r="F34" s="3997"/>
      <c r="G34" s="4025"/>
      <c r="H34" s="1415"/>
      <c r="I34" s="569" t="s">
        <v>1227</v>
      </c>
      <c r="J34" s="494"/>
      <c r="K34" s="1415"/>
      <c r="L34" s="131"/>
      <c r="M34" s="3824"/>
      <c r="N34" s="256"/>
      <c r="O34" s="1544"/>
      <c r="P34" s="1544"/>
    </row>
    <row r="35" spans="1:16" s="1555" customFormat="1" ht="0.75" hidden="1" customHeight="1">
      <c r="A35" s="1700"/>
      <c r="B35" s="1700"/>
      <c r="C35" s="293" t="s">
        <v>1232</v>
      </c>
      <c r="D35" s="4054"/>
      <c r="E35" s="3862"/>
      <c r="F35" s="3997"/>
      <c r="G35" s="329"/>
      <c r="H35" s="1415"/>
      <c r="I35" s="569"/>
      <c r="J35" s="494"/>
      <c r="K35" s="1415"/>
      <c r="L35" s="131"/>
      <c r="M35" s="3824"/>
      <c r="N35" s="256"/>
      <c r="O35" s="1544"/>
      <c r="P35" s="1544"/>
    </row>
    <row r="36" spans="1:16" s="1555" customFormat="1" ht="18.75" hidden="1" customHeight="1">
      <c r="A36" s="1700" t="s">
        <v>197</v>
      </c>
      <c r="B36" s="1700" t="s">
        <v>198</v>
      </c>
      <c r="C36" s="293"/>
      <c r="D36" s="4054"/>
      <c r="E36" s="3862"/>
      <c r="F36" s="3997" t="str">
        <f>INDEX(PT_DIFFERENTIATION_VTAR,MATCH(A36,PT_DIFFERENTIATION_VTAR_ID,0))</f>
        <v>Тарифы на услуги по передаче тепловой энергии</v>
      </c>
      <c r="G36" s="4025" t="str">
        <f>INDEX(PT_DIFFERENTIATION_NTAR,MATCH(B36,PT_DIFFERENTIATION_NTAR_ID,0))</f>
        <v/>
      </c>
      <c r="H36" s="1781"/>
      <c r="I36" s="1658"/>
      <c r="J36" s="1693"/>
      <c r="K36" s="1784"/>
      <c r="L36" s="1781" t="s">
        <v>335</v>
      </c>
      <c r="M36" s="3824"/>
      <c r="N36" s="256"/>
      <c r="O36" s="1544"/>
      <c r="P36" s="1544"/>
    </row>
    <row r="37" spans="1:16" s="1555" customFormat="1" ht="18.75" hidden="1" customHeight="1">
      <c r="A37" s="1700"/>
      <c r="B37" s="1700"/>
      <c r="C37" s="293" t="s">
        <v>1226</v>
      </c>
      <c r="D37" s="4054"/>
      <c r="E37" s="3862"/>
      <c r="F37" s="3997"/>
      <c r="G37" s="4025"/>
      <c r="H37" s="1415"/>
      <c r="I37" s="569" t="s">
        <v>1227</v>
      </c>
      <c r="J37" s="494"/>
      <c r="K37" s="1415"/>
      <c r="L37" s="131"/>
      <c r="M37" s="3824"/>
      <c r="N37" s="256"/>
      <c r="O37" s="1544"/>
      <c r="P37" s="1544"/>
    </row>
    <row r="38" spans="1:16" s="1555" customFormat="1" ht="0.75" hidden="1" customHeight="1">
      <c r="A38" s="1700"/>
      <c r="B38" s="1700"/>
      <c r="C38" s="293" t="s">
        <v>1232</v>
      </c>
      <c r="D38" s="4054"/>
      <c r="E38" s="3862"/>
      <c r="F38" s="3997"/>
      <c r="G38" s="329"/>
      <c r="H38" s="1415"/>
      <c r="I38" s="569"/>
      <c r="J38" s="494"/>
      <c r="K38" s="1415"/>
      <c r="L38" s="131"/>
      <c r="M38" s="3824"/>
      <c r="N38" s="256"/>
      <c r="O38" s="1544"/>
      <c r="P38" s="1544"/>
    </row>
    <row r="39" spans="1:16" s="1555" customFormat="1" ht="18.75" hidden="1" customHeight="1">
      <c r="A39" s="1700" t="s">
        <v>203</v>
      </c>
      <c r="B39" s="1700" t="s">
        <v>204</v>
      </c>
      <c r="C39" s="293"/>
      <c r="D39" s="4054"/>
      <c r="E39" s="3862"/>
      <c r="F39" s="3997" t="str">
        <f>INDEX(PT_DIFFERENTIATION_VTAR,MATCH(A39,PT_DIFFERENTIATION_VTAR_ID,0))</f>
        <v>Тарифы на услуги по передаче теплоносителя</v>
      </c>
      <c r="G39" s="4025" t="str">
        <f>INDEX(PT_DIFFERENTIATION_NTAR,MATCH(B39,PT_DIFFERENTIATION_NTAR_ID,0))</f>
        <v/>
      </c>
      <c r="H39" s="1781"/>
      <c r="I39" s="1658"/>
      <c r="J39" s="1693"/>
      <c r="K39" s="1784"/>
      <c r="L39" s="1781" t="s">
        <v>335</v>
      </c>
      <c r="M39" s="3824"/>
      <c r="N39" s="256"/>
      <c r="O39" s="1544"/>
      <c r="P39" s="1544"/>
    </row>
    <row r="40" spans="1:16" s="1555" customFormat="1" ht="18.75" hidden="1" customHeight="1">
      <c r="A40" s="1700"/>
      <c r="B40" s="1700"/>
      <c r="C40" s="293" t="s">
        <v>1226</v>
      </c>
      <c r="D40" s="4054"/>
      <c r="E40" s="3862"/>
      <c r="F40" s="3997"/>
      <c r="G40" s="4025"/>
      <c r="H40" s="1415"/>
      <c r="I40" s="569" t="s">
        <v>1227</v>
      </c>
      <c r="J40" s="494"/>
      <c r="K40" s="1415"/>
      <c r="L40" s="131"/>
      <c r="M40" s="3824"/>
      <c r="N40" s="256"/>
      <c r="O40" s="1544"/>
      <c r="P40" s="1544"/>
    </row>
    <row r="41" spans="1:16" s="1555" customFormat="1" ht="0.75" hidden="1" customHeight="1">
      <c r="A41" s="1700"/>
      <c r="B41" s="1700"/>
      <c r="C41" s="293" t="s">
        <v>1232</v>
      </c>
      <c r="D41" s="4054"/>
      <c r="E41" s="3862"/>
      <c r="F41" s="3997"/>
      <c r="G41" s="329"/>
      <c r="H41" s="1415"/>
      <c r="I41" s="569"/>
      <c r="J41" s="494"/>
      <c r="K41" s="1415"/>
      <c r="L41" s="131"/>
      <c r="M41" s="3824"/>
      <c r="N41" s="256"/>
      <c r="O41" s="1544"/>
      <c r="P41" s="1544"/>
    </row>
    <row r="42" spans="1:16" s="1555" customFormat="1" ht="18.75" hidden="1" customHeight="1">
      <c r="A42" s="1700" t="s">
        <v>209</v>
      </c>
      <c r="B42" s="1700" t="s">
        <v>210</v>
      </c>
      <c r="C42" s="293"/>
      <c r="D42" s="4054"/>
      <c r="E42" s="3862"/>
      <c r="F42" s="3997" t="str">
        <f>INDEX(PT_DIFFERENTIATION_VTAR,MATCH(A42,PT_DIFFERENTIATION_VTAR_ID,0))</f>
        <v>Плата за услуги по поддержанию резервной тепловой мощности при отсутствии потребления тепловой энергии</v>
      </c>
      <c r="G42" s="4025" t="str">
        <f>INDEX(PT_DIFFERENTIATION_NTAR,MATCH(B42,PT_DIFFERENTIATION_NTAR_ID,0))</f>
        <v/>
      </c>
      <c r="H42" s="1781"/>
      <c r="I42" s="1658"/>
      <c r="J42" s="1693"/>
      <c r="K42" s="1784"/>
      <c r="L42" s="1781" t="s">
        <v>335</v>
      </c>
      <c r="M42" s="3824"/>
      <c r="N42" s="256"/>
      <c r="O42" s="1544"/>
      <c r="P42" s="1544"/>
    </row>
    <row r="43" spans="1:16" s="1555" customFormat="1" ht="18.75" hidden="1" customHeight="1">
      <c r="A43" s="1700"/>
      <c r="B43" s="1700"/>
      <c r="C43" s="293" t="s">
        <v>1226</v>
      </c>
      <c r="D43" s="4054"/>
      <c r="E43" s="3862"/>
      <c r="F43" s="3997"/>
      <c r="G43" s="4025"/>
      <c r="H43" s="1415"/>
      <c r="I43" s="569" t="s">
        <v>1227</v>
      </c>
      <c r="J43" s="494"/>
      <c r="K43" s="1415"/>
      <c r="L43" s="131"/>
      <c r="M43" s="3824"/>
      <c r="N43" s="256"/>
      <c r="O43" s="1544"/>
      <c r="P43" s="1544"/>
    </row>
    <row r="44" spans="1:16" s="1555" customFormat="1" ht="0.75" hidden="1" customHeight="1">
      <c r="A44" s="1700"/>
      <c r="B44" s="1700"/>
      <c r="C44" s="293" t="s">
        <v>1232</v>
      </c>
      <c r="D44" s="4054"/>
      <c r="E44" s="3862"/>
      <c r="F44" s="3997"/>
      <c r="G44" s="329"/>
      <c r="H44" s="1415"/>
      <c r="I44" s="569"/>
      <c r="J44" s="494"/>
      <c r="K44" s="1415"/>
      <c r="L44" s="131"/>
      <c r="M44" s="3824"/>
      <c r="N44" s="256"/>
      <c r="O44" s="1544"/>
      <c r="P44" s="1544"/>
    </row>
    <row r="45" spans="1:16" s="1555" customFormat="1" ht="18.75" hidden="1" customHeight="1">
      <c r="A45" s="1700" t="s">
        <v>215</v>
      </c>
      <c r="B45" s="1700" t="s">
        <v>216</v>
      </c>
      <c r="C45" s="293"/>
      <c r="D45" s="4054"/>
      <c r="E45" s="3862"/>
      <c r="F45" s="3997" t="str">
        <f>INDEX(PT_DIFFERENTIATION_VTAR,MATCH(A45,PT_DIFFERENTIATION_VTAR_ID,0))</f>
        <v>Плата за подключение (технологическое присоединение) к системе теплоснабжения</v>
      </c>
      <c r="G45" s="4025" t="str">
        <f>INDEX(PT_DIFFERENTIATION_NTAR,MATCH(B45,PT_DIFFERENTIATION_NTAR_ID,0))</f>
        <v/>
      </c>
      <c r="H45" s="1781"/>
      <c r="I45" s="1658"/>
      <c r="J45" s="1693"/>
      <c r="K45" s="1784"/>
      <c r="L45" s="1781" t="s">
        <v>335</v>
      </c>
      <c r="M45" s="3824"/>
      <c r="N45" s="256"/>
      <c r="O45" s="1544"/>
      <c r="P45" s="1544"/>
    </row>
    <row r="46" spans="1:16" s="1555" customFormat="1" ht="18.75" hidden="1" customHeight="1">
      <c r="A46" s="1700"/>
      <c r="B46" s="1700"/>
      <c r="C46" s="293" t="s">
        <v>1226</v>
      </c>
      <c r="D46" s="4054"/>
      <c r="E46" s="3862"/>
      <c r="F46" s="3997"/>
      <c r="G46" s="4025"/>
      <c r="H46" s="1415"/>
      <c r="I46" s="569" t="s">
        <v>1227</v>
      </c>
      <c r="J46" s="494"/>
      <c r="K46" s="1415"/>
      <c r="L46" s="131"/>
      <c r="M46" s="3824"/>
      <c r="N46" s="256"/>
      <c r="O46" s="1544"/>
      <c r="P46" s="1544"/>
    </row>
    <row r="47" spans="1:16" s="1555" customFormat="1" ht="0.75" hidden="1" customHeight="1">
      <c r="A47" s="1700"/>
      <c r="B47" s="1700"/>
      <c r="C47" s="293" t="s">
        <v>1232</v>
      </c>
      <c r="D47" s="4054"/>
      <c r="E47" s="3862"/>
      <c r="F47" s="3997"/>
      <c r="G47" s="329"/>
      <c r="H47" s="1415"/>
      <c r="I47" s="569"/>
      <c r="J47" s="494"/>
      <c r="K47" s="1415"/>
      <c r="L47" s="131"/>
      <c r="M47" s="3824"/>
      <c r="N47" s="256"/>
      <c r="O47" s="1544"/>
      <c r="P47" s="1544"/>
    </row>
    <row r="48" spans="1:16" s="1555" customFormat="1" ht="18.75" hidden="1" customHeight="1">
      <c r="A48" s="1700" t="s">
        <v>229</v>
      </c>
      <c r="B48" s="1700" t="s">
        <v>230</v>
      </c>
      <c r="C48" s="293"/>
      <c r="D48" s="4054"/>
      <c r="E48" s="3862"/>
      <c r="F48" s="3997" t="str">
        <f>INDEX(PT_DIFFERENTIATION_VTAR,MATCH(A48,PT_DIFFERENTIATION_VTAR_ID,0))</f>
        <v>Тариф на питьевую воду (питьевое водоснабжение)</v>
      </c>
      <c r="G48" s="4025" t="str">
        <f>INDEX(PT_DIFFERENTIATION_NTAR,MATCH(B48,PT_DIFFERENTIATION_NTAR_ID,0))</f>
        <v/>
      </c>
      <c r="H48" s="1781"/>
      <c r="I48" s="1658"/>
      <c r="J48" s="1693"/>
      <c r="K48" s="1784"/>
      <c r="L48" s="1781" t="s">
        <v>335</v>
      </c>
      <c r="M48" s="3824"/>
      <c r="N48" s="256"/>
      <c r="O48" s="1544"/>
      <c r="P48" s="1544"/>
    </row>
    <row r="49" spans="1:16" s="1555" customFormat="1" ht="18.75" hidden="1" customHeight="1">
      <c r="A49" s="1700"/>
      <c r="B49" s="1700"/>
      <c r="C49" s="293" t="s">
        <v>1226</v>
      </c>
      <c r="D49" s="4054"/>
      <c r="E49" s="3862"/>
      <c r="F49" s="3997"/>
      <c r="G49" s="4025"/>
      <c r="H49" s="1415"/>
      <c r="I49" s="569" t="s">
        <v>1227</v>
      </c>
      <c r="J49" s="494"/>
      <c r="K49" s="1415"/>
      <c r="L49" s="131"/>
      <c r="M49" s="3824"/>
      <c r="N49" s="256"/>
      <c r="O49" s="1544"/>
      <c r="P49" s="1544"/>
    </row>
    <row r="50" spans="1:16" s="1555" customFormat="1" ht="0.75" hidden="1" customHeight="1">
      <c r="A50" s="1700"/>
      <c r="B50" s="1700"/>
      <c r="C50" s="293" t="s">
        <v>1232</v>
      </c>
      <c r="D50" s="4054"/>
      <c r="E50" s="3862"/>
      <c r="F50" s="3997"/>
      <c r="G50" s="329"/>
      <c r="H50" s="1415"/>
      <c r="I50" s="569"/>
      <c r="J50" s="494"/>
      <c r="K50" s="1415"/>
      <c r="L50" s="131"/>
      <c r="M50" s="3824"/>
      <c r="N50" s="256"/>
      <c r="O50" s="1544"/>
      <c r="P50" s="1544"/>
    </row>
    <row r="51" spans="1:16" s="1555" customFormat="1" ht="18.75" hidden="1" customHeight="1">
      <c r="A51" s="1700" t="s">
        <v>236</v>
      </c>
      <c r="B51" s="1700" t="s">
        <v>237</v>
      </c>
      <c r="C51" s="293"/>
      <c r="D51" s="4054"/>
      <c r="E51" s="3862"/>
      <c r="F51" s="3997" t="str">
        <f>INDEX(PT_DIFFERENTIATION_VTAR,MATCH(A51,PT_DIFFERENTIATION_VTAR_ID,0))</f>
        <v>Тариф на техническую воду</v>
      </c>
      <c r="G51" s="4025" t="str">
        <f>INDEX(PT_DIFFERENTIATION_NTAR,MATCH(B51,PT_DIFFERENTIATION_NTAR_ID,0))</f>
        <v>Тариф на техническую воду для потребителей, присоединенных к централизованной системе технического водоснабжения города Буденновска Буденновского муниципального округа</v>
      </c>
      <c r="H51" s="1781"/>
      <c r="I51" s="1658"/>
      <c r="J51" s="1693"/>
      <c r="K51" s="1784"/>
      <c r="L51" s="1781" t="s">
        <v>335</v>
      </c>
      <c r="M51" s="3824"/>
      <c r="N51" s="256"/>
      <c r="O51" s="1544"/>
      <c r="P51" s="1544"/>
    </row>
    <row r="52" spans="1:16" s="1555" customFormat="1" ht="18.75" hidden="1" customHeight="1">
      <c r="A52" s="1700"/>
      <c r="B52" s="1700"/>
      <c r="C52" s="293" t="s">
        <v>1226</v>
      </c>
      <c r="D52" s="4054"/>
      <c r="E52" s="3862"/>
      <c r="F52" s="3997"/>
      <c r="G52" s="4025"/>
      <c r="H52" s="1415"/>
      <c r="I52" s="569" t="s">
        <v>1227</v>
      </c>
      <c r="J52" s="494"/>
      <c r="K52" s="1415"/>
      <c r="L52" s="131"/>
      <c r="M52" s="3824"/>
      <c r="N52" s="256"/>
      <c r="O52" s="1544"/>
      <c r="P52" s="1544"/>
    </row>
    <row r="53" spans="1:16" s="1555" customFormat="1" ht="18.75" customHeight="1">
      <c r="A53" s="1742" t="s">
        <v>236</v>
      </c>
      <c r="B53" s="1742" t="s">
        <v>243</v>
      </c>
      <c r="C53" s="1607"/>
      <c r="D53" s="4055"/>
      <c r="E53" s="4056"/>
      <c r="F53" s="4056"/>
      <c r="G53" s="4025" t="str">
        <f>INDEX(PT_DIFFERENTIATION_NTAR,MATCH(B53,PT_DIFFERENTIATION_NTAR_ID,0))</f>
        <v>Тариф на техническую воду для потребителей, присоединенных к централизованной системе технического водоснабжения Изобильненского муниципального округа</v>
      </c>
      <c r="H53" s="1811"/>
      <c r="I53" s="1658"/>
      <c r="J53" s="1693"/>
      <c r="K53" s="1784"/>
      <c r="L53" s="1811" t="s">
        <v>335</v>
      </c>
      <c r="M53" s="3943"/>
      <c r="N53" s="537"/>
      <c r="O53" s="1544"/>
      <c r="P53" s="1544"/>
    </row>
    <row r="54" spans="1:16" s="1555" customFormat="1" ht="18.75" customHeight="1">
      <c r="A54" s="1742"/>
      <c r="B54" s="1742"/>
      <c r="C54" s="1607" t="s">
        <v>1226</v>
      </c>
      <c r="D54" s="4055"/>
      <c r="E54" s="4056"/>
      <c r="F54" s="4056"/>
      <c r="G54" s="4025"/>
      <c r="H54" s="3629"/>
      <c r="I54" s="3630" t="s">
        <v>1227</v>
      </c>
      <c r="J54" s="3631"/>
      <c r="K54" s="3632"/>
      <c r="L54" s="3633"/>
      <c r="M54" s="3943"/>
      <c r="N54" s="537"/>
      <c r="O54" s="1544"/>
      <c r="P54" s="1544"/>
    </row>
    <row r="55" spans="1:16" s="1555" customFormat="1" ht="18.75" customHeight="1">
      <c r="A55" s="1742" t="s">
        <v>236</v>
      </c>
      <c r="B55" s="1742" t="s">
        <v>248</v>
      </c>
      <c r="C55" s="1607"/>
      <c r="D55" s="4055"/>
      <c r="E55" s="4056"/>
      <c r="F55" s="4056"/>
      <c r="G55" s="4025" t="str">
        <f>INDEX(PT_DIFFERENTIATION_NTAR,MATCH(B55,PT_DIFFERENTIATION_NTAR_ID,0))</f>
        <v>Тариф на техническую воду для потребителей, присоединенных к централизованной системе технического водоснабжения хутора Привольного Курского муниципального округа</v>
      </c>
      <c r="H55" s="1811"/>
      <c r="I55" s="1658"/>
      <c r="J55" s="1693"/>
      <c r="K55" s="1784"/>
      <c r="L55" s="1811" t="s">
        <v>335</v>
      </c>
      <c r="M55" s="3943"/>
      <c r="N55" s="537"/>
      <c r="O55" s="1544"/>
      <c r="P55" s="1544"/>
    </row>
    <row r="56" spans="1:16" s="1555" customFormat="1" ht="18.75" customHeight="1">
      <c r="A56" s="1742"/>
      <c r="B56" s="1742"/>
      <c r="C56" s="1607" t="s">
        <v>1226</v>
      </c>
      <c r="D56" s="4055"/>
      <c r="E56" s="4056"/>
      <c r="F56" s="4056"/>
      <c r="G56" s="4025"/>
      <c r="H56" s="3634"/>
      <c r="I56" s="3635" t="s">
        <v>1227</v>
      </c>
      <c r="J56" s="3636"/>
      <c r="K56" s="3637"/>
      <c r="L56" s="3638"/>
      <c r="M56" s="3943"/>
      <c r="N56" s="537"/>
      <c r="O56" s="1544"/>
      <c r="P56" s="1544"/>
    </row>
    <row r="57" spans="1:16" s="1555" customFormat="1" ht="18.75" customHeight="1">
      <c r="A57" s="1742" t="s">
        <v>236</v>
      </c>
      <c r="B57" s="1742" t="s">
        <v>253</v>
      </c>
      <c r="C57" s="1607"/>
      <c r="D57" s="4055"/>
      <c r="E57" s="4056"/>
      <c r="F57" s="4056"/>
      <c r="G57" s="4025" t="str">
        <f>INDEX(PT_DIFFERENTIATION_NTAR,MATCH(B57,PT_DIFFERENTIATION_NTAR_ID,0))</f>
        <v>Тариф на техническую воду для потребителей, присоединенных к централизованной системе технического водоснабжения села Левокумского Левокумского муниципального округа</v>
      </c>
      <c r="H57" s="1811"/>
      <c r="I57" s="1658"/>
      <c r="J57" s="1693"/>
      <c r="K57" s="1784"/>
      <c r="L57" s="1811" t="s">
        <v>335</v>
      </c>
      <c r="M57" s="3943"/>
      <c r="N57" s="537"/>
      <c r="O57" s="1544"/>
      <c r="P57" s="1544"/>
    </row>
    <row r="58" spans="1:16" s="1555" customFormat="1" ht="18.75" customHeight="1">
      <c r="A58" s="1742"/>
      <c r="B58" s="1742"/>
      <c r="C58" s="1607" t="s">
        <v>1226</v>
      </c>
      <c r="D58" s="4055"/>
      <c r="E58" s="4056"/>
      <c r="F58" s="4056"/>
      <c r="G58" s="4025"/>
      <c r="H58" s="3639"/>
      <c r="I58" s="3640" t="s">
        <v>1227</v>
      </c>
      <c r="J58" s="3641"/>
      <c r="K58" s="3642"/>
      <c r="L58" s="3643"/>
      <c r="M58" s="3943"/>
      <c r="N58" s="537"/>
      <c r="O58" s="1544"/>
      <c r="P58" s="1544"/>
    </row>
    <row r="59" spans="1:16" s="1555" customFormat="1" ht="18.75" customHeight="1">
      <c r="A59" s="1742" t="s">
        <v>236</v>
      </c>
      <c r="B59" s="1742" t="s">
        <v>258</v>
      </c>
      <c r="C59" s="1607"/>
      <c r="D59" s="4055"/>
      <c r="E59" s="4056"/>
      <c r="F59" s="4056"/>
      <c r="G59" s="4025" t="str">
        <f>INDEX(PT_DIFFERENTIATION_NTAR,MATCH(B59,PT_DIFFERENTIATION_NTAR_ID,0))</f>
        <v>Тариф на техническую воду для потребителей, присоединенных к централизованной системе технического водоснабжения города Нефтекумска Нефтекумского муниципального округа</v>
      </c>
      <c r="H59" s="1811"/>
      <c r="I59" s="1658"/>
      <c r="J59" s="1693"/>
      <c r="K59" s="1784"/>
      <c r="L59" s="1811" t="s">
        <v>335</v>
      </c>
      <c r="M59" s="3943"/>
      <c r="N59" s="537"/>
      <c r="O59" s="1544"/>
      <c r="P59" s="1544"/>
    </row>
    <row r="60" spans="1:16" s="1555" customFormat="1" ht="18.75" customHeight="1">
      <c r="A60" s="1742"/>
      <c r="B60" s="1742"/>
      <c r="C60" s="1607" t="s">
        <v>1226</v>
      </c>
      <c r="D60" s="4055"/>
      <c r="E60" s="4056"/>
      <c r="F60" s="4056"/>
      <c r="G60" s="4025"/>
      <c r="H60" s="3644"/>
      <c r="I60" s="3645" t="s">
        <v>1227</v>
      </c>
      <c r="J60" s="3646"/>
      <c r="K60" s="3647"/>
      <c r="L60" s="3648"/>
      <c r="M60" s="3943"/>
      <c r="N60" s="537"/>
      <c r="O60" s="1544"/>
      <c r="P60" s="1544"/>
    </row>
    <row r="61" spans="1:16" s="1555" customFormat="1" ht="0.75" hidden="1" customHeight="1">
      <c r="A61" s="1700"/>
      <c r="B61" s="1700"/>
      <c r="C61" s="293" t="s">
        <v>1232</v>
      </c>
      <c r="D61" s="4054"/>
      <c r="E61" s="3862"/>
      <c r="F61" s="3997"/>
      <c r="G61" s="329"/>
      <c r="H61" s="1415"/>
      <c r="I61" s="569"/>
      <c r="J61" s="494"/>
      <c r="K61" s="1415"/>
      <c r="L61" s="131"/>
      <c r="M61" s="3824"/>
      <c r="N61" s="256"/>
      <c r="O61" s="1544"/>
      <c r="P61" s="1544"/>
    </row>
    <row r="62" spans="1:16" s="1555" customFormat="1" ht="18.75" hidden="1" customHeight="1">
      <c r="A62" s="1700" t="s">
        <v>264</v>
      </c>
      <c r="B62" s="1700" t="s">
        <v>265</v>
      </c>
      <c r="C62" s="293"/>
      <c r="D62" s="4054"/>
      <c r="E62" s="3862"/>
      <c r="F62" s="3997" t="str">
        <f>INDEX(PT_DIFFERENTIATION_VTAR,MATCH(A62,PT_DIFFERENTIATION_VTAR_ID,0))</f>
        <v>Тариф на транспортировку воды</v>
      </c>
      <c r="G62" s="4025" t="str">
        <f>INDEX(PT_DIFFERENTIATION_NTAR,MATCH(B62,PT_DIFFERENTIATION_NTAR_ID,0))</f>
        <v/>
      </c>
      <c r="H62" s="1781"/>
      <c r="I62" s="1658"/>
      <c r="J62" s="1693"/>
      <c r="K62" s="1784"/>
      <c r="L62" s="1781" t="s">
        <v>335</v>
      </c>
      <c r="M62" s="3824"/>
      <c r="N62" s="256"/>
      <c r="O62" s="1544"/>
      <c r="P62" s="1544"/>
    </row>
    <row r="63" spans="1:16" s="1555" customFormat="1" ht="18.75" hidden="1" customHeight="1">
      <c r="A63" s="1700"/>
      <c r="B63" s="1700"/>
      <c r="C63" s="293" t="s">
        <v>1226</v>
      </c>
      <c r="D63" s="4054"/>
      <c r="E63" s="3862"/>
      <c r="F63" s="3997"/>
      <c r="G63" s="4025"/>
      <c r="H63" s="1415"/>
      <c r="I63" s="569" t="s">
        <v>1227</v>
      </c>
      <c r="J63" s="494"/>
      <c r="K63" s="1415"/>
      <c r="L63" s="131"/>
      <c r="M63" s="3824"/>
      <c r="N63" s="256"/>
      <c r="O63" s="1544"/>
      <c r="P63" s="1544"/>
    </row>
    <row r="64" spans="1:16" s="1555" customFormat="1" ht="0.75" hidden="1" customHeight="1">
      <c r="A64" s="1700"/>
      <c r="B64" s="1700"/>
      <c r="C64" s="293" t="s">
        <v>1232</v>
      </c>
      <c r="D64" s="4054"/>
      <c r="E64" s="3862"/>
      <c r="F64" s="3997"/>
      <c r="G64" s="329"/>
      <c r="H64" s="1415"/>
      <c r="I64" s="569"/>
      <c r="J64" s="494"/>
      <c r="K64" s="1415"/>
      <c r="L64" s="131"/>
      <c r="M64" s="3824"/>
      <c r="N64" s="256"/>
      <c r="O64" s="1544"/>
      <c r="P64" s="1544"/>
    </row>
    <row r="65" spans="1:16" s="1555" customFormat="1" ht="18.75" hidden="1" customHeight="1">
      <c r="A65" s="1700" t="s">
        <v>269</v>
      </c>
      <c r="B65" s="1700" t="s">
        <v>270</v>
      </c>
      <c r="C65" s="293"/>
      <c r="D65" s="4054"/>
      <c r="E65" s="3862"/>
      <c r="F65" s="3997" t="str">
        <f>INDEX(PT_DIFFERENTIATION_VTAR,MATCH(A65,PT_DIFFERENTIATION_VTAR_ID,0))</f>
        <v>Тариф на подвоз воды</v>
      </c>
      <c r="G65" s="4025" t="str">
        <f>INDEX(PT_DIFFERENTIATION_NTAR,MATCH(B65,PT_DIFFERENTIATION_NTAR_ID,0))</f>
        <v/>
      </c>
      <c r="H65" s="1781"/>
      <c r="I65" s="1658"/>
      <c r="J65" s="1693"/>
      <c r="K65" s="1784"/>
      <c r="L65" s="1781" t="s">
        <v>335</v>
      </c>
      <c r="M65" s="3824"/>
      <c r="N65" s="256"/>
      <c r="O65" s="1544"/>
      <c r="P65" s="1544"/>
    </row>
    <row r="66" spans="1:16" s="1555" customFormat="1" ht="18.75" hidden="1" customHeight="1">
      <c r="A66" s="1700"/>
      <c r="B66" s="1700"/>
      <c r="C66" s="293" t="s">
        <v>1226</v>
      </c>
      <c r="D66" s="4054"/>
      <c r="E66" s="3862"/>
      <c r="F66" s="3997"/>
      <c r="G66" s="4025"/>
      <c r="H66" s="1415"/>
      <c r="I66" s="569" t="s">
        <v>1227</v>
      </c>
      <c r="J66" s="494"/>
      <c r="K66" s="1415"/>
      <c r="L66" s="131"/>
      <c r="M66" s="3824"/>
      <c r="N66" s="256"/>
      <c r="O66" s="1544"/>
      <c r="P66" s="1544"/>
    </row>
    <row r="67" spans="1:16" s="1555" customFormat="1" ht="0.75" hidden="1" customHeight="1">
      <c r="A67" s="1700"/>
      <c r="B67" s="1700"/>
      <c r="C67" s="293" t="s">
        <v>1232</v>
      </c>
      <c r="D67" s="4054"/>
      <c r="E67" s="3862"/>
      <c r="F67" s="3997"/>
      <c r="G67" s="329"/>
      <c r="H67" s="1415"/>
      <c r="I67" s="569"/>
      <c r="J67" s="494"/>
      <c r="K67" s="1415"/>
      <c r="L67" s="131"/>
      <c r="M67" s="3824"/>
      <c r="N67" s="256"/>
      <c r="O67" s="1544"/>
      <c r="P67" s="1544"/>
    </row>
    <row r="68" spans="1:16" s="1555" customFormat="1" ht="18.75" hidden="1" customHeight="1">
      <c r="A68" s="1700" t="s">
        <v>274</v>
      </c>
      <c r="B68" s="1700" t="s">
        <v>275</v>
      </c>
      <c r="C68" s="293"/>
      <c r="D68" s="4054"/>
      <c r="E68" s="3862"/>
      <c r="F68" s="3997" t="str">
        <f>INDEX(PT_DIFFERENTIATION_VTAR,MATCH(A68,PT_DIFFERENTIATION_VTAR_ID,0))</f>
        <v>Тариф на подключение (технологическое присоединение) к централизованной системе холодного водоснабжения</v>
      </c>
      <c r="G68" s="4025" t="str">
        <f>INDEX(PT_DIFFERENTIATION_NTAR,MATCH(B68,PT_DIFFERENTIATION_NTAR_ID,0))</f>
        <v/>
      </c>
      <c r="H68" s="1781"/>
      <c r="I68" s="1658"/>
      <c r="J68" s="1693"/>
      <c r="K68" s="1784"/>
      <c r="L68" s="1781" t="s">
        <v>335</v>
      </c>
      <c r="M68" s="3824"/>
      <c r="N68" s="256"/>
      <c r="O68" s="1544"/>
      <c r="P68" s="1544"/>
    </row>
    <row r="69" spans="1:16" s="1555" customFormat="1" ht="18.75" hidden="1" customHeight="1">
      <c r="A69" s="1700"/>
      <c r="B69" s="1700"/>
      <c r="C69" s="293" t="s">
        <v>1226</v>
      </c>
      <c r="D69" s="4054"/>
      <c r="E69" s="3862"/>
      <c r="F69" s="3997"/>
      <c r="G69" s="4025"/>
      <c r="H69" s="1415"/>
      <c r="I69" s="569" t="s">
        <v>1227</v>
      </c>
      <c r="J69" s="494"/>
      <c r="K69" s="1415"/>
      <c r="L69" s="131"/>
      <c r="M69" s="3824"/>
      <c r="N69" s="256"/>
      <c r="O69" s="1544"/>
      <c r="P69" s="1544"/>
    </row>
    <row r="70" spans="1:16" s="1555" customFormat="1" ht="0.75" hidden="1" customHeight="1">
      <c r="A70" s="1700"/>
      <c r="B70" s="1700"/>
      <c r="C70" s="293" t="s">
        <v>1232</v>
      </c>
      <c r="D70" s="4054"/>
      <c r="E70" s="3862"/>
      <c r="F70" s="3997"/>
      <c r="G70" s="329"/>
      <c r="H70" s="1415"/>
      <c r="I70" s="569"/>
      <c r="J70" s="494"/>
      <c r="K70" s="1415"/>
      <c r="L70" s="131"/>
      <c r="M70" s="3824"/>
      <c r="N70" s="256"/>
      <c r="O70" s="1544"/>
      <c r="P70" s="1544"/>
    </row>
    <row r="71" spans="1:16" s="1555" customFormat="1" ht="18.75" hidden="1" customHeight="1">
      <c r="A71" s="1700" t="s">
        <v>279</v>
      </c>
      <c r="B71" s="1700" t="s">
        <v>280</v>
      </c>
      <c r="C71" s="293"/>
      <c r="D71" s="4054"/>
      <c r="E71" s="3862"/>
      <c r="F71" s="3997" t="str">
        <f>INDEX(PT_DIFFERENTIATION_VTAR,MATCH(A71,PT_DIFFERENTIATION_VTAR_ID,0))</f>
        <v>Тариф на горячую воду (горячее водоснабжение)</v>
      </c>
      <c r="G71" s="4025" t="str">
        <f>INDEX(PT_DIFFERENTIATION_NTAR,MATCH(B71,PT_DIFFERENTIATION_NTAR_ID,0))</f>
        <v/>
      </c>
      <c r="H71" s="1781"/>
      <c r="I71" s="1658"/>
      <c r="J71" s="1693"/>
      <c r="K71" s="1784"/>
      <c r="L71" s="1781" t="s">
        <v>335</v>
      </c>
      <c r="M71" s="3824"/>
      <c r="N71" s="256"/>
      <c r="O71" s="1544"/>
      <c r="P71" s="1544"/>
    </row>
    <row r="72" spans="1:16" s="1555" customFormat="1" ht="18.75" hidden="1" customHeight="1">
      <c r="A72" s="1700"/>
      <c r="B72" s="1700"/>
      <c r="C72" s="293" t="s">
        <v>1226</v>
      </c>
      <c r="D72" s="4054"/>
      <c r="E72" s="3862"/>
      <c r="F72" s="3997"/>
      <c r="G72" s="4025"/>
      <c r="H72" s="1415"/>
      <c r="I72" s="569" t="s">
        <v>1227</v>
      </c>
      <c r="J72" s="494"/>
      <c r="K72" s="1415"/>
      <c r="L72" s="131"/>
      <c r="M72" s="3824"/>
      <c r="N72" s="256"/>
      <c r="O72" s="1544"/>
      <c r="P72" s="1544"/>
    </row>
    <row r="73" spans="1:16" s="1555" customFormat="1" ht="0.75" hidden="1" customHeight="1">
      <c r="A73" s="1700"/>
      <c r="B73" s="1700"/>
      <c r="C73" s="293" t="s">
        <v>1232</v>
      </c>
      <c r="D73" s="4054"/>
      <c r="E73" s="3862"/>
      <c r="F73" s="3997"/>
      <c r="G73" s="329"/>
      <c r="H73" s="1415"/>
      <c r="I73" s="569"/>
      <c r="J73" s="494"/>
      <c r="K73" s="1415"/>
      <c r="L73" s="131"/>
      <c r="M73" s="3824"/>
      <c r="N73" s="256"/>
      <c r="O73" s="1544"/>
      <c r="P73" s="1544"/>
    </row>
    <row r="74" spans="1:16" s="1555" customFormat="1" ht="18.75" hidden="1" customHeight="1">
      <c r="A74" s="1700" t="s">
        <v>284</v>
      </c>
      <c r="B74" s="1700" t="s">
        <v>285</v>
      </c>
      <c r="C74" s="293"/>
      <c r="D74" s="4054"/>
      <c r="E74" s="3862"/>
      <c r="F74" s="3997" t="str">
        <f>INDEX(PT_DIFFERENTIATION_VTAR,MATCH(A74,PT_DIFFERENTIATION_VTAR_ID,0))</f>
        <v>Тариф на транспортировку горячей воды</v>
      </c>
      <c r="G74" s="4025" t="str">
        <f>INDEX(PT_DIFFERENTIATION_NTAR,MATCH(B74,PT_DIFFERENTIATION_NTAR_ID,0))</f>
        <v/>
      </c>
      <c r="H74" s="1781"/>
      <c r="I74" s="1658"/>
      <c r="J74" s="1693"/>
      <c r="K74" s="1784"/>
      <c r="L74" s="1781" t="s">
        <v>335</v>
      </c>
      <c r="M74" s="3824"/>
      <c r="N74" s="256"/>
      <c r="O74" s="1544"/>
      <c r="P74" s="1544"/>
    </row>
    <row r="75" spans="1:16" s="1555" customFormat="1" ht="18.75" hidden="1" customHeight="1">
      <c r="A75" s="1700"/>
      <c r="B75" s="1700"/>
      <c r="C75" s="293" t="s">
        <v>1226</v>
      </c>
      <c r="D75" s="4054"/>
      <c r="E75" s="3862"/>
      <c r="F75" s="3997"/>
      <c r="G75" s="4025"/>
      <c r="H75" s="1415"/>
      <c r="I75" s="569" t="s">
        <v>1227</v>
      </c>
      <c r="J75" s="494"/>
      <c r="K75" s="1415"/>
      <c r="L75" s="131"/>
      <c r="M75" s="3824"/>
      <c r="N75" s="256"/>
      <c r="O75" s="1544"/>
      <c r="P75" s="1544"/>
    </row>
    <row r="76" spans="1:16" s="1555" customFormat="1" ht="0.75" hidden="1" customHeight="1">
      <c r="A76" s="1700"/>
      <c r="B76" s="1700"/>
      <c r="C76" s="293" t="s">
        <v>1232</v>
      </c>
      <c r="D76" s="4054"/>
      <c r="E76" s="3862"/>
      <c r="F76" s="3997"/>
      <c r="G76" s="329"/>
      <c r="H76" s="1415"/>
      <c r="I76" s="569"/>
      <c r="J76" s="494"/>
      <c r="K76" s="1415"/>
      <c r="L76" s="131"/>
      <c r="M76" s="3824"/>
      <c r="N76" s="256"/>
      <c r="O76" s="1544"/>
      <c r="P76" s="1544"/>
    </row>
    <row r="77" spans="1:16" s="1555" customFormat="1" ht="18.75" hidden="1" customHeight="1">
      <c r="A77" s="1700" t="s">
        <v>289</v>
      </c>
      <c r="B77" s="1700" t="s">
        <v>290</v>
      </c>
      <c r="C77" s="293"/>
      <c r="D77" s="4054"/>
      <c r="E77" s="3862"/>
      <c r="F77" s="3997" t="str">
        <f>INDEX(PT_DIFFERENTIATION_VTAR,MATCH(A77,PT_DIFFERENTIATION_VTAR_ID,0))</f>
        <v>Тариф на подключение (технологическое присоединение) к централизованной системе горячего водоснабжения</v>
      </c>
      <c r="G77" s="4025" t="str">
        <f>INDEX(PT_DIFFERENTIATION_NTAR,MATCH(B77,PT_DIFFERENTIATION_NTAR_ID,0))</f>
        <v/>
      </c>
      <c r="H77" s="1781"/>
      <c r="I77" s="1658"/>
      <c r="J77" s="1693"/>
      <c r="K77" s="1784"/>
      <c r="L77" s="1781" t="s">
        <v>335</v>
      </c>
      <c r="M77" s="3824"/>
      <c r="N77" s="256"/>
      <c r="O77" s="1544"/>
      <c r="P77" s="1544"/>
    </row>
    <row r="78" spans="1:16" s="1555" customFormat="1" ht="18.75" hidden="1" customHeight="1">
      <c r="A78" s="1700"/>
      <c r="B78" s="1700"/>
      <c r="C78" s="293" t="s">
        <v>1226</v>
      </c>
      <c r="D78" s="4054"/>
      <c r="E78" s="3862"/>
      <c r="F78" s="3997"/>
      <c r="G78" s="4025"/>
      <c r="H78" s="1415"/>
      <c r="I78" s="569" t="s">
        <v>1227</v>
      </c>
      <c r="J78" s="494"/>
      <c r="K78" s="1415"/>
      <c r="L78" s="131"/>
      <c r="M78" s="3824"/>
      <c r="N78" s="256"/>
      <c r="O78" s="1544"/>
      <c r="P78" s="1544"/>
    </row>
    <row r="79" spans="1:16" s="1555" customFormat="1" ht="0.75" hidden="1" customHeight="1">
      <c r="A79" s="1700"/>
      <c r="B79" s="1700"/>
      <c r="C79" s="293" t="s">
        <v>1232</v>
      </c>
      <c r="D79" s="4054"/>
      <c r="E79" s="3862"/>
      <c r="F79" s="3997"/>
      <c r="G79" s="329"/>
      <c r="H79" s="1415"/>
      <c r="I79" s="569"/>
      <c r="J79" s="494"/>
      <c r="K79" s="1415"/>
      <c r="L79" s="131"/>
      <c r="M79" s="3824"/>
      <c r="N79" s="256"/>
      <c r="O79" s="1544"/>
      <c r="P79" s="1544"/>
    </row>
    <row r="80" spans="1:16" s="1555" customFormat="1" ht="18.75" hidden="1" customHeight="1">
      <c r="A80" s="1700" t="s">
        <v>294</v>
      </c>
      <c r="B80" s="1700" t="s">
        <v>295</v>
      </c>
      <c r="C80" s="293"/>
      <c r="D80" s="4054"/>
      <c r="E80" s="3862"/>
      <c r="F80" s="3997" t="str">
        <f>INDEX(PT_DIFFERENTIATION_VTAR,MATCH(A80,PT_DIFFERENTIATION_VTAR_ID,0))</f>
        <v>Тариф на водоотведение</v>
      </c>
      <c r="G80" s="4025" t="str">
        <f>INDEX(PT_DIFFERENTIATION_NTAR,MATCH(B80,PT_DIFFERENTIATION_NTAR_ID,0))</f>
        <v/>
      </c>
      <c r="H80" s="1781"/>
      <c r="I80" s="1658"/>
      <c r="J80" s="1693"/>
      <c r="K80" s="1784"/>
      <c r="L80" s="1781" t="s">
        <v>335</v>
      </c>
      <c r="M80" s="3824"/>
      <c r="N80" s="256"/>
      <c r="O80" s="1544"/>
      <c r="P80" s="1544"/>
    </row>
    <row r="81" spans="1:16" s="1555" customFormat="1" ht="18.75" hidden="1" customHeight="1">
      <c r="A81" s="1700"/>
      <c r="B81" s="1700"/>
      <c r="C81" s="293" t="s">
        <v>1226</v>
      </c>
      <c r="D81" s="4054"/>
      <c r="E81" s="3862"/>
      <c r="F81" s="3997"/>
      <c r="G81" s="4025"/>
      <c r="H81" s="1415"/>
      <c r="I81" s="569" t="s">
        <v>1227</v>
      </c>
      <c r="J81" s="494"/>
      <c r="K81" s="1415"/>
      <c r="L81" s="131"/>
      <c r="M81" s="3824"/>
      <c r="N81" s="256"/>
      <c r="O81" s="1544"/>
      <c r="P81" s="1544"/>
    </row>
    <row r="82" spans="1:16" s="1555" customFormat="1" ht="0.75" hidden="1" customHeight="1">
      <c r="A82" s="1700"/>
      <c r="B82" s="1700"/>
      <c r="C82" s="293" t="s">
        <v>1232</v>
      </c>
      <c r="D82" s="4054"/>
      <c r="E82" s="3862"/>
      <c r="F82" s="3997"/>
      <c r="G82" s="329"/>
      <c r="H82" s="1415"/>
      <c r="I82" s="569"/>
      <c r="J82" s="494"/>
      <c r="K82" s="1415"/>
      <c r="L82" s="131"/>
      <c r="M82" s="3824"/>
      <c r="N82" s="256"/>
      <c r="O82" s="1544"/>
      <c r="P82" s="1544"/>
    </row>
    <row r="83" spans="1:16" s="1555" customFormat="1" ht="18.75" hidden="1" customHeight="1">
      <c r="A83" s="1700" t="s">
        <v>299</v>
      </c>
      <c r="B83" s="1700" t="s">
        <v>300</v>
      </c>
      <c r="C83" s="293"/>
      <c r="D83" s="4054"/>
      <c r="E83" s="3862"/>
      <c r="F83" s="3997" t="str">
        <f>INDEX(PT_DIFFERENTIATION_VTAR,MATCH(A83,PT_DIFFERENTIATION_VTAR_ID,0))</f>
        <v>Тариф на транспортировку сточных вод</v>
      </c>
      <c r="G83" s="4025" t="str">
        <f>INDEX(PT_DIFFERENTIATION_NTAR,MATCH(B83,PT_DIFFERENTIATION_NTAR_ID,0))</f>
        <v/>
      </c>
      <c r="H83" s="1781"/>
      <c r="I83" s="1658"/>
      <c r="J83" s="1693"/>
      <c r="K83" s="1784"/>
      <c r="L83" s="1781" t="s">
        <v>335</v>
      </c>
      <c r="M83" s="3824"/>
      <c r="N83" s="256"/>
      <c r="O83" s="1544"/>
      <c r="P83" s="1544"/>
    </row>
    <row r="84" spans="1:16" s="1555" customFormat="1" ht="18.75" hidden="1" customHeight="1">
      <c r="A84" s="1700"/>
      <c r="B84" s="1700"/>
      <c r="C84" s="293" t="s">
        <v>1226</v>
      </c>
      <c r="D84" s="4054"/>
      <c r="E84" s="3862"/>
      <c r="F84" s="3997"/>
      <c r="G84" s="4025"/>
      <c r="H84" s="1415"/>
      <c r="I84" s="569" t="s">
        <v>1227</v>
      </c>
      <c r="J84" s="494"/>
      <c r="K84" s="1415"/>
      <c r="L84" s="131"/>
      <c r="M84" s="3824"/>
      <c r="N84" s="256"/>
      <c r="O84" s="1544"/>
      <c r="P84" s="1544"/>
    </row>
    <row r="85" spans="1:16" s="1555" customFormat="1" ht="0.75" hidden="1" customHeight="1">
      <c r="A85" s="1700"/>
      <c r="B85" s="1700"/>
      <c r="C85" s="293" t="s">
        <v>1232</v>
      </c>
      <c r="D85" s="4054"/>
      <c r="E85" s="3862"/>
      <c r="F85" s="3997"/>
      <c r="G85" s="329"/>
      <c r="H85" s="1415"/>
      <c r="I85" s="569"/>
      <c r="J85" s="494"/>
      <c r="K85" s="1415"/>
      <c r="L85" s="131"/>
      <c r="M85" s="3824"/>
      <c r="N85" s="256"/>
      <c r="O85" s="1544"/>
      <c r="P85" s="1544"/>
    </row>
    <row r="86" spans="1:16" s="1555" customFormat="1" ht="18.75" hidden="1" customHeight="1">
      <c r="A86" s="1700" t="s">
        <v>304</v>
      </c>
      <c r="B86" s="1700" t="s">
        <v>305</v>
      </c>
      <c r="C86" s="293"/>
      <c r="D86" s="4054"/>
      <c r="E86" s="3862"/>
      <c r="F86" s="3997" t="str">
        <f>INDEX(PT_DIFFERENTIATION_VTAR,MATCH(A86,PT_DIFFERENTIATION_VTAR_ID,0))</f>
        <v>Тариф на подключение (технологическое присоединение) к централизованной системе водоотведения</v>
      </c>
      <c r="G86" s="4025" t="str">
        <f>INDEX(PT_DIFFERENTIATION_NTAR,MATCH(B86,PT_DIFFERENTIATION_NTAR_ID,0))</f>
        <v/>
      </c>
      <c r="H86" s="1781"/>
      <c r="I86" s="1658"/>
      <c r="J86" s="1693"/>
      <c r="K86" s="1784"/>
      <c r="L86" s="1781" t="s">
        <v>335</v>
      </c>
      <c r="M86" s="3824"/>
      <c r="N86" s="256"/>
      <c r="O86" s="1544"/>
      <c r="P86" s="1544"/>
    </row>
    <row r="87" spans="1:16" s="1555" customFormat="1" ht="18.75" hidden="1" customHeight="1">
      <c r="A87" s="1700"/>
      <c r="B87" s="1700"/>
      <c r="C87" s="293" t="s">
        <v>1226</v>
      </c>
      <c r="D87" s="4054"/>
      <c r="E87" s="3862"/>
      <c r="F87" s="3997"/>
      <c r="G87" s="4025"/>
      <c r="H87" s="1415"/>
      <c r="I87" s="569" t="s">
        <v>1227</v>
      </c>
      <c r="J87" s="494"/>
      <c r="K87" s="1415"/>
      <c r="L87" s="131"/>
      <c r="M87" s="3824"/>
      <c r="N87" s="256"/>
      <c r="O87" s="1544"/>
      <c r="P87" s="1544"/>
    </row>
    <row r="88" spans="1:16" s="1555" customFormat="1" ht="0.75" customHeight="1">
      <c r="A88" s="1700"/>
      <c r="B88" s="1700"/>
      <c r="C88" s="293" t="s">
        <v>1232</v>
      </c>
      <c r="D88" s="4054"/>
      <c r="E88" s="3862"/>
      <c r="F88" s="3997"/>
      <c r="G88" s="329"/>
      <c r="H88" s="1415"/>
      <c r="I88" s="569"/>
      <c r="J88" s="494"/>
      <c r="K88" s="1415"/>
      <c r="L88" s="131"/>
      <c r="M88" s="3824"/>
      <c r="N88" s="256"/>
      <c r="O88" s="1544"/>
      <c r="P88" s="1544"/>
    </row>
    <row r="89" spans="1:16" ht="18.75" customHeight="1">
      <c r="A89" s="1700"/>
      <c r="B89" s="1700"/>
      <c r="D89" s="300"/>
      <c r="E89" s="67" t="s">
        <v>102</v>
      </c>
      <c r="F89" s="40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9" s="4053"/>
      <c r="H89" s="4053"/>
      <c r="I89" s="4053"/>
      <c r="J89" s="4053"/>
      <c r="K89" s="4053"/>
      <c r="L89" s="4053"/>
      <c r="M89" s="211"/>
      <c r="N89" s="256"/>
    </row>
    <row r="90" spans="1:16" ht="33.75" customHeight="1">
      <c r="A90" s="1700"/>
      <c r="B90" s="1700"/>
      <c r="D90" s="300"/>
      <c r="E90" s="328"/>
      <c r="F90" s="115" t="s">
        <v>335</v>
      </c>
      <c r="G90" s="115" t="s">
        <v>335</v>
      </c>
      <c r="H90" s="3876" t="s">
        <v>335</v>
      </c>
      <c r="I90" s="3878"/>
      <c r="J90" s="115" t="s">
        <v>335</v>
      </c>
      <c r="K90" s="115" t="s">
        <v>335</v>
      </c>
      <c r="L90" s="330"/>
      <c r="M90" s="266" t="s">
        <v>1233</v>
      </c>
      <c r="N90" s="256"/>
    </row>
    <row r="91" spans="1:16" ht="18.75" customHeight="1">
      <c r="A91" s="1700"/>
      <c r="B91" s="1700"/>
      <c r="D91" s="300"/>
      <c r="E91" s="67" t="s">
        <v>88</v>
      </c>
      <c r="F91" s="4053" t="s">
        <v>1234</v>
      </c>
      <c r="G91" s="4053"/>
      <c r="H91" s="4053"/>
      <c r="I91" s="4053"/>
      <c r="J91" s="4053"/>
      <c r="K91" s="4053"/>
      <c r="L91" s="4053"/>
      <c r="M91" s="211"/>
      <c r="N91" s="256"/>
    </row>
    <row r="92" spans="1:16" s="1555" customFormat="1" ht="60.75" hidden="1" customHeight="1">
      <c r="A92" s="1700" t="s">
        <v>173</v>
      </c>
      <c r="B92" s="1700" t="s">
        <v>174</v>
      </c>
      <c r="C92" s="293"/>
      <c r="D92" s="4054"/>
      <c r="E92" s="3862"/>
      <c r="F92" s="3997" t="str">
        <f>INDEX(PT_DIFFERENTIATION_VTAR,MATCH(A92,PT_DIFFERENTIATION_VTAR_ID,0))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2" s="4025" t="str">
        <f>INDEX(PT_DIFFERENTIATION_NTAR,MATCH(B92,PT_DIFFERENTIATION_NTAR_ID,0))</f>
        <v/>
      </c>
      <c r="H92" s="1781"/>
      <c r="I92" s="1658"/>
      <c r="J92" s="1693"/>
      <c r="K92" s="1698"/>
      <c r="L92" s="1781" t="s">
        <v>335</v>
      </c>
      <c r="M92" s="3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2" s="256"/>
      <c r="O92" s="1544"/>
      <c r="P92" s="1544"/>
    </row>
    <row r="93" spans="1:16" s="1555" customFormat="1" ht="18.75" hidden="1" customHeight="1">
      <c r="A93" s="1700"/>
      <c r="B93" s="1700"/>
      <c r="C93" s="293" t="s">
        <v>1228</v>
      </c>
      <c r="D93" s="4054"/>
      <c r="E93" s="3862"/>
      <c r="F93" s="3997"/>
      <c r="G93" s="4025"/>
      <c r="H93" s="1415"/>
      <c r="I93" s="569" t="s">
        <v>1227</v>
      </c>
      <c r="J93" s="494"/>
      <c r="K93" s="1415"/>
      <c r="L93" s="131"/>
      <c r="M93" s="3824"/>
      <c r="N93" s="256"/>
      <c r="O93" s="1544"/>
      <c r="P93" s="1544"/>
    </row>
    <row r="94" spans="1:16" s="1555" customFormat="1" ht="0.75" hidden="1" customHeight="1">
      <c r="A94" s="1700"/>
      <c r="B94" s="1700"/>
      <c r="C94" s="293" t="s">
        <v>1235</v>
      </c>
      <c r="D94" s="4054"/>
      <c r="E94" s="3862"/>
      <c r="F94" s="3997"/>
      <c r="G94" s="329"/>
      <c r="H94" s="1415"/>
      <c r="I94" s="569"/>
      <c r="J94" s="494"/>
      <c r="K94" s="1415"/>
      <c r="L94" s="131"/>
      <c r="M94" s="3824"/>
      <c r="N94" s="256"/>
      <c r="O94" s="1544"/>
      <c r="P94" s="1544"/>
    </row>
    <row r="95" spans="1:16" s="1555" customFormat="1" ht="45" hidden="1" customHeight="1">
      <c r="A95" s="1700" t="s">
        <v>179</v>
      </c>
      <c r="B95" s="1700" t="s">
        <v>180</v>
      </c>
      <c r="C95" s="293"/>
      <c r="D95" s="4054"/>
      <c r="E95" s="3862"/>
      <c r="F95" s="3997" t="str">
        <f>INDEX(PT_DIFFERENTIATION_VTAR,MATCH(A95,PT_DIFFERENTIATION_VTAR_ID,0))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5" s="4025" t="str">
        <f>INDEX(PT_DIFFERENTIATION_NTAR,MATCH(B95,PT_DIFFERENTIATION_NTAR_ID,0))</f>
        <v/>
      </c>
      <c r="H95" s="1781"/>
      <c r="I95" s="1658"/>
      <c r="J95" s="1693"/>
      <c r="K95" s="1698"/>
      <c r="L95" s="1781" t="s">
        <v>335</v>
      </c>
      <c r="M95" s="3825"/>
      <c r="N95" s="256"/>
      <c r="O95" s="1544"/>
      <c r="P95" s="1544"/>
    </row>
    <row r="96" spans="1:16" s="1555" customFormat="1" ht="18.75" hidden="1" customHeight="1">
      <c r="A96" s="1700"/>
      <c r="B96" s="1700"/>
      <c r="C96" s="293" t="s">
        <v>1228</v>
      </c>
      <c r="D96" s="4054"/>
      <c r="E96" s="3862"/>
      <c r="F96" s="3997"/>
      <c r="G96" s="4025"/>
      <c r="H96" s="1415"/>
      <c r="I96" s="569" t="s">
        <v>1227</v>
      </c>
      <c r="J96" s="494"/>
      <c r="K96" s="1415"/>
      <c r="L96" s="131"/>
      <c r="M96" s="1780"/>
      <c r="N96" s="256"/>
      <c r="O96" s="1544"/>
      <c r="P96" s="1544"/>
    </row>
    <row r="97" spans="1:16" s="1555" customFormat="1" ht="0.75" hidden="1" customHeight="1">
      <c r="A97" s="1700"/>
      <c r="B97" s="1700"/>
      <c r="C97" s="293" t="s">
        <v>1235</v>
      </c>
      <c r="D97" s="4054"/>
      <c r="E97" s="3862"/>
      <c r="F97" s="3997"/>
      <c r="G97" s="329"/>
      <c r="H97" s="1415"/>
      <c r="I97" s="569"/>
      <c r="J97" s="494"/>
      <c r="K97" s="1415"/>
      <c r="L97" s="131"/>
      <c r="M97" s="263"/>
      <c r="N97" s="256"/>
      <c r="O97" s="1544"/>
      <c r="P97" s="1544"/>
    </row>
    <row r="98" spans="1:16" s="1555" customFormat="1" ht="45" hidden="1" customHeight="1">
      <c r="A98" s="1700" t="s">
        <v>185</v>
      </c>
      <c r="B98" s="1700" t="s">
        <v>186</v>
      </c>
      <c r="C98" s="293"/>
      <c r="D98" s="4054"/>
      <c r="E98" s="3862"/>
      <c r="F98" s="3997"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4025" t="str">
        <f>INDEX(PT_DIFFERENTIATION_NTAR,MATCH(B98,PT_DIFFERENTIATION_NTAR_ID,0))</f>
        <v/>
      </c>
      <c r="H98" s="1781"/>
      <c r="I98" s="1658"/>
      <c r="J98" s="1693"/>
      <c r="K98" s="1698"/>
      <c r="L98" s="1781" t="s">
        <v>335</v>
      </c>
      <c r="M98" s="263"/>
      <c r="N98" s="256"/>
      <c r="O98" s="1544"/>
      <c r="P98" s="1544"/>
    </row>
    <row r="99" spans="1:16" s="1555" customFormat="1" ht="18.75" hidden="1" customHeight="1">
      <c r="A99" s="1700"/>
      <c r="B99" s="1700"/>
      <c r="C99" s="293" t="s">
        <v>1228</v>
      </c>
      <c r="D99" s="4054"/>
      <c r="E99" s="3862"/>
      <c r="F99" s="3997"/>
      <c r="G99" s="4025"/>
      <c r="H99" s="1415"/>
      <c r="I99" s="569" t="s">
        <v>1227</v>
      </c>
      <c r="J99" s="494"/>
      <c r="K99" s="1415"/>
      <c r="L99" s="131"/>
      <c r="M99" s="263"/>
      <c r="N99" s="256"/>
      <c r="O99" s="1544"/>
      <c r="P99" s="1544"/>
    </row>
    <row r="100" spans="1:16" s="1555" customFormat="1" ht="0.75" hidden="1" customHeight="1">
      <c r="A100" s="1700"/>
      <c r="B100" s="1700"/>
      <c r="C100" s="293" t="s">
        <v>1235</v>
      </c>
      <c r="D100" s="4054"/>
      <c r="E100" s="3862"/>
      <c r="F100" s="3997"/>
      <c r="G100" s="329"/>
      <c r="H100" s="1415"/>
      <c r="I100" s="569"/>
      <c r="J100" s="494"/>
      <c r="K100" s="1415"/>
      <c r="L100" s="131"/>
      <c r="M100" s="263"/>
      <c r="N100" s="256"/>
      <c r="O100" s="1544"/>
      <c r="P100" s="1544"/>
    </row>
    <row r="101" spans="1:16" s="1555" customFormat="1" ht="45" hidden="1" customHeight="1">
      <c r="A101" s="1700" t="s">
        <v>191</v>
      </c>
      <c r="B101" s="1700" t="s">
        <v>192</v>
      </c>
      <c r="C101" s="293"/>
      <c r="D101" s="4054"/>
      <c r="E101" s="3862"/>
      <c r="F101" s="3997"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4025" t="str">
        <f>INDEX(PT_DIFFERENTIATION_NTAR,MATCH(B101,PT_DIFFERENTIATION_NTAR_ID,0))</f>
        <v/>
      </c>
      <c r="H101" s="1781"/>
      <c r="I101" s="1658"/>
      <c r="J101" s="1693"/>
      <c r="K101" s="1698"/>
      <c r="L101" s="1781" t="s">
        <v>335</v>
      </c>
      <c r="M101" s="263"/>
      <c r="N101" s="256"/>
      <c r="O101" s="1544"/>
      <c r="P101" s="1544"/>
    </row>
    <row r="102" spans="1:16" s="1555" customFormat="1" ht="18.75" hidden="1" customHeight="1">
      <c r="A102" s="1700"/>
      <c r="B102" s="1700"/>
      <c r="C102" s="293" t="s">
        <v>1228</v>
      </c>
      <c r="D102" s="4054"/>
      <c r="E102" s="3862"/>
      <c r="F102" s="3997"/>
      <c r="G102" s="4025"/>
      <c r="H102" s="1415"/>
      <c r="I102" s="569" t="s">
        <v>1227</v>
      </c>
      <c r="J102" s="494"/>
      <c r="K102" s="1415"/>
      <c r="L102" s="131"/>
      <c r="M102" s="263"/>
      <c r="N102" s="256"/>
      <c r="O102" s="1544"/>
      <c r="P102" s="1544"/>
    </row>
    <row r="103" spans="1:16" s="1555" customFormat="1" ht="0.75" hidden="1" customHeight="1">
      <c r="A103" s="1700"/>
      <c r="B103" s="1700"/>
      <c r="C103" s="293" t="s">
        <v>1235</v>
      </c>
      <c r="D103" s="4054"/>
      <c r="E103" s="3862"/>
      <c r="F103" s="3997"/>
      <c r="G103" s="329"/>
      <c r="H103" s="1415"/>
      <c r="I103" s="569"/>
      <c r="J103" s="494"/>
      <c r="K103" s="1415"/>
      <c r="L103" s="131"/>
      <c r="M103" s="263"/>
      <c r="N103" s="256"/>
      <c r="O103" s="1544"/>
      <c r="P103" s="1544"/>
    </row>
    <row r="104" spans="1:16" s="1555" customFormat="1" ht="18.75" hidden="1" customHeight="1">
      <c r="A104" s="1700" t="s">
        <v>197</v>
      </c>
      <c r="B104" s="1700" t="s">
        <v>198</v>
      </c>
      <c r="C104" s="293"/>
      <c r="D104" s="4054"/>
      <c r="E104" s="3862"/>
      <c r="F104" s="3997" t="str">
        <f>INDEX(PT_DIFFERENTIATION_VTAR,MATCH(A104,PT_DIFFERENTIATION_VTAR_ID,0))</f>
        <v>Тарифы на услуги по передаче тепловой энергии</v>
      </c>
      <c r="G104" s="4025" t="str">
        <f>INDEX(PT_DIFFERENTIATION_NTAR,MATCH(B104,PT_DIFFERENTIATION_NTAR_ID,0))</f>
        <v/>
      </c>
      <c r="H104" s="1781"/>
      <c r="I104" s="1658"/>
      <c r="J104" s="1693"/>
      <c r="K104" s="1698"/>
      <c r="L104" s="1781" t="s">
        <v>335</v>
      </c>
      <c r="M104" s="263"/>
      <c r="N104" s="256"/>
      <c r="O104" s="1544"/>
      <c r="P104" s="1544"/>
    </row>
    <row r="105" spans="1:16" s="1555" customFormat="1" ht="18.75" hidden="1" customHeight="1">
      <c r="A105" s="1700"/>
      <c r="B105" s="1700"/>
      <c r="C105" s="293" t="s">
        <v>1228</v>
      </c>
      <c r="D105" s="4054"/>
      <c r="E105" s="3862"/>
      <c r="F105" s="3997"/>
      <c r="G105" s="4025"/>
      <c r="H105" s="1415"/>
      <c r="I105" s="569" t="s">
        <v>1227</v>
      </c>
      <c r="J105" s="494"/>
      <c r="K105" s="1415"/>
      <c r="L105" s="131"/>
      <c r="M105" s="263"/>
      <c r="N105" s="256"/>
      <c r="O105" s="1544"/>
      <c r="P105" s="1544"/>
    </row>
    <row r="106" spans="1:16" s="1555" customFormat="1" ht="0.75" hidden="1" customHeight="1">
      <c r="A106" s="1700"/>
      <c r="B106" s="1700"/>
      <c r="C106" s="293" t="s">
        <v>1235</v>
      </c>
      <c r="D106" s="4054"/>
      <c r="E106" s="3862"/>
      <c r="F106" s="3997"/>
      <c r="G106" s="329"/>
      <c r="H106" s="1415"/>
      <c r="I106" s="569"/>
      <c r="J106" s="494"/>
      <c r="K106" s="1415"/>
      <c r="L106" s="131"/>
      <c r="M106" s="263"/>
      <c r="N106" s="256"/>
      <c r="O106" s="1544"/>
      <c r="P106" s="1544"/>
    </row>
    <row r="107" spans="1:16" s="1555" customFormat="1" ht="18.75" hidden="1" customHeight="1">
      <c r="A107" s="1700" t="s">
        <v>203</v>
      </c>
      <c r="B107" s="1700" t="s">
        <v>204</v>
      </c>
      <c r="C107" s="293"/>
      <c r="D107" s="4054"/>
      <c r="E107" s="3862"/>
      <c r="F107" s="3997" t="str">
        <f>INDEX(PT_DIFFERENTIATION_VTAR,MATCH(A107,PT_DIFFERENTIATION_VTAR_ID,0))</f>
        <v>Тарифы на услуги по передаче теплоносителя</v>
      </c>
      <c r="G107" s="4025" t="str">
        <f>INDEX(PT_DIFFERENTIATION_NTAR,MATCH(B107,PT_DIFFERENTIATION_NTAR_ID,0))</f>
        <v/>
      </c>
      <c r="H107" s="1781"/>
      <c r="I107" s="1658"/>
      <c r="J107" s="1693"/>
      <c r="K107" s="1698"/>
      <c r="L107" s="1781" t="s">
        <v>335</v>
      </c>
      <c r="M107" s="263"/>
      <c r="N107" s="256"/>
      <c r="O107" s="1544"/>
      <c r="P107" s="1544"/>
    </row>
    <row r="108" spans="1:16" s="1555" customFormat="1" ht="18.75" hidden="1" customHeight="1">
      <c r="A108" s="1700"/>
      <c r="B108" s="1700"/>
      <c r="C108" s="293" t="s">
        <v>1228</v>
      </c>
      <c r="D108" s="4054"/>
      <c r="E108" s="3862"/>
      <c r="F108" s="3997"/>
      <c r="G108" s="4025"/>
      <c r="H108" s="1415"/>
      <c r="I108" s="569" t="s">
        <v>1227</v>
      </c>
      <c r="J108" s="494"/>
      <c r="K108" s="1415"/>
      <c r="L108" s="131"/>
      <c r="M108" s="263"/>
      <c r="N108" s="256"/>
      <c r="O108" s="1544"/>
      <c r="P108" s="1544"/>
    </row>
    <row r="109" spans="1:16" s="1555" customFormat="1" ht="0.75" hidden="1" customHeight="1">
      <c r="A109" s="1700"/>
      <c r="B109" s="1700"/>
      <c r="C109" s="293" t="s">
        <v>1235</v>
      </c>
      <c r="D109" s="4054"/>
      <c r="E109" s="3862"/>
      <c r="F109" s="3997"/>
      <c r="G109" s="329"/>
      <c r="H109" s="1415"/>
      <c r="I109" s="569"/>
      <c r="J109" s="494"/>
      <c r="K109" s="1415"/>
      <c r="L109" s="131"/>
      <c r="M109" s="263"/>
      <c r="N109" s="256"/>
      <c r="O109" s="1544"/>
      <c r="P109" s="1544"/>
    </row>
    <row r="110" spans="1:16" s="1555" customFormat="1" ht="18.75" hidden="1" customHeight="1">
      <c r="A110" s="1700" t="s">
        <v>209</v>
      </c>
      <c r="B110" s="1700" t="s">
        <v>210</v>
      </c>
      <c r="C110" s="293"/>
      <c r="D110" s="4054"/>
      <c r="E110" s="3862"/>
      <c r="F110" s="3997" t="str">
        <f>INDEX(PT_DIFFERENTIATION_VTAR,MATCH(A110,PT_DIFFERENTIATION_VTAR_ID,0))</f>
        <v>Плата за услуги по поддержанию резервной тепловой мощности при отсутствии потребления тепловой энергии</v>
      </c>
      <c r="G110" s="4025" t="str">
        <f>INDEX(PT_DIFFERENTIATION_NTAR,MATCH(B110,PT_DIFFERENTIATION_NTAR_ID,0))</f>
        <v/>
      </c>
      <c r="H110" s="1781"/>
      <c r="I110" s="1658"/>
      <c r="J110" s="1693"/>
      <c r="K110" s="1698"/>
      <c r="L110" s="1781" t="s">
        <v>335</v>
      </c>
      <c r="M110" s="263"/>
      <c r="N110" s="256"/>
      <c r="O110" s="1544"/>
      <c r="P110" s="1544"/>
    </row>
    <row r="111" spans="1:16" s="1555" customFormat="1" ht="18.75" hidden="1" customHeight="1">
      <c r="A111" s="1700"/>
      <c r="B111" s="1700"/>
      <c r="C111" s="293" t="s">
        <v>1228</v>
      </c>
      <c r="D111" s="4054"/>
      <c r="E111" s="3862"/>
      <c r="F111" s="3997"/>
      <c r="G111" s="4025"/>
      <c r="H111" s="1415"/>
      <c r="I111" s="569" t="s">
        <v>1227</v>
      </c>
      <c r="J111" s="494"/>
      <c r="K111" s="1415"/>
      <c r="L111" s="131"/>
      <c r="M111" s="263"/>
      <c r="N111" s="256"/>
      <c r="O111" s="1544"/>
      <c r="P111" s="1544"/>
    </row>
    <row r="112" spans="1:16" s="1555" customFormat="1" ht="0.75" hidden="1" customHeight="1">
      <c r="A112" s="1700"/>
      <c r="B112" s="1700"/>
      <c r="C112" s="293" t="s">
        <v>1235</v>
      </c>
      <c r="D112" s="4054"/>
      <c r="E112" s="3862"/>
      <c r="F112" s="3997"/>
      <c r="G112" s="329"/>
      <c r="H112" s="1415"/>
      <c r="I112" s="569"/>
      <c r="J112" s="494"/>
      <c r="K112" s="1415"/>
      <c r="L112" s="131"/>
      <c r="M112" s="263"/>
      <c r="N112" s="256"/>
      <c r="O112" s="1544"/>
      <c r="P112" s="1544"/>
    </row>
    <row r="113" spans="1:16" s="1555" customFormat="1" ht="18.75" hidden="1" customHeight="1">
      <c r="A113" s="1700" t="s">
        <v>215</v>
      </c>
      <c r="B113" s="1700" t="s">
        <v>216</v>
      </c>
      <c r="C113" s="293"/>
      <c r="D113" s="4054"/>
      <c r="E113" s="3862"/>
      <c r="F113" s="3997" t="str">
        <f>INDEX(PT_DIFFERENTIATION_VTAR,MATCH(A113,PT_DIFFERENTIATION_VTAR_ID,0))</f>
        <v>Плата за подключение (технологическое присоединение) к системе теплоснабжения</v>
      </c>
      <c r="G113" s="4025" t="str">
        <f>INDEX(PT_DIFFERENTIATION_NTAR,MATCH(B113,PT_DIFFERENTIATION_NTAR_ID,0))</f>
        <v/>
      </c>
      <c r="H113" s="1781"/>
      <c r="I113" s="1658"/>
      <c r="J113" s="1693"/>
      <c r="K113" s="1698"/>
      <c r="L113" s="1781" t="s">
        <v>335</v>
      </c>
      <c r="M113" s="263"/>
      <c r="N113" s="256"/>
      <c r="O113" s="1544"/>
      <c r="P113" s="1544"/>
    </row>
    <row r="114" spans="1:16" s="1555" customFormat="1" ht="18.75" hidden="1" customHeight="1">
      <c r="A114" s="1700"/>
      <c r="B114" s="1700"/>
      <c r="C114" s="293" t="s">
        <v>1228</v>
      </c>
      <c r="D114" s="4054"/>
      <c r="E114" s="3862"/>
      <c r="F114" s="3997"/>
      <c r="G114" s="4025"/>
      <c r="H114" s="1415"/>
      <c r="I114" s="569" t="s">
        <v>1227</v>
      </c>
      <c r="J114" s="494"/>
      <c r="K114" s="1415"/>
      <c r="L114" s="131"/>
      <c r="M114" s="263"/>
      <c r="N114" s="256"/>
      <c r="O114" s="1544"/>
      <c r="P114" s="1544"/>
    </row>
    <row r="115" spans="1:16" s="1555" customFormat="1" ht="0.75" hidden="1" customHeight="1">
      <c r="A115" s="1700"/>
      <c r="B115" s="1700"/>
      <c r="C115" s="293" t="s">
        <v>1235</v>
      </c>
      <c r="D115" s="4054"/>
      <c r="E115" s="3862"/>
      <c r="F115" s="3997"/>
      <c r="G115" s="329"/>
      <c r="H115" s="1415"/>
      <c r="I115" s="569"/>
      <c r="J115" s="494"/>
      <c r="K115" s="1415"/>
      <c r="L115" s="131"/>
      <c r="M115" s="263"/>
      <c r="N115" s="256"/>
      <c r="O115" s="1544"/>
      <c r="P115" s="1544"/>
    </row>
    <row r="116" spans="1:16" s="1555" customFormat="1" ht="18.75" hidden="1" customHeight="1">
      <c r="A116" s="1700" t="s">
        <v>229</v>
      </c>
      <c r="B116" s="1700" t="s">
        <v>230</v>
      </c>
      <c r="C116" s="293"/>
      <c r="D116" s="4054"/>
      <c r="E116" s="3862"/>
      <c r="F116" s="3997" t="str">
        <f>INDEX(PT_DIFFERENTIATION_VTAR,MATCH(A116,PT_DIFFERENTIATION_VTAR_ID,0))</f>
        <v>Тариф на питьевую воду (питьевое водоснабжение)</v>
      </c>
      <c r="G116" s="4025" t="str">
        <f>INDEX(PT_DIFFERENTIATION_NTAR,MATCH(B116,PT_DIFFERENTIATION_NTAR_ID,0))</f>
        <v/>
      </c>
      <c r="H116" s="1781"/>
      <c r="I116" s="1658"/>
      <c r="J116" s="1693"/>
      <c r="K116" s="1698"/>
      <c r="L116" s="1781" t="s">
        <v>335</v>
      </c>
      <c r="M116" s="263"/>
      <c r="N116" s="256"/>
      <c r="O116" s="1544"/>
      <c r="P116" s="1544"/>
    </row>
    <row r="117" spans="1:16" s="1555" customFormat="1" ht="18.75" hidden="1" customHeight="1">
      <c r="A117" s="1700"/>
      <c r="B117" s="1700"/>
      <c r="C117" s="293" t="s">
        <v>1228</v>
      </c>
      <c r="D117" s="4054"/>
      <c r="E117" s="3862"/>
      <c r="F117" s="3997"/>
      <c r="G117" s="4025"/>
      <c r="H117" s="1415"/>
      <c r="I117" s="569" t="s">
        <v>1227</v>
      </c>
      <c r="J117" s="494"/>
      <c r="K117" s="1415"/>
      <c r="L117" s="131"/>
      <c r="M117" s="263"/>
      <c r="N117" s="256"/>
      <c r="O117" s="1544"/>
      <c r="P117" s="1544"/>
    </row>
    <row r="118" spans="1:16" s="1555" customFormat="1" ht="0.75" hidden="1" customHeight="1">
      <c r="A118" s="1700"/>
      <c r="B118" s="1700"/>
      <c r="C118" s="293" t="s">
        <v>1235</v>
      </c>
      <c r="D118" s="4054"/>
      <c r="E118" s="3862"/>
      <c r="F118" s="3997"/>
      <c r="G118" s="329"/>
      <c r="H118" s="1415"/>
      <c r="I118" s="569"/>
      <c r="J118" s="494"/>
      <c r="K118" s="1415"/>
      <c r="L118" s="131"/>
      <c r="M118" s="263"/>
      <c r="N118" s="256"/>
      <c r="O118" s="1544"/>
      <c r="P118" s="1544"/>
    </row>
    <row r="119" spans="1:16" s="1555" customFormat="1" ht="18.75" hidden="1" customHeight="1">
      <c r="A119" s="1700" t="s">
        <v>236</v>
      </c>
      <c r="B119" s="1700" t="s">
        <v>237</v>
      </c>
      <c r="C119" s="293"/>
      <c r="D119" s="4054"/>
      <c r="E119" s="3862"/>
      <c r="F119" s="3997" t="str">
        <f>INDEX(PT_DIFFERENTIATION_VTAR,MATCH(A119,PT_DIFFERENTIATION_VTAR_ID,0))</f>
        <v>Тариф на техническую воду</v>
      </c>
      <c r="G119" s="4025" t="str">
        <f>INDEX(PT_DIFFERENTIATION_NTAR,MATCH(B119,PT_DIFFERENTIATION_NTAR_ID,0))</f>
        <v>Тариф на техническую воду для потребителей, присоединенных к централизованной системе технического водоснабжения города Буденновска Буденновского муниципального округа</v>
      </c>
      <c r="H119" s="1781"/>
      <c r="I119" s="1658"/>
      <c r="J119" s="1693"/>
      <c r="K119" s="1698"/>
      <c r="L119" s="1781" t="s">
        <v>335</v>
      </c>
      <c r="M119" s="263"/>
      <c r="N119" s="256"/>
      <c r="O119" s="1544"/>
      <c r="P119" s="1544"/>
    </row>
    <row r="120" spans="1:16" s="1555" customFormat="1" ht="18.75" hidden="1" customHeight="1">
      <c r="A120" s="1700"/>
      <c r="B120" s="1700"/>
      <c r="C120" s="293" t="s">
        <v>1228</v>
      </c>
      <c r="D120" s="4054"/>
      <c r="E120" s="3862"/>
      <c r="F120" s="3997"/>
      <c r="G120" s="4025"/>
      <c r="H120" s="1415"/>
      <c r="I120" s="569" t="s">
        <v>1227</v>
      </c>
      <c r="J120" s="494"/>
      <c r="K120" s="1415"/>
      <c r="L120" s="131"/>
      <c r="M120" s="263"/>
      <c r="N120" s="256"/>
      <c r="O120" s="1544"/>
      <c r="P120" s="1544"/>
    </row>
    <row r="121" spans="1:16" s="1555" customFormat="1" ht="18.75" customHeight="1">
      <c r="A121" s="1742" t="s">
        <v>236</v>
      </c>
      <c r="B121" s="1742" t="s">
        <v>243</v>
      </c>
      <c r="C121" s="1607"/>
      <c r="D121" s="4055"/>
      <c r="E121" s="4056"/>
      <c r="F121" s="4056"/>
      <c r="G121" s="4025" t="str">
        <f>INDEX(PT_DIFFERENTIATION_NTAR,MATCH(B121,PT_DIFFERENTIATION_NTAR_ID,0))</f>
        <v>Тариф на техническую воду для потребителей, присоединенных к централизованной системе технического водоснабжения Изобильненского муниципального округа</v>
      </c>
      <c r="H121" s="1811"/>
      <c r="I121" s="1658"/>
      <c r="J121" s="1693"/>
      <c r="K121" s="1698"/>
      <c r="L121" s="1811" t="s">
        <v>335</v>
      </c>
      <c r="M121" s="1794"/>
      <c r="N121" s="537"/>
      <c r="O121" s="1544"/>
      <c r="P121" s="1544"/>
    </row>
    <row r="122" spans="1:16" s="1555" customFormat="1" ht="18.75" customHeight="1">
      <c r="A122" s="1742"/>
      <c r="B122" s="1742"/>
      <c r="C122" s="1607" t="s">
        <v>1228</v>
      </c>
      <c r="D122" s="4055"/>
      <c r="E122" s="4056"/>
      <c r="F122" s="4056"/>
      <c r="G122" s="4025"/>
      <c r="H122" s="3649"/>
      <c r="I122" s="3650" t="s">
        <v>1227</v>
      </c>
      <c r="J122" s="3651"/>
      <c r="K122" s="3652"/>
      <c r="L122" s="3653"/>
      <c r="M122" s="1794"/>
      <c r="N122" s="537"/>
      <c r="O122" s="1544"/>
      <c r="P122" s="1544"/>
    </row>
    <row r="123" spans="1:16" s="1555" customFormat="1" ht="18.75" customHeight="1">
      <c r="A123" s="1742" t="s">
        <v>236</v>
      </c>
      <c r="B123" s="1742" t="s">
        <v>248</v>
      </c>
      <c r="C123" s="1607"/>
      <c r="D123" s="4055"/>
      <c r="E123" s="4056"/>
      <c r="F123" s="4056"/>
      <c r="G123" s="4025" t="str">
        <f>INDEX(PT_DIFFERENTIATION_NTAR,MATCH(B123,PT_DIFFERENTIATION_NTAR_ID,0))</f>
        <v>Тариф на техническую воду для потребителей, присоединенных к централизованной системе технического водоснабжения хутора Привольного Курского муниципального округа</v>
      </c>
      <c r="H123" s="1811"/>
      <c r="I123" s="1658"/>
      <c r="J123" s="1693"/>
      <c r="K123" s="1698"/>
      <c r="L123" s="1811" t="s">
        <v>335</v>
      </c>
      <c r="M123" s="1794"/>
      <c r="N123" s="537"/>
      <c r="O123" s="1544"/>
      <c r="P123" s="1544"/>
    </row>
    <row r="124" spans="1:16" s="1555" customFormat="1" ht="18.75" customHeight="1">
      <c r="A124" s="1742"/>
      <c r="B124" s="1742"/>
      <c r="C124" s="1607" t="s">
        <v>1228</v>
      </c>
      <c r="D124" s="4055"/>
      <c r="E124" s="4056"/>
      <c r="F124" s="4056"/>
      <c r="G124" s="4025"/>
      <c r="H124" s="3654"/>
      <c r="I124" s="3655" t="s">
        <v>1227</v>
      </c>
      <c r="J124" s="3656"/>
      <c r="K124" s="3657"/>
      <c r="L124" s="3658"/>
      <c r="M124" s="1794"/>
      <c r="N124" s="537"/>
      <c r="O124" s="1544"/>
      <c r="P124" s="1544"/>
    </row>
    <row r="125" spans="1:16" s="1555" customFormat="1" ht="18.75" customHeight="1">
      <c r="A125" s="1742" t="s">
        <v>236</v>
      </c>
      <c r="B125" s="1742" t="s">
        <v>253</v>
      </c>
      <c r="C125" s="1607"/>
      <c r="D125" s="4055"/>
      <c r="E125" s="4056"/>
      <c r="F125" s="4056"/>
      <c r="G125" s="4025" t="str">
        <f>INDEX(PT_DIFFERENTIATION_NTAR,MATCH(B125,PT_DIFFERENTIATION_NTAR_ID,0))</f>
        <v>Тариф на техническую воду для потребителей, присоединенных к централизованной системе технического водоснабжения села Левокумского Левокумского муниципального округа</v>
      </c>
      <c r="H125" s="1811"/>
      <c r="I125" s="1658"/>
      <c r="J125" s="1693"/>
      <c r="K125" s="1698"/>
      <c r="L125" s="1811" t="s">
        <v>335</v>
      </c>
      <c r="M125" s="1794"/>
      <c r="N125" s="537"/>
      <c r="O125" s="1544"/>
      <c r="P125" s="1544"/>
    </row>
    <row r="126" spans="1:16" s="1555" customFormat="1" ht="18.75" customHeight="1">
      <c r="A126" s="1742"/>
      <c r="B126" s="1742"/>
      <c r="C126" s="1607" t="s">
        <v>1228</v>
      </c>
      <c r="D126" s="4055"/>
      <c r="E126" s="4056"/>
      <c r="F126" s="4056"/>
      <c r="G126" s="4025"/>
      <c r="H126" s="3659"/>
      <c r="I126" s="3660" t="s">
        <v>1227</v>
      </c>
      <c r="J126" s="3661"/>
      <c r="K126" s="3662"/>
      <c r="L126" s="3663"/>
      <c r="M126" s="1794"/>
      <c r="N126" s="537"/>
      <c r="O126" s="1544"/>
      <c r="P126" s="1544"/>
    </row>
    <row r="127" spans="1:16" s="1555" customFormat="1" ht="18.75" customHeight="1">
      <c r="A127" s="1742" t="s">
        <v>236</v>
      </c>
      <c r="B127" s="1742" t="s">
        <v>258</v>
      </c>
      <c r="C127" s="1607"/>
      <c r="D127" s="4055"/>
      <c r="E127" s="4056"/>
      <c r="F127" s="4056"/>
      <c r="G127" s="4025" t="str">
        <f>INDEX(PT_DIFFERENTIATION_NTAR,MATCH(B127,PT_DIFFERENTIATION_NTAR_ID,0))</f>
        <v>Тариф на техническую воду для потребителей, присоединенных к централизованной системе технического водоснабжения города Нефтекумска Нефтекумского муниципального округа</v>
      </c>
      <c r="H127" s="1811"/>
      <c r="I127" s="1658"/>
      <c r="J127" s="1693"/>
      <c r="K127" s="1698"/>
      <c r="L127" s="1811" t="s">
        <v>335</v>
      </c>
      <c r="M127" s="1794"/>
      <c r="N127" s="537"/>
      <c r="O127" s="1544"/>
      <c r="P127" s="1544"/>
    </row>
    <row r="128" spans="1:16" s="1555" customFormat="1" ht="18.75" customHeight="1">
      <c r="A128" s="1742"/>
      <c r="B128" s="1742"/>
      <c r="C128" s="1607" t="s">
        <v>1228</v>
      </c>
      <c r="D128" s="4055"/>
      <c r="E128" s="4056"/>
      <c r="F128" s="4056"/>
      <c r="G128" s="4025"/>
      <c r="H128" s="3664"/>
      <c r="I128" s="3665" t="s">
        <v>1227</v>
      </c>
      <c r="J128" s="3666"/>
      <c r="K128" s="3667"/>
      <c r="L128" s="3668"/>
      <c r="M128" s="1794"/>
      <c r="N128" s="537"/>
      <c r="O128" s="1544"/>
      <c r="P128" s="1544"/>
    </row>
    <row r="129" spans="1:16" s="1555" customFormat="1" ht="0.75" hidden="1" customHeight="1">
      <c r="A129" s="1700"/>
      <c r="B129" s="1700"/>
      <c r="C129" s="293" t="s">
        <v>1235</v>
      </c>
      <c r="D129" s="4054"/>
      <c r="E129" s="3862"/>
      <c r="F129" s="3997"/>
      <c r="G129" s="329"/>
      <c r="H129" s="1415"/>
      <c r="I129" s="569"/>
      <c r="J129" s="494"/>
      <c r="K129" s="1415"/>
      <c r="L129" s="131"/>
      <c r="M129" s="263"/>
      <c r="N129" s="256"/>
      <c r="O129" s="1544"/>
      <c r="P129" s="1544"/>
    </row>
    <row r="130" spans="1:16" s="1555" customFormat="1" ht="18.75" hidden="1" customHeight="1">
      <c r="A130" s="1700" t="s">
        <v>264</v>
      </c>
      <c r="B130" s="1700" t="s">
        <v>265</v>
      </c>
      <c r="C130" s="293"/>
      <c r="D130" s="4054"/>
      <c r="E130" s="3862"/>
      <c r="F130" s="3997" t="str">
        <f>INDEX(PT_DIFFERENTIATION_VTAR,MATCH(A130,PT_DIFFERENTIATION_VTAR_ID,0))</f>
        <v>Тариф на транспортировку воды</v>
      </c>
      <c r="G130" s="4025" t="str">
        <f>INDEX(PT_DIFFERENTIATION_NTAR,MATCH(B130,PT_DIFFERENTIATION_NTAR_ID,0))</f>
        <v/>
      </c>
      <c r="H130" s="1781"/>
      <c r="I130" s="1658"/>
      <c r="J130" s="1693"/>
      <c r="K130" s="1698"/>
      <c r="L130" s="1781" t="s">
        <v>335</v>
      </c>
      <c r="M130" s="263"/>
      <c r="N130" s="256"/>
      <c r="O130" s="1544"/>
      <c r="P130" s="1544"/>
    </row>
    <row r="131" spans="1:16" s="1555" customFormat="1" ht="18.75" hidden="1" customHeight="1">
      <c r="A131" s="1700"/>
      <c r="B131" s="1700"/>
      <c r="C131" s="293" t="s">
        <v>1228</v>
      </c>
      <c r="D131" s="4054"/>
      <c r="E131" s="3862"/>
      <c r="F131" s="3997"/>
      <c r="G131" s="4025"/>
      <c r="H131" s="1415"/>
      <c r="I131" s="569" t="s">
        <v>1227</v>
      </c>
      <c r="J131" s="494"/>
      <c r="K131" s="1415"/>
      <c r="L131" s="131"/>
      <c r="M131" s="263"/>
      <c r="N131" s="256"/>
      <c r="O131" s="1544"/>
      <c r="P131" s="1544"/>
    </row>
    <row r="132" spans="1:16" s="1555" customFormat="1" ht="0.75" hidden="1" customHeight="1">
      <c r="A132" s="1700"/>
      <c r="B132" s="1700"/>
      <c r="C132" s="293" t="s">
        <v>1235</v>
      </c>
      <c r="D132" s="4054"/>
      <c r="E132" s="3862"/>
      <c r="F132" s="3997"/>
      <c r="G132" s="329"/>
      <c r="H132" s="1415"/>
      <c r="I132" s="569"/>
      <c r="J132" s="494"/>
      <c r="K132" s="1415"/>
      <c r="L132" s="131"/>
      <c r="M132" s="263"/>
      <c r="N132" s="256"/>
      <c r="O132" s="1544"/>
      <c r="P132" s="1544"/>
    </row>
    <row r="133" spans="1:16" s="1555" customFormat="1" ht="18.75" hidden="1" customHeight="1">
      <c r="A133" s="1700" t="s">
        <v>269</v>
      </c>
      <c r="B133" s="1700" t="s">
        <v>270</v>
      </c>
      <c r="C133" s="293"/>
      <c r="D133" s="4054"/>
      <c r="E133" s="3862"/>
      <c r="F133" s="3997" t="str">
        <f>INDEX(PT_DIFFERENTIATION_VTAR,MATCH(A133,PT_DIFFERENTIATION_VTAR_ID,0))</f>
        <v>Тариф на подвоз воды</v>
      </c>
      <c r="G133" s="4025" t="str">
        <f>INDEX(PT_DIFFERENTIATION_NTAR,MATCH(B133,PT_DIFFERENTIATION_NTAR_ID,0))</f>
        <v/>
      </c>
      <c r="H133" s="1781"/>
      <c r="I133" s="1658"/>
      <c r="J133" s="1693"/>
      <c r="K133" s="1698"/>
      <c r="L133" s="1781" t="s">
        <v>335</v>
      </c>
      <c r="M133" s="263"/>
      <c r="N133" s="256"/>
      <c r="O133" s="1544"/>
      <c r="P133" s="1544"/>
    </row>
    <row r="134" spans="1:16" s="1555" customFormat="1" ht="18.75" hidden="1" customHeight="1">
      <c r="A134" s="1700"/>
      <c r="B134" s="1700"/>
      <c r="C134" s="293" t="s">
        <v>1228</v>
      </c>
      <c r="D134" s="4054"/>
      <c r="E134" s="3862"/>
      <c r="F134" s="3997"/>
      <c r="G134" s="4025"/>
      <c r="H134" s="1415"/>
      <c r="I134" s="569" t="s">
        <v>1227</v>
      </c>
      <c r="J134" s="494"/>
      <c r="K134" s="1415"/>
      <c r="L134" s="131"/>
      <c r="M134" s="263"/>
      <c r="N134" s="256"/>
      <c r="O134" s="1544"/>
      <c r="P134" s="1544"/>
    </row>
    <row r="135" spans="1:16" s="1555" customFormat="1" ht="0.75" hidden="1" customHeight="1">
      <c r="A135" s="1700"/>
      <c r="B135" s="1700"/>
      <c r="C135" s="293" t="s">
        <v>1235</v>
      </c>
      <c r="D135" s="4054"/>
      <c r="E135" s="3862"/>
      <c r="F135" s="3997"/>
      <c r="G135" s="329"/>
      <c r="H135" s="1415"/>
      <c r="I135" s="569"/>
      <c r="J135" s="494"/>
      <c r="K135" s="1415"/>
      <c r="L135" s="131"/>
      <c r="M135" s="263"/>
      <c r="N135" s="256"/>
      <c r="O135" s="1544"/>
      <c r="P135" s="1544"/>
    </row>
    <row r="136" spans="1:16" s="1555" customFormat="1" ht="18.75" hidden="1" customHeight="1">
      <c r="A136" s="1700" t="s">
        <v>274</v>
      </c>
      <c r="B136" s="1700" t="s">
        <v>275</v>
      </c>
      <c r="C136" s="293"/>
      <c r="D136" s="4054"/>
      <c r="E136" s="3862"/>
      <c r="F136" s="3997"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4025" t="str">
        <f>INDEX(PT_DIFFERENTIATION_NTAR,MATCH(B136,PT_DIFFERENTIATION_NTAR_ID,0))</f>
        <v/>
      </c>
      <c r="H136" s="1781"/>
      <c r="I136" s="1658"/>
      <c r="J136" s="1693"/>
      <c r="K136" s="1698"/>
      <c r="L136" s="1781" t="s">
        <v>335</v>
      </c>
      <c r="M136" s="263"/>
      <c r="N136" s="256"/>
      <c r="O136" s="1544"/>
      <c r="P136" s="1544"/>
    </row>
    <row r="137" spans="1:16" s="1555" customFormat="1" ht="18.75" hidden="1" customHeight="1">
      <c r="A137" s="1700"/>
      <c r="B137" s="1700"/>
      <c r="C137" s="293" t="s">
        <v>1228</v>
      </c>
      <c r="D137" s="4054"/>
      <c r="E137" s="3862"/>
      <c r="F137" s="3997"/>
      <c r="G137" s="4025"/>
      <c r="H137" s="1415"/>
      <c r="I137" s="569" t="s">
        <v>1227</v>
      </c>
      <c r="J137" s="494"/>
      <c r="K137" s="1415"/>
      <c r="L137" s="131"/>
      <c r="M137" s="263"/>
      <c r="N137" s="256"/>
      <c r="O137" s="1544"/>
      <c r="P137" s="1544"/>
    </row>
    <row r="138" spans="1:16" s="1555" customFormat="1" ht="0.75" hidden="1" customHeight="1">
      <c r="A138" s="1700"/>
      <c r="B138" s="1700"/>
      <c r="C138" s="293" t="s">
        <v>1235</v>
      </c>
      <c r="D138" s="4054"/>
      <c r="E138" s="3862"/>
      <c r="F138" s="3997"/>
      <c r="G138" s="329"/>
      <c r="H138" s="1415"/>
      <c r="I138" s="569"/>
      <c r="J138" s="494"/>
      <c r="K138" s="1415"/>
      <c r="L138" s="131"/>
      <c r="M138" s="263"/>
      <c r="N138" s="256"/>
      <c r="O138" s="1544"/>
      <c r="P138" s="1544"/>
    </row>
    <row r="139" spans="1:16" s="1555" customFormat="1" ht="18.75" hidden="1" customHeight="1">
      <c r="A139" s="1700" t="s">
        <v>279</v>
      </c>
      <c r="B139" s="1700" t="s">
        <v>280</v>
      </c>
      <c r="C139" s="293"/>
      <c r="D139" s="4054"/>
      <c r="E139" s="3862"/>
      <c r="F139" s="3997" t="str">
        <f>INDEX(PT_DIFFERENTIATION_VTAR,MATCH(A139,PT_DIFFERENTIATION_VTAR_ID,0))</f>
        <v>Тариф на горячую воду (горячее водоснабжение)</v>
      </c>
      <c r="G139" s="4025" t="str">
        <f>INDEX(PT_DIFFERENTIATION_NTAR,MATCH(B139,PT_DIFFERENTIATION_NTAR_ID,0))</f>
        <v/>
      </c>
      <c r="H139" s="1781"/>
      <c r="I139" s="1658"/>
      <c r="J139" s="1693"/>
      <c r="K139" s="1698"/>
      <c r="L139" s="1781" t="s">
        <v>335</v>
      </c>
      <c r="M139" s="263"/>
      <c r="N139" s="256"/>
      <c r="O139" s="1544"/>
      <c r="P139" s="1544"/>
    </row>
    <row r="140" spans="1:16" s="1555" customFormat="1" ht="18.75" hidden="1" customHeight="1">
      <c r="A140" s="1700"/>
      <c r="B140" s="1700"/>
      <c r="C140" s="293" t="s">
        <v>1228</v>
      </c>
      <c r="D140" s="4054"/>
      <c r="E140" s="3862"/>
      <c r="F140" s="3997"/>
      <c r="G140" s="4025"/>
      <c r="H140" s="1415"/>
      <c r="I140" s="569" t="s">
        <v>1227</v>
      </c>
      <c r="J140" s="494"/>
      <c r="K140" s="1415"/>
      <c r="L140" s="131"/>
      <c r="M140" s="263"/>
      <c r="N140" s="256"/>
      <c r="O140" s="1544"/>
      <c r="P140" s="1544"/>
    </row>
    <row r="141" spans="1:16" s="1555" customFormat="1" ht="0.75" hidden="1" customHeight="1">
      <c r="A141" s="1700"/>
      <c r="B141" s="1700"/>
      <c r="C141" s="293" t="s">
        <v>1235</v>
      </c>
      <c r="D141" s="4054"/>
      <c r="E141" s="3862"/>
      <c r="F141" s="3997"/>
      <c r="G141" s="329"/>
      <c r="H141" s="1415"/>
      <c r="I141" s="569"/>
      <c r="J141" s="494"/>
      <c r="K141" s="1415"/>
      <c r="L141" s="131"/>
      <c r="M141" s="263"/>
      <c r="N141" s="256"/>
      <c r="O141" s="1544"/>
      <c r="P141" s="1544"/>
    </row>
    <row r="142" spans="1:16" s="1555" customFormat="1" ht="18.75" hidden="1" customHeight="1">
      <c r="A142" s="1700" t="s">
        <v>284</v>
      </c>
      <c r="B142" s="1700" t="s">
        <v>285</v>
      </c>
      <c r="C142" s="293"/>
      <c r="D142" s="4054"/>
      <c r="E142" s="3862"/>
      <c r="F142" s="3997" t="str">
        <f>INDEX(PT_DIFFERENTIATION_VTAR,MATCH(A142,PT_DIFFERENTIATION_VTAR_ID,0))</f>
        <v>Тариф на транспортировку горячей воды</v>
      </c>
      <c r="G142" s="4025" t="str">
        <f>INDEX(PT_DIFFERENTIATION_NTAR,MATCH(B142,PT_DIFFERENTIATION_NTAR_ID,0))</f>
        <v/>
      </c>
      <c r="H142" s="1781"/>
      <c r="I142" s="1658"/>
      <c r="J142" s="1693"/>
      <c r="K142" s="1698"/>
      <c r="L142" s="1781" t="s">
        <v>335</v>
      </c>
      <c r="M142" s="263"/>
      <c r="N142" s="256"/>
      <c r="O142" s="1544"/>
      <c r="P142" s="1544"/>
    </row>
    <row r="143" spans="1:16" s="1555" customFormat="1" ht="18.75" hidden="1" customHeight="1">
      <c r="A143" s="1700"/>
      <c r="B143" s="1700"/>
      <c r="C143" s="293" t="s">
        <v>1228</v>
      </c>
      <c r="D143" s="4054"/>
      <c r="E143" s="3862"/>
      <c r="F143" s="3997"/>
      <c r="G143" s="4025"/>
      <c r="H143" s="1415"/>
      <c r="I143" s="569" t="s">
        <v>1227</v>
      </c>
      <c r="J143" s="494"/>
      <c r="K143" s="1415"/>
      <c r="L143" s="131"/>
      <c r="M143" s="263"/>
      <c r="N143" s="256"/>
      <c r="O143" s="1544"/>
      <c r="P143" s="1544"/>
    </row>
    <row r="144" spans="1:16" s="1555" customFormat="1" ht="0.75" hidden="1" customHeight="1">
      <c r="A144" s="1700"/>
      <c r="B144" s="1700"/>
      <c r="C144" s="293" t="s">
        <v>1235</v>
      </c>
      <c r="D144" s="4054"/>
      <c r="E144" s="3862"/>
      <c r="F144" s="3997"/>
      <c r="G144" s="329"/>
      <c r="H144" s="1415"/>
      <c r="I144" s="569"/>
      <c r="J144" s="494"/>
      <c r="K144" s="1415"/>
      <c r="L144" s="131"/>
      <c r="M144" s="263"/>
      <c r="N144" s="256"/>
      <c r="O144" s="1544"/>
      <c r="P144" s="1544"/>
    </row>
    <row r="145" spans="1:16" s="1555" customFormat="1" ht="18.75" hidden="1" customHeight="1">
      <c r="A145" s="1700" t="s">
        <v>289</v>
      </c>
      <c r="B145" s="1700" t="s">
        <v>290</v>
      </c>
      <c r="C145" s="293"/>
      <c r="D145" s="4054"/>
      <c r="E145" s="3862"/>
      <c r="F145" s="3997" t="str">
        <f>INDEX(PT_DIFFERENTIATION_VTAR,MATCH(A145,PT_DIFFERENTIATION_VTAR_ID,0))</f>
        <v>Тариф на подключение (технологическое присоединение) к централизованной системе горячего водоснабжения</v>
      </c>
      <c r="G145" s="4025" t="str">
        <f>INDEX(PT_DIFFERENTIATION_NTAR,MATCH(B145,PT_DIFFERENTIATION_NTAR_ID,0))</f>
        <v/>
      </c>
      <c r="H145" s="1781"/>
      <c r="I145" s="1658"/>
      <c r="J145" s="1693"/>
      <c r="K145" s="1698"/>
      <c r="L145" s="1781" t="s">
        <v>335</v>
      </c>
      <c r="M145" s="263"/>
      <c r="N145" s="256"/>
      <c r="O145" s="1544"/>
      <c r="P145" s="1544"/>
    </row>
    <row r="146" spans="1:16" s="1555" customFormat="1" ht="18.75" hidden="1" customHeight="1">
      <c r="A146" s="1700"/>
      <c r="B146" s="1700"/>
      <c r="C146" s="293" t="s">
        <v>1228</v>
      </c>
      <c r="D146" s="4054"/>
      <c r="E146" s="3862"/>
      <c r="F146" s="3997"/>
      <c r="G146" s="4025"/>
      <c r="H146" s="1415"/>
      <c r="I146" s="569" t="s">
        <v>1227</v>
      </c>
      <c r="J146" s="494"/>
      <c r="K146" s="1415"/>
      <c r="L146" s="131"/>
      <c r="M146" s="263"/>
      <c r="N146" s="256"/>
      <c r="O146" s="1544"/>
      <c r="P146" s="1544"/>
    </row>
    <row r="147" spans="1:16" s="1555" customFormat="1" ht="0.75" hidden="1" customHeight="1">
      <c r="A147" s="1700"/>
      <c r="B147" s="1700"/>
      <c r="C147" s="293" t="s">
        <v>1235</v>
      </c>
      <c r="D147" s="4054"/>
      <c r="E147" s="3862"/>
      <c r="F147" s="3997"/>
      <c r="G147" s="329"/>
      <c r="H147" s="1415"/>
      <c r="I147" s="569"/>
      <c r="J147" s="494"/>
      <c r="K147" s="1415"/>
      <c r="L147" s="131"/>
      <c r="M147" s="263"/>
      <c r="N147" s="256"/>
      <c r="O147" s="1544"/>
      <c r="P147" s="1544"/>
    </row>
    <row r="148" spans="1:16" s="1555" customFormat="1" ht="18.75" hidden="1" customHeight="1">
      <c r="A148" s="1700" t="s">
        <v>294</v>
      </c>
      <c r="B148" s="1700" t="s">
        <v>295</v>
      </c>
      <c r="C148" s="293"/>
      <c r="D148" s="4054"/>
      <c r="E148" s="3862"/>
      <c r="F148" s="3997" t="str">
        <f>INDEX(PT_DIFFERENTIATION_VTAR,MATCH(A148,PT_DIFFERENTIATION_VTAR_ID,0))</f>
        <v>Тариф на водоотведение</v>
      </c>
      <c r="G148" s="4025" t="str">
        <f>INDEX(PT_DIFFERENTIATION_NTAR,MATCH(B148,PT_DIFFERENTIATION_NTAR_ID,0))</f>
        <v/>
      </c>
      <c r="H148" s="1781"/>
      <c r="I148" s="1658"/>
      <c r="J148" s="1693"/>
      <c r="K148" s="1698"/>
      <c r="L148" s="1781" t="s">
        <v>335</v>
      </c>
      <c r="M148" s="263"/>
      <c r="N148" s="256"/>
      <c r="O148" s="1544"/>
      <c r="P148" s="1544"/>
    </row>
    <row r="149" spans="1:16" s="1555" customFormat="1" ht="18.75" hidden="1" customHeight="1">
      <c r="A149" s="1700"/>
      <c r="B149" s="1700"/>
      <c r="C149" s="293" t="s">
        <v>1228</v>
      </c>
      <c r="D149" s="4054"/>
      <c r="E149" s="3862"/>
      <c r="F149" s="3997"/>
      <c r="G149" s="4025"/>
      <c r="H149" s="1415"/>
      <c r="I149" s="569" t="s">
        <v>1227</v>
      </c>
      <c r="J149" s="494"/>
      <c r="K149" s="1415"/>
      <c r="L149" s="131"/>
      <c r="M149" s="263"/>
      <c r="N149" s="256"/>
      <c r="O149" s="1544"/>
      <c r="P149" s="1544"/>
    </row>
    <row r="150" spans="1:16" s="1555" customFormat="1" ht="0.75" hidden="1" customHeight="1">
      <c r="A150" s="1700"/>
      <c r="B150" s="1700"/>
      <c r="C150" s="293" t="s">
        <v>1235</v>
      </c>
      <c r="D150" s="4054"/>
      <c r="E150" s="3862"/>
      <c r="F150" s="3997"/>
      <c r="G150" s="329"/>
      <c r="H150" s="1415"/>
      <c r="I150" s="569"/>
      <c r="J150" s="494"/>
      <c r="K150" s="1415"/>
      <c r="L150" s="131"/>
      <c r="M150" s="263"/>
      <c r="N150" s="256"/>
      <c r="O150" s="1544"/>
      <c r="P150" s="1544"/>
    </row>
    <row r="151" spans="1:16" s="1555" customFormat="1" ht="18.75" hidden="1" customHeight="1">
      <c r="A151" s="1700" t="s">
        <v>299</v>
      </c>
      <c r="B151" s="1700" t="s">
        <v>300</v>
      </c>
      <c r="C151" s="293"/>
      <c r="D151" s="4054"/>
      <c r="E151" s="3862"/>
      <c r="F151" s="3997" t="str">
        <f>INDEX(PT_DIFFERENTIATION_VTAR,MATCH(A151,PT_DIFFERENTIATION_VTAR_ID,0))</f>
        <v>Тариф на транспортировку сточных вод</v>
      </c>
      <c r="G151" s="4025" t="str">
        <f>INDEX(PT_DIFFERENTIATION_NTAR,MATCH(B151,PT_DIFFERENTIATION_NTAR_ID,0))</f>
        <v/>
      </c>
      <c r="H151" s="1781"/>
      <c r="I151" s="1658"/>
      <c r="J151" s="1693"/>
      <c r="K151" s="1698"/>
      <c r="L151" s="1781" t="s">
        <v>335</v>
      </c>
      <c r="M151" s="263"/>
      <c r="N151" s="256"/>
      <c r="O151" s="1544"/>
      <c r="P151" s="1544"/>
    </row>
    <row r="152" spans="1:16" s="1555" customFormat="1" ht="18.75" hidden="1" customHeight="1">
      <c r="A152" s="1700"/>
      <c r="B152" s="1700"/>
      <c r="C152" s="293" t="s">
        <v>1228</v>
      </c>
      <c r="D152" s="4054"/>
      <c r="E152" s="3862"/>
      <c r="F152" s="3997"/>
      <c r="G152" s="4025"/>
      <c r="H152" s="1415"/>
      <c r="I152" s="569" t="s">
        <v>1227</v>
      </c>
      <c r="J152" s="494"/>
      <c r="K152" s="1415"/>
      <c r="L152" s="131"/>
      <c r="M152" s="263"/>
      <c r="N152" s="256"/>
      <c r="O152" s="1544"/>
      <c r="P152" s="1544"/>
    </row>
    <row r="153" spans="1:16" s="1555" customFormat="1" ht="0.75" hidden="1" customHeight="1">
      <c r="A153" s="1700"/>
      <c r="B153" s="1700"/>
      <c r="C153" s="293" t="s">
        <v>1235</v>
      </c>
      <c r="D153" s="4054"/>
      <c r="E153" s="3862"/>
      <c r="F153" s="3997"/>
      <c r="G153" s="329"/>
      <c r="H153" s="1415"/>
      <c r="I153" s="569"/>
      <c r="J153" s="494"/>
      <c r="K153" s="1415"/>
      <c r="L153" s="131"/>
      <c r="M153" s="263"/>
      <c r="N153" s="256"/>
      <c r="O153" s="1544"/>
      <c r="P153" s="1544"/>
    </row>
    <row r="154" spans="1:16" s="1555" customFormat="1" ht="18.75" hidden="1" customHeight="1">
      <c r="A154" s="1700" t="s">
        <v>304</v>
      </c>
      <c r="B154" s="1700" t="s">
        <v>305</v>
      </c>
      <c r="C154" s="293"/>
      <c r="D154" s="4054"/>
      <c r="E154" s="3862"/>
      <c r="F154" s="3997" t="str">
        <f>INDEX(PT_DIFFERENTIATION_VTAR,MATCH(A154,PT_DIFFERENTIATION_VTAR_ID,0))</f>
        <v>Тариф на подключение (технологическое присоединение) к централизованной системе водоотведения</v>
      </c>
      <c r="G154" s="4025" t="str">
        <f>INDEX(PT_DIFFERENTIATION_NTAR,MATCH(B154,PT_DIFFERENTIATION_NTAR_ID,0))</f>
        <v/>
      </c>
      <c r="H154" s="1781"/>
      <c r="I154" s="1658"/>
      <c r="J154" s="1693"/>
      <c r="K154" s="1698"/>
      <c r="L154" s="1781" t="s">
        <v>335</v>
      </c>
      <c r="M154" s="263"/>
      <c r="N154" s="256"/>
      <c r="O154" s="1544"/>
      <c r="P154" s="1544"/>
    </row>
    <row r="155" spans="1:16" s="1555" customFormat="1" ht="18.75" hidden="1" customHeight="1">
      <c r="A155" s="1700"/>
      <c r="B155" s="1700"/>
      <c r="C155" s="293" t="s">
        <v>1228</v>
      </c>
      <c r="D155" s="4054"/>
      <c r="E155" s="3862"/>
      <c r="F155" s="3997"/>
      <c r="G155" s="4025"/>
      <c r="H155" s="1415"/>
      <c r="I155" s="569" t="s">
        <v>1227</v>
      </c>
      <c r="J155" s="494"/>
      <c r="K155" s="1415"/>
      <c r="L155" s="131"/>
      <c r="M155" s="263"/>
      <c r="N155" s="256"/>
      <c r="O155" s="1544"/>
      <c r="P155" s="1544"/>
    </row>
    <row r="156" spans="1:16" s="1555" customFormat="1" ht="0.75" customHeight="1">
      <c r="A156" s="1700"/>
      <c r="B156" s="1700"/>
      <c r="C156" s="293" t="s">
        <v>1235</v>
      </c>
      <c r="D156" s="4054"/>
      <c r="E156" s="3862"/>
      <c r="F156" s="3997"/>
      <c r="G156" s="329"/>
      <c r="H156" s="1415"/>
      <c r="I156" s="569"/>
      <c r="J156" s="494"/>
      <c r="K156" s="1415"/>
      <c r="L156" s="131"/>
      <c r="M156" s="263"/>
      <c r="N156" s="256"/>
      <c r="O156" s="1544"/>
      <c r="P156" s="1544"/>
    </row>
    <row r="157" spans="1:16" ht="18.75" customHeight="1">
      <c r="A157" s="1700"/>
      <c r="B157" s="1700"/>
      <c r="D157" s="300"/>
      <c r="E157" s="67" t="s">
        <v>89</v>
      </c>
      <c r="F157" s="40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7" s="4053"/>
      <c r="H157" s="4053"/>
      <c r="I157" s="4053"/>
      <c r="J157" s="4053"/>
      <c r="K157" s="4053"/>
      <c r="L157" s="4053"/>
      <c r="M157" s="211"/>
      <c r="N157" s="256"/>
    </row>
    <row r="158" spans="1:16" s="1555" customFormat="1" ht="60.75" hidden="1" customHeight="1">
      <c r="A158" s="1700" t="s">
        <v>173</v>
      </c>
      <c r="B158" s="1700" t="s">
        <v>174</v>
      </c>
      <c r="C158" s="293"/>
      <c r="D158" s="4054"/>
      <c r="E158" s="3862"/>
      <c r="F158" s="3997"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4025" t="str">
        <f>INDEX(PT_DIFFERENTIATION_NTAR,MATCH(B158,PT_DIFFERENTIATION_NTAR_ID,0))</f>
        <v/>
      </c>
      <c r="H158" s="1781"/>
      <c r="I158" s="1658"/>
      <c r="J158" s="1693"/>
      <c r="K158" s="1698"/>
      <c r="L158" s="1781" t="s">
        <v>335</v>
      </c>
      <c r="M158" s="3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8" s="256"/>
      <c r="O158" s="1544"/>
      <c r="P158" s="1544"/>
    </row>
    <row r="159" spans="1:16" s="1555" customFormat="1" ht="18.75" hidden="1" customHeight="1">
      <c r="A159" s="1700"/>
      <c r="B159" s="1700"/>
      <c r="C159" s="293" t="s">
        <v>1228</v>
      </c>
      <c r="D159" s="4054"/>
      <c r="E159" s="3862"/>
      <c r="F159" s="3997"/>
      <c r="G159" s="4025"/>
      <c r="H159" s="1415"/>
      <c r="I159" s="569" t="s">
        <v>1227</v>
      </c>
      <c r="J159" s="494"/>
      <c r="K159" s="1415"/>
      <c r="L159" s="131"/>
      <c r="M159" s="3824"/>
      <c r="N159" s="256"/>
      <c r="O159" s="1544"/>
      <c r="P159" s="1544"/>
    </row>
    <row r="160" spans="1:16" s="1555" customFormat="1" ht="0.75" hidden="1" customHeight="1">
      <c r="A160" s="1700"/>
      <c r="B160" s="1700"/>
      <c r="C160" s="293" t="s">
        <v>1235</v>
      </c>
      <c r="D160" s="4054"/>
      <c r="E160" s="3862"/>
      <c r="F160" s="3997"/>
      <c r="G160" s="329"/>
      <c r="H160" s="1415"/>
      <c r="I160" s="569"/>
      <c r="J160" s="494"/>
      <c r="K160" s="1415"/>
      <c r="L160" s="131"/>
      <c r="M160" s="3824"/>
      <c r="N160" s="256"/>
      <c r="O160" s="1544"/>
      <c r="P160" s="1544"/>
    </row>
    <row r="161" spans="1:16" s="1555" customFormat="1" ht="45" hidden="1" customHeight="1">
      <c r="A161" s="1700" t="s">
        <v>179</v>
      </c>
      <c r="B161" s="1700" t="s">
        <v>180</v>
      </c>
      <c r="C161" s="293"/>
      <c r="D161" s="4054"/>
      <c r="E161" s="3862"/>
      <c r="F161" s="3997"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4025" t="str">
        <f>INDEX(PT_DIFFERENTIATION_NTAR,MATCH(B161,PT_DIFFERENTIATION_NTAR_ID,0))</f>
        <v/>
      </c>
      <c r="H161" s="1781"/>
      <c r="I161" s="1658"/>
      <c r="J161" s="1693"/>
      <c r="K161" s="1698"/>
      <c r="L161" s="1781" t="s">
        <v>335</v>
      </c>
      <c r="M161" s="3825"/>
      <c r="N161" s="256"/>
      <c r="O161" s="1544"/>
      <c r="P161" s="1544"/>
    </row>
    <row r="162" spans="1:16" s="1555" customFormat="1" ht="18.75" hidden="1" customHeight="1">
      <c r="A162" s="1700"/>
      <c r="B162" s="1700"/>
      <c r="C162" s="293" t="s">
        <v>1228</v>
      </c>
      <c r="D162" s="4054"/>
      <c r="E162" s="3862"/>
      <c r="F162" s="3997"/>
      <c r="G162" s="4025"/>
      <c r="H162" s="1415"/>
      <c r="I162" s="569" t="s">
        <v>1227</v>
      </c>
      <c r="J162" s="494"/>
      <c r="K162" s="1415"/>
      <c r="L162" s="131"/>
      <c r="M162" s="1780"/>
      <c r="N162" s="256"/>
      <c r="O162" s="1544"/>
      <c r="P162" s="1544"/>
    </row>
    <row r="163" spans="1:16" s="1555" customFormat="1" ht="0.75" hidden="1" customHeight="1">
      <c r="A163" s="1700"/>
      <c r="B163" s="1700"/>
      <c r="C163" s="293" t="s">
        <v>1235</v>
      </c>
      <c r="D163" s="4054"/>
      <c r="E163" s="3862"/>
      <c r="F163" s="3997"/>
      <c r="G163" s="329"/>
      <c r="H163" s="1415"/>
      <c r="I163" s="569"/>
      <c r="J163" s="494"/>
      <c r="K163" s="1415"/>
      <c r="L163" s="131"/>
      <c r="M163" s="263"/>
      <c r="N163" s="256"/>
      <c r="O163" s="1544"/>
      <c r="P163" s="1544"/>
    </row>
    <row r="164" spans="1:16" s="1555" customFormat="1" ht="45" hidden="1" customHeight="1">
      <c r="A164" s="1700" t="s">
        <v>185</v>
      </c>
      <c r="B164" s="1700" t="s">
        <v>186</v>
      </c>
      <c r="C164" s="293"/>
      <c r="D164" s="4054"/>
      <c r="E164" s="3862"/>
      <c r="F164" s="3997"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4025" t="str">
        <f>INDEX(PT_DIFFERENTIATION_NTAR,MATCH(B164,PT_DIFFERENTIATION_NTAR_ID,0))</f>
        <v/>
      </c>
      <c r="H164" s="1781"/>
      <c r="I164" s="1658"/>
      <c r="J164" s="1693"/>
      <c r="K164" s="1698"/>
      <c r="L164" s="1781" t="s">
        <v>335</v>
      </c>
      <c r="M164" s="263"/>
      <c r="N164" s="256"/>
      <c r="O164" s="1544"/>
      <c r="P164" s="1544"/>
    </row>
    <row r="165" spans="1:16" s="1555" customFormat="1" ht="18.75" hidden="1" customHeight="1">
      <c r="A165" s="1700"/>
      <c r="B165" s="1700"/>
      <c r="C165" s="293" t="s">
        <v>1228</v>
      </c>
      <c r="D165" s="4054"/>
      <c r="E165" s="3862"/>
      <c r="F165" s="3997"/>
      <c r="G165" s="4025"/>
      <c r="H165" s="1415"/>
      <c r="I165" s="569" t="s">
        <v>1227</v>
      </c>
      <c r="J165" s="494"/>
      <c r="K165" s="1415"/>
      <c r="L165" s="131"/>
      <c r="M165" s="263"/>
      <c r="N165" s="256"/>
      <c r="O165" s="1544"/>
      <c r="P165" s="1544"/>
    </row>
    <row r="166" spans="1:16" s="1555" customFormat="1" ht="0.75" hidden="1" customHeight="1">
      <c r="A166" s="1700"/>
      <c r="B166" s="1700"/>
      <c r="C166" s="293" t="s">
        <v>1235</v>
      </c>
      <c r="D166" s="4054"/>
      <c r="E166" s="3862"/>
      <c r="F166" s="3997"/>
      <c r="G166" s="329"/>
      <c r="H166" s="1415"/>
      <c r="I166" s="569"/>
      <c r="J166" s="494"/>
      <c r="K166" s="1415"/>
      <c r="L166" s="131"/>
      <c r="M166" s="263"/>
      <c r="N166" s="256"/>
      <c r="O166" s="1544"/>
      <c r="P166" s="1544"/>
    </row>
    <row r="167" spans="1:16" s="1555" customFormat="1" ht="45" hidden="1" customHeight="1">
      <c r="A167" s="1700" t="s">
        <v>191</v>
      </c>
      <c r="B167" s="1700" t="s">
        <v>192</v>
      </c>
      <c r="C167" s="293"/>
      <c r="D167" s="4054"/>
      <c r="E167" s="3862"/>
      <c r="F167" s="3997"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4025" t="str">
        <f>INDEX(PT_DIFFERENTIATION_NTAR,MATCH(B167,PT_DIFFERENTIATION_NTAR_ID,0))</f>
        <v/>
      </c>
      <c r="H167" s="1781"/>
      <c r="I167" s="1658"/>
      <c r="J167" s="1693"/>
      <c r="K167" s="1698"/>
      <c r="L167" s="1781" t="s">
        <v>335</v>
      </c>
      <c r="M167" s="263"/>
      <c r="N167" s="256"/>
      <c r="O167" s="1544"/>
      <c r="P167" s="1544"/>
    </row>
    <row r="168" spans="1:16" s="1555" customFormat="1" ht="18.75" hidden="1" customHeight="1">
      <c r="A168" s="1700"/>
      <c r="B168" s="1700"/>
      <c r="C168" s="293" t="s">
        <v>1228</v>
      </c>
      <c r="D168" s="4054"/>
      <c r="E168" s="3862"/>
      <c r="F168" s="3997"/>
      <c r="G168" s="4025"/>
      <c r="H168" s="1415"/>
      <c r="I168" s="569" t="s">
        <v>1227</v>
      </c>
      <c r="J168" s="494"/>
      <c r="K168" s="1415"/>
      <c r="L168" s="131"/>
      <c r="M168" s="263"/>
      <c r="N168" s="256"/>
      <c r="O168" s="1544"/>
      <c r="P168" s="1544"/>
    </row>
    <row r="169" spans="1:16" s="1555" customFormat="1" ht="0.75" hidden="1" customHeight="1">
      <c r="A169" s="1700"/>
      <c r="B169" s="1700"/>
      <c r="C169" s="293" t="s">
        <v>1235</v>
      </c>
      <c r="D169" s="4054"/>
      <c r="E169" s="3862"/>
      <c r="F169" s="3997"/>
      <c r="G169" s="329"/>
      <c r="H169" s="1415"/>
      <c r="I169" s="569"/>
      <c r="J169" s="494"/>
      <c r="K169" s="1415"/>
      <c r="L169" s="131"/>
      <c r="M169" s="263"/>
      <c r="N169" s="256"/>
      <c r="O169" s="1544"/>
      <c r="P169" s="1544"/>
    </row>
    <row r="170" spans="1:16" s="1555" customFormat="1" ht="18.75" hidden="1" customHeight="1">
      <c r="A170" s="1700" t="s">
        <v>197</v>
      </c>
      <c r="B170" s="1700" t="s">
        <v>198</v>
      </c>
      <c r="C170" s="293"/>
      <c r="D170" s="4054"/>
      <c r="E170" s="3862"/>
      <c r="F170" s="3997" t="str">
        <f>INDEX(PT_DIFFERENTIATION_VTAR,MATCH(A170,PT_DIFFERENTIATION_VTAR_ID,0))</f>
        <v>Тарифы на услуги по передаче тепловой энергии</v>
      </c>
      <c r="G170" s="4025" t="str">
        <f>INDEX(PT_DIFFERENTIATION_NTAR,MATCH(B170,PT_DIFFERENTIATION_NTAR_ID,0))</f>
        <v/>
      </c>
      <c r="H170" s="1781"/>
      <c r="I170" s="1658"/>
      <c r="J170" s="1693"/>
      <c r="K170" s="1698"/>
      <c r="L170" s="1781" t="s">
        <v>335</v>
      </c>
      <c r="M170" s="263"/>
      <c r="N170" s="256"/>
      <c r="O170" s="1544"/>
      <c r="P170" s="1544"/>
    </row>
    <row r="171" spans="1:16" s="1555" customFormat="1" ht="18.75" hidden="1" customHeight="1">
      <c r="A171" s="1700"/>
      <c r="B171" s="1700"/>
      <c r="C171" s="293" t="s">
        <v>1228</v>
      </c>
      <c r="D171" s="4054"/>
      <c r="E171" s="3862"/>
      <c r="F171" s="3997"/>
      <c r="G171" s="4025"/>
      <c r="H171" s="1415"/>
      <c r="I171" s="569" t="s">
        <v>1227</v>
      </c>
      <c r="J171" s="494"/>
      <c r="K171" s="1415"/>
      <c r="L171" s="131"/>
      <c r="M171" s="263"/>
      <c r="N171" s="256"/>
      <c r="O171" s="1544"/>
      <c r="P171" s="1544"/>
    </row>
    <row r="172" spans="1:16" s="1555" customFormat="1" ht="0.75" hidden="1" customHeight="1">
      <c r="A172" s="1700"/>
      <c r="B172" s="1700"/>
      <c r="C172" s="293" t="s">
        <v>1235</v>
      </c>
      <c r="D172" s="4054"/>
      <c r="E172" s="3862"/>
      <c r="F172" s="3997"/>
      <c r="G172" s="329"/>
      <c r="H172" s="1415"/>
      <c r="I172" s="569"/>
      <c r="J172" s="494"/>
      <c r="K172" s="1415"/>
      <c r="L172" s="131"/>
      <c r="M172" s="263"/>
      <c r="N172" s="256"/>
      <c r="O172" s="1544"/>
      <c r="P172" s="1544"/>
    </row>
    <row r="173" spans="1:16" s="1555" customFormat="1" ht="18.75" hidden="1" customHeight="1">
      <c r="A173" s="1700" t="s">
        <v>203</v>
      </c>
      <c r="B173" s="1700" t="s">
        <v>204</v>
      </c>
      <c r="C173" s="293"/>
      <c r="D173" s="4054"/>
      <c r="E173" s="3862"/>
      <c r="F173" s="3997" t="str">
        <f>INDEX(PT_DIFFERENTIATION_VTAR,MATCH(A173,PT_DIFFERENTIATION_VTAR_ID,0))</f>
        <v>Тарифы на услуги по передаче теплоносителя</v>
      </c>
      <c r="G173" s="4025" t="str">
        <f>INDEX(PT_DIFFERENTIATION_NTAR,MATCH(B173,PT_DIFFERENTIATION_NTAR_ID,0))</f>
        <v/>
      </c>
      <c r="H173" s="1781"/>
      <c r="I173" s="1658"/>
      <c r="J173" s="1693"/>
      <c r="K173" s="1698"/>
      <c r="L173" s="1781" t="s">
        <v>335</v>
      </c>
      <c r="M173" s="263"/>
      <c r="N173" s="256"/>
      <c r="O173" s="1544"/>
      <c r="P173" s="1544"/>
    </row>
    <row r="174" spans="1:16" s="1555" customFormat="1" ht="18.75" hidden="1" customHeight="1">
      <c r="A174" s="1700"/>
      <c r="B174" s="1700"/>
      <c r="C174" s="293" t="s">
        <v>1228</v>
      </c>
      <c r="D174" s="4054"/>
      <c r="E174" s="3862"/>
      <c r="F174" s="3997"/>
      <c r="G174" s="4025"/>
      <c r="H174" s="1415"/>
      <c r="I174" s="569" t="s">
        <v>1227</v>
      </c>
      <c r="J174" s="494"/>
      <c r="K174" s="1415"/>
      <c r="L174" s="131"/>
      <c r="M174" s="263"/>
      <c r="N174" s="256"/>
      <c r="O174" s="1544"/>
      <c r="P174" s="1544"/>
    </row>
    <row r="175" spans="1:16" s="1555" customFormat="1" ht="0.75" hidden="1" customHeight="1">
      <c r="A175" s="1700"/>
      <c r="B175" s="1700"/>
      <c r="C175" s="293" t="s">
        <v>1235</v>
      </c>
      <c r="D175" s="4054"/>
      <c r="E175" s="3862"/>
      <c r="F175" s="3997"/>
      <c r="G175" s="329"/>
      <c r="H175" s="1415"/>
      <c r="I175" s="569"/>
      <c r="J175" s="494"/>
      <c r="K175" s="1415"/>
      <c r="L175" s="131"/>
      <c r="M175" s="263"/>
      <c r="N175" s="256"/>
      <c r="O175" s="1544"/>
      <c r="P175" s="1544"/>
    </row>
    <row r="176" spans="1:16" s="1555" customFormat="1" ht="18.75" hidden="1" customHeight="1">
      <c r="A176" s="1700" t="s">
        <v>209</v>
      </c>
      <c r="B176" s="1700" t="s">
        <v>210</v>
      </c>
      <c r="C176" s="293"/>
      <c r="D176" s="4054"/>
      <c r="E176" s="3862"/>
      <c r="F176" s="3997" t="str">
        <f>INDEX(PT_DIFFERENTIATION_VTAR,MATCH(A176,PT_DIFFERENTIATION_VTAR_ID,0))</f>
        <v>Плата за услуги по поддержанию резервной тепловой мощности при отсутствии потребления тепловой энергии</v>
      </c>
      <c r="G176" s="4025" t="str">
        <f>INDEX(PT_DIFFERENTIATION_NTAR,MATCH(B176,PT_DIFFERENTIATION_NTAR_ID,0))</f>
        <v/>
      </c>
      <c r="H176" s="1781"/>
      <c r="I176" s="1658"/>
      <c r="J176" s="1693"/>
      <c r="K176" s="1698"/>
      <c r="L176" s="1781" t="s">
        <v>335</v>
      </c>
      <c r="M176" s="263"/>
      <c r="N176" s="256"/>
      <c r="O176" s="1544"/>
      <c r="P176" s="1544"/>
    </row>
    <row r="177" spans="1:16" s="1555" customFormat="1" ht="18.75" hidden="1" customHeight="1">
      <c r="A177" s="1700"/>
      <c r="B177" s="1700"/>
      <c r="C177" s="293" t="s">
        <v>1228</v>
      </c>
      <c r="D177" s="4054"/>
      <c r="E177" s="3862"/>
      <c r="F177" s="3997"/>
      <c r="G177" s="4025"/>
      <c r="H177" s="1415"/>
      <c r="I177" s="569" t="s">
        <v>1227</v>
      </c>
      <c r="J177" s="494"/>
      <c r="K177" s="1415"/>
      <c r="L177" s="131"/>
      <c r="M177" s="263"/>
      <c r="N177" s="256"/>
      <c r="O177" s="1544"/>
      <c r="P177" s="1544"/>
    </row>
    <row r="178" spans="1:16" s="1555" customFormat="1" ht="0.75" hidden="1" customHeight="1">
      <c r="A178" s="1700"/>
      <c r="B178" s="1700"/>
      <c r="C178" s="293" t="s">
        <v>1235</v>
      </c>
      <c r="D178" s="4054"/>
      <c r="E178" s="3862"/>
      <c r="F178" s="3997"/>
      <c r="G178" s="329"/>
      <c r="H178" s="1415"/>
      <c r="I178" s="569"/>
      <c r="J178" s="494"/>
      <c r="K178" s="1415"/>
      <c r="L178" s="131"/>
      <c r="M178" s="263"/>
      <c r="N178" s="256"/>
      <c r="O178" s="1544"/>
      <c r="P178" s="1544"/>
    </row>
    <row r="179" spans="1:16" s="1555" customFormat="1" ht="18.75" hidden="1" customHeight="1">
      <c r="A179" s="1700" t="s">
        <v>215</v>
      </c>
      <c r="B179" s="1700" t="s">
        <v>216</v>
      </c>
      <c r="C179" s="293"/>
      <c r="D179" s="4054"/>
      <c r="E179" s="3862"/>
      <c r="F179" s="3997" t="str">
        <f>INDEX(PT_DIFFERENTIATION_VTAR,MATCH(A179,PT_DIFFERENTIATION_VTAR_ID,0))</f>
        <v>Плата за подключение (технологическое присоединение) к системе теплоснабжения</v>
      </c>
      <c r="G179" s="4025" t="str">
        <f>INDEX(PT_DIFFERENTIATION_NTAR,MATCH(B179,PT_DIFFERENTIATION_NTAR_ID,0))</f>
        <v/>
      </c>
      <c r="H179" s="1781"/>
      <c r="I179" s="1658"/>
      <c r="J179" s="1693"/>
      <c r="K179" s="1698"/>
      <c r="L179" s="1781" t="s">
        <v>335</v>
      </c>
      <c r="M179" s="263"/>
      <c r="N179" s="256"/>
      <c r="O179" s="1544"/>
      <c r="P179" s="1544"/>
    </row>
    <row r="180" spans="1:16" s="1555" customFormat="1" ht="18.75" hidden="1" customHeight="1">
      <c r="A180" s="1700"/>
      <c r="B180" s="1700"/>
      <c r="C180" s="293" t="s">
        <v>1228</v>
      </c>
      <c r="D180" s="4054"/>
      <c r="E180" s="3862"/>
      <c r="F180" s="3997"/>
      <c r="G180" s="4025"/>
      <c r="H180" s="1415"/>
      <c r="I180" s="569" t="s">
        <v>1227</v>
      </c>
      <c r="J180" s="494"/>
      <c r="K180" s="1415"/>
      <c r="L180" s="131"/>
      <c r="M180" s="263"/>
      <c r="N180" s="256"/>
      <c r="O180" s="1544"/>
      <c r="P180" s="1544"/>
    </row>
    <row r="181" spans="1:16" s="1555" customFormat="1" ht="0.75" hidden="1" customHeight="1">
      <c r="A181" s="1700"/>
      <c r="B181" s="1700"/>
      <c r="C181" s="293" t="s">
        <v>1235</v>
      </c>
      <c r="D181" s="4054"/>
      <c r="E181" s="3862"/>
      <c r="F181" s="3997"/>
      <c r="G181" s="329"/>
      <c r="H181" s="1415"/>
      <c r="I181" s="569"/>
      <c r="J181" s="494"/>
      <c r="K181" s="1415"/>
      <c r="L181" s="131"/>
      <c r="M181" s="263"/>
      <c r="N181" s="256"/>
      <c r="O181" s="1544"/>
      <c r="P181" s="1544"/>
    </row>
    <row r="182" spans="1:16" s="1555" customFormat="1" ht="18.75" hidden="1" customHeight="1">
      <c r="A182" s="1700" t="s">
        <v>229</v>
      </c>
      <c r="B182" s="1700" t="s">
        <v>230</v>
      </c>
      <c r="C182" s="293"/>
      <c r="D182" s="4054"/>
      <c r="E182" s="3862"/>
      <c r="F182" s="3997" t="str">
        <f>INDEX(PT_DIFFERENTIATION_VTAR,MATCH(A182,PT_DIFFERENTIATION_VTAR_ID,0))</f>
        <v>Тариф на питьевую воду (питьевое водоснабжение)</v>
      </c>
      <c r="G182" s="4025" t="str">
        <f>INDEX(PT_DIFFERENTIATION_NTAR,MATCH(B182,PT_DIFFERENTIATION_NTAR_ID,0))</f>
        <v/>
      </c>
      <c r="H182" s="1781"/>
      <c r="I182" s="1658"/>
      <c r="J182" s="1693"/>
      <c r="K182" s="1698"/>
      <c r="L182" s="1781" t="s">
        <v>335</v>
      </c>
      <c r="M182" s="263"/>
      <c r="N182" s="256"/>
      <c r="O182" s="1544"/>
      <c r="P182" s="1544"/>
    </row>
    <row r="183" spans="1:16" s="1555" customFormat="1" ht="18.75" hidden="1" customHeight="1">
      <c r="A183" s="1700"/>
      <c r="B183" s="1700"/>
      <c r="C183" s="293" t="s">
        <v>1228</v>
      </c>
      <c r="D183" s="4054"/>
      <c r="E183" s="3862"/>
      <c r="F183" s="3997"/>
      <c r="G183" s="4025"/>
      <c r="H183" s="1415"/>
      <c r="I183" s="569" t="s">
        <v>1227</v>
      </c>
      <c r="J183" s="494"/>
      <c r="K183" s="1415"/>
      <c r="L183" s="131"/>
      <c r="M183" s="263"/>
      <c r="N183" s="256"/>
      <c r="O183" s="1544"/>
      <c r="P183" s="1544"/>
    </row>
    <row r="184" spans="1:16" s="1555" customFormat="1" ht="0.75" hidden="1" customHeight="1">
      <c r="A184" s="1700"/>
      <c r="B184" s="1700"/>
      <c r="C184" s="293" t="s">
        <v>1235</v>
      </c>
      <c r="D184" s="4054"/>
      <c r="E184" s="3862"/>
      <c r="F184" s="3997"/>
      <c r="G184" s="329"/>
      <c r="H184" s="1415"/>
      <c r="I184" s="569"/>
      <c r="J184" s="494"/>
      <c r="K184" s="1415"/>
      <c r="L184" s="131"/>
      <c r="M184" s="263"/>
      <c r="N184" s="256"/>
      <c r="O184" s="1544"/>
      <c r="P184" s="1544"/>
    </row>
    <row r="185" spans="1:16" s="1555" customFormat="1" ht="18.75" hidden="1" customHeight="1">
      <c r="A185" s="1700" t="s">
        <v>236</v>
      </c>
      <c r="B185" s="1700" t="s">
        <v>237</v>
      </c>
      <c r="C185" s="293"/>
      <c r="D185" s="4054"/>
      <c r="E185" s="3862"/>
      <c r="F185" s="3997" t="str">
        <f>INDEX(PT_DIFFERENTIATION_VTAR,MATCH(A185,PT_DIFFERENTIATION_VTAR_ID,0))</f>
        <v>Тариф на техническую воду</v>
      </c>
      <c r="G185" s="4025" t="str">
        <f>INDEX(PT_DIFFERENTIATION_NTAR,MATCH(B185,PT_DIFFERENTIATION_NTAR_ID,0))</f>
        <v>Тариф на техническую воду для потребителей, присоединенных к централизованной системе технического водоснабжения города Буденновска Буденновского муниципального округа</v>
      </c>
      <c r="H185" s="1781"/>
      <c r="I185" s="1658"/>
      <c r="J185" s="1693"/>
      <c r="K185" s="1698"/>
      <c r="L185" s="1781" t="s">
        <v>335</v>
      </c>
      <c r="M185" s="263"/>
      <c r="N185" s="256"/>
      <c r="O185" s="1544"/>
      <c r="P185" s="1544"/>
    </row>
    <row r="186" spans="1:16" s="1555" customFormat="1" ht="18.75" hidden="1" customHeight="1">
      <c r="A186" s="1700"/>
      <c r="B186" s="1700"/>
      <c r="C186" s="293" t="s">
        <v>1228</v>
      </c>
      <c r="D186" s="4054"/>
      <c r="E186" s="3862"/>
      <c r="F186" s="3997"/>
      <c r="G186" s="4025"/>
      <c r="H186" s="1415"/>
      <c r="I186" s="569" t="s">
        <v>1227</v>
      </c>
      <c r="J186" s="494"/>
      <c r="K186" s="1415"/>
      <c r="L186" s="131"/>
      <c r="M186" s="263"/>
      <c r="N186" s="256"/>
      <c r="O186" s="1544"/>
      <c r="P186" s="1544"/>
    </row>
    <row r="187" spans="1:16" s="1555" customFormat="1" ht="18.75" customHeight="1">
      <c r="A187" s="1742" t="s">
        <v>236</v>
      </c>
      <c r="B187" s="1742" t="s">
        <v>243</v>
      </c>
      <c r="C187" s="1607"/>
      <c r="D187" s="4055"/>
      <c r="E187" s="4056"/>
      <c r="F187" s="4056"/>
      <c r="G187" s="4025" t="str">
        <f>INDEX(PT_DIFFERENTIATION_NTAR,MATCH(B187,PT_DIFFERENTIATION_NTAR_ID,0))</f>
        <v>Тариф на техническую воду для потребителей, присоединенных к централизованной системе технического водоснабжения Изобильненского муниципального округа</v>
      </c>
      <c r="H187" s="1811"/>
      <c r="I187" s="1658"/>
      <c r="J187" s="1693"/>
      <c r="K187" s="1698"/>
      <c r="L187" s="1811" t="s">
        <v>335</v>
      </c>
      <c r="M187" s="1794"/>
      <c r="N187" s="537"/>
      <c r="O187" s="1544"/>
      <c r="P187" s="1544"/>
    </row>
    <row r="188" spans="1:16" s="1555" customFormat="1" ht="18.75" customHeight="1">
      <c r="A188" s="1742"/>
      <c r="B188" s="1742"/>
      <c r="C188" s="1607" t="s">
        <v>1228</v>
      </c>
      <c r="D188" s="4055"/>
      <c r="E188" s="4056"/>
      <c r="F188" s="4056"/>
      <c r="G188" s="4025"/>
      <c r="H188" s="3669"/>
      <c r="I188" s="3670" t="s">
        <v>1227</v>
      </c>
      <c r="J188" s="3671"/>
      <c r="K188" s="3672"/>
      <c r="L188" s="3673"/>
      <c r="M188" s="1794"/>
      <c r="N188" s="537"/>
      <c r="O188" s="1544"/>
      <c r="P188" s="1544"/>
    </row>
    <row r="189" spans="1:16" s="1555" customFormat="1" ht="18.75" customHeight="1">
      <c r="A189" s="1742" t="s">
        <v>236</v>
      </c>
      <c r="B189" s="1742" t="s">
        <v>248</v>
      </c>
      <c r="C189" s="1607"/>
      <c r="D189" s="4055"/>
      <c r="E189" s="4056"/>
      <c r="F189" s="4056"/>
      <c r="G189" s="4025" t="str">
        <f>INDEX(PT_DIFFERENTIATION_NTAR,MATCH(B189,PT_DIFFERENTIATION_NTAR_ID,0))</f>
        <v>Тариф на техническую воду для потребителей, присоединенных к централизованной системе технического водоснабжения хутора Привольного Курского муниципального округа</v>
      </c>
      <c r="H189" s="1811"/>
      <c r="I189" s="1658"/>
      <c r="J189" s="1693"/>
      <c r="K189" s="1698"/>
      <c r="L189" s="1811" t="s">
        <v>335</v>
      </c>
      <c r="M189" s="1794"/>
      <c r="N189" s="537"/>
      <c r="O189" s="1544"/>
      <c r="P189" s="1544"/>
    </row>
    <row r="190" spans="1:16" s="1555" customFormat="1" ht="18.75" customHeight="1">
      <c r="A190" s="1742"/>
      <c r="B190" s="1742"/>
      <c r="C190" s="1607" t="s">
        <v>1228</v>
      </c>
      <c r="D190" s="4055"/>
      <c r="E190" s="4056"/>
      <c r="F190" s="4056"/>
      <c r="G190" s="4025"/>
      <c r="H190" s="3674"/>
      <c r="I190" s="3675" t="s">
        <v>1227</v>
      </c>
      <c r="J190" s="3676"/>
      <c r="K190" s="3677"/>
      <c r="L190" s="3678"/>
      <c r="M190" s="1794"/>
      <c r="N190" s="537"/>
      <c r="O190" s="1544"/>
      <c r="P190" s="1544"/>
    </row>
    <row r="191" spans="1:16" s="1555" customFormat="1" ht="18.75" customHeight="1">
      <c r="A191" s="1742" t="s">
        <v>236</v>
      </c>
      <c r="B191" s="1742" t="s">
        <v>253</v>
      </c>
      <c r="C191" s="1607"/>
      <c r="D191" s="4055"/>
      <c r="E191" s="4056"/>
      <c r="F191" s="4056"/>
      <c r="G191" s="4025" t="str">
        <f>INDEX(PT_DIFFERENTIATION_NTAR,MATCH(B191,PT_DIFFERENTIATION_NTAR_ID,0))</f>
        <v>Тариф на техническую воду для потребителей, присоединенных к централизованной системе технического водоснабжения села Левокумского Левокумского муниципального округа</v>
      </c>
      <c r="H191" s="1811"/>
      <c r="I191" s="1658"/>
      <c r="J191" s="1693"/>
      <c r="K191" s="1698"/>
      <c r="L191" s="1811" t="s">
        <v>335</v>
      </c>
      <c r="M191" s="1794"/>
      <c r="N191" s="537"/>
      <c r="O191" s="1544"/>
      <c r="P191" s="1544"/>
    </row>
    <row r="192" spans="1:16" s="1555" customFormat="1" ht="18.75" customHeight="1">
      <c r="A192" s="1742"/>
      <c r="B192" s="1742"/>
      <c r="C192" s="1607" t="s">
        <v>1228</v>
      </c>
      <c r="D192" s="4055"/>
      <c r="E192" s="4056"/>
      <c r="F192" s="4056"/>
      <c r="G192" s="4025"/>
      <c r="H192" s="3679"/>
      <c r="I192" s="3680" t="s">
        <v>1227</v>
      </c>
      <c r="J192" s="3681"/>
      <c r="K192" s="3682"/>
      <c r="L192" s="3683"/>
      <c r="M192" s="1794"/>
      <c r="N192" s="537"/>
      <c r="O192" s="1544"/>
      <c r="P192" s="1544"/>
    </row>
    <row r="193" spans="1:16" s="1555" customFormat="1" ht="18.75" customHeight="1">
      <c r="A193" s="1742" t="s">
        <v>236</v>
      </c>
      <c r="B193" s="1742" t="s">
        <v>258</v>
      </c>
      <c r="C193" s="1607"/>
      <c r="D193" s="4055"/>
      <c r="E193" s="4056"/>
      <c r="F193" s="4056"/>
      <c r="G193" s="4025" t="str">
        <f>INDEX(PT_DIFFERENTIATION_NTAR,MATCH(B193,PT_DIFFERENTIATION_NTAR_ID,0))</f>
        <v>Тариф на техническую воду для потребителей, присоединенных к централизованной системе технического водоснабжения города Нефтекумска Нефтекумского муниципального округа</v>
      </c>
      <c r="H193" s="1811"/>
      <c r="I193" s="1658"/>
      <c r="J193" s="1693"/>
      <c r="K193" s="1698"/>
      <c r="L193" s="1811" t="s">
        <v>335</v>
      </c>
      <c r="M193" s="1794"/>
      <c r="N193" s="537"/>
      <c r="O193" s="1544"/>
      <c r="P193" s="1544"/>
    </row>
    <row r="194" spans="1:16" s="1555" customFormat="1" ht="18.75" customHeight="1">
      <c r="A194" s="1742"/>
      <c r="B194" s="1742"/>
      <c r="C194" s="1607" t="s">
        <v>1228</v>
      </c>
      <c r="D194" s="4055"/>
      <c r="E194" s="4056"/>
      <c r="F194" s="4056"/>
      <c r="G194" s="4025"/>
      <c r="H194" s="3684"/>
      <c r="I194" s="3685" t="s">
        <v>1227</v>
      </c>
      <c r="J194" s="3686"/>
      <c r="K194" s="3687"/>
      <c r="L194" s="3688"/>
      <c r="M194" s="1794"/>
      <c r="N194" s="537"/>
      <c r="O194" s="1544"/>
      <c r="P194" s="1544"/>
    </row>
    <row r="195" spans="1:16" s="1555" customFormat="1" ht="0.75" hidden="1" customHeight="1">
      <c r="A195" s="1700"/>
      <c r="B195" s="1700"/>
      <c r="C195" s="293" t="s">
        <v>1235</v>
      </c>
      <c r="D195" s="4054"/>
      <c r="E195" s="3862"/>
      <c r="F195" s="3997"/>
      <c r="G195" s="329"/>
      <c r="H195" s="1415"/>
      <c r="I195" s="569"/>
      <c r="J195" s="494"/>
      <c r="K195" s="1415"/>
      <c r="L195" s="131"/>
      <c r="M195" s="263"/>
      <c r="N195" s="256"/>
      <c r="O195" s="1544"/>
      <c r="P195" s="1544"/>
    </row>
    <row r="196" spans="1:16" s="1555" customFormat="1" ht="18.75" hidden="1" customHeight="1">
      <c r="A196" s="1700" t="s">
        <v>264</v>
      </c>
      <c r="B196" s="1700" t="s">
        <v>265</v>
      </c>
      <c r="C196" s="293"/>
      <c r="D196" s="4054"/>
      <c r="E196" s="3862"/>
      <c r="F196" s="3997" t="str">
        <f>INDEX(PT_DIFFERENTIATION_VTAR,MATCH(A196,PT_DIFFERENTIATION_VTAR_ID,0))</f>
        <v>Тариф на транспортировку воды</v>
      </c>
      <c r="G196" s="4025" t="str">
        <f>INDEX(PT_DIFFERENTIATION_NTAR,MATCH(B196,PT_DIFFERENTIATION_NTAR_ID,0))</f>
        <v/>
      </c>
      <c r="H196" s="1781"/>
      <c r="I196" s="1658"/>
      <c r="J196" s="1693"/>
      <c r="K196" s="1698"/>
      <c r="L196" s="1781" t="s">
        <v>335</v>
      </c>
      <c r="M196" s="263"/>
      <c r="N196" s="256"/>
      <c r="O196" s="1544"/>
      <c r="P196" s="1544"/>
    </row>
    <row r="197" spans="1:16" s="1555" customFormat="1" ht="18.75" hidden="1" customHeight="1">
      <c r="A197" s="1700"/>
      <c r="B197" s="1700"/>
      <c r="C197" s="293" t="s">
        <v>1228</v>
      </c>
      <c r="D197" s="4054"/>
      <c r="E197" s="3862"/>
      <c r="F197" s="3997"/>
      <c r="G197" s="4025"/>
      <c r="H197" s="1415"/>
      <c r="I197" s="569" t="s">
        <v>1227</v>
      </c>
      <c r="J197" s="494"/>
      <c r="K197" s="1415"/>
      <c r="L197" s="131"/>
      <c r="M197" s="263"/>
      <c r="N197" s="256"/>
      <c r="O197" s="1544"/>
      <c r="P197" s="1544"/>
    </row>
    <row r="198" spans="1:16" s="1555" customFormat="1" ht="0.75" hidden="1" customHeight="1">
      <c r="A198" s="1700"/>
      <c r="B198" s="1700"/>
      <c r="C198" s="293" t="s">
        <v>1235</v>
      </c>
      <c r="D198" s="4054"/>
      <c r="E198" s="3862"/>
      <c r="F198" s="3997"/>
      <c r="G198" s="329"/>
      <c r="H198" s="1415"/>
      <c r="I198" s="569"/>
      <c r="J198" s="494"/>
      <c r="K198" s="1415"/>
      <c r="L198" s="131"/>
      <c r="M198" s="263"/>
      <c r="N198" s="256"/>
      <c r="O198" s="1544"/>
      <c r="P198" s="1544"/>
    </row>
    <row r="199" spans="1:16" s="1555" customFormat="1" ht="18.75" hidden="1" customHeight="1">
      <c r="A199" s="1700" t="s">
        <v>269</v>
      </c>
      <c r="B199" s="1700" t="s">
        <v>270</v>
      </c>
      <c r="C199" s="293"/>
      <c r="D199" s="4054"/>
      <c r="E199" s="3862"/>
      <c r="F199" s="3997" t="str">
        <f>INDEX(PT_DIFFERENTIATION_VTAR,MATCH(A199,PT_DIFFERENTIATION_VTAR_ID,0))</f>
        <v>Тариф на подвоз воды</v>
      </c>
      <c r="G199" s="4025" t="str">
        <f>INDEX(PT_DIFFERENTIATION_NTAR,MATCH(B199,PT_DIFFERENTIATION_NTAR_ID,0))</f>
        <v/>
      </c>
      <c r="H199" s="1781"/>
      <c r="I199" s="1658"/>
      <c r="J199" s="1693"/>
      <c r="K199" s="1698"/>
      <c r="L199" s="1781" t="s">
        <v>335</v>
      </c>
      <c r="M199" s="263"/>
      <c r="N199" s="256"/>
      <c r="O199" s="1544"/>
      <c r="P199" s="1544"/>
    </row>
    <row r="200" spans="1:16" s="1555" customFormat="1" ht="18.75" hidden="1" customHeight="1">
      <c r="A200" s="1700"/>
      <c r="B200" s="1700"/>
      <c r="C200" s="293" t="s">
        <v>1228</v>
      </c>
      <c r="D200" s="4054"/>
      <c r="E200" s="3862"/>
      <c r="F200" s="3997"/>
      <c r="G200" s="4025"/>
      <c r="H200" s="1415"/>
      <c r="I200" s="569" t="s">
        <v>1227</v>
      </c>
      <c r="J200" s="494"/>
      <c r="K200" s="1415"/>
      <c r="L200" s="131"/>
      <c r="M200" s="263"/>
      <c r="N200" s="256"/>
      <c r="O200" s="1544"/>
      <c r="P200" s="1544"/>
    </row>
    <row r="201" spans="1:16" s="1555" customFormat="1" ht="0.75" hidden="1" customHeight="1">
      <c r="A201" s="1700"/>
      <c r="B201" s="1700"/>
      <c r="C201" s="293" t="s">
        <v>1235</v>
      </c>
      <c r="D201" s="4054"/>
      <c r="E201" s="3862"/>
      <c r="F201" s="3997"/>
      <c r="G201" s="329"/>
      <c r="H201" s="1415"/>
      <c r="I201" s="569"/>
      <c r="J201" s="494"/>
      <c r="K201" s="1415"/>
      <c r="L201" s="131"/>
      <c r="M201" s="263"/>
      <c r="N201" s="256"/>
      <c r="O201" s="1544"/>
      <c r="P201" s="1544"/>
    </row>
    <row r="202" spans="1:16" s="1555" customFormat="1" ht="18.75" hidden="1" customHeight="1">
      <c r="A202" s="1700" t="s">
        <v>274</v>
      </c>
      <c r="B202" s="1700" t="s">
        <v>275</v>
      </c>
      <c r="C202" s="293"/>
      <c r="D202" s="4054"/>
      <c r="E202" s="3862"/>
      <c r="F202" s="3997" t="str">
        <f>INDEX(PT_DIFFERENTIATION_VTAR,MATCH(A202,PT_DIFFERENTIATION_VTAR_ID,0))</f>
        <v>Тариф на подключение (технологическое присоединение) к централизованной системе холодного водоснабжения</v>
      </c>
      <c r="G202" s="4025" t="str">
        <f>INDEX(PT_DIFFERENTIATION_NTAR,MATCH(B202,PT_DIFFERENTIATION_NTAR_ID,0))</f>
        <v/>
      </c>
      <c r="H202" s="1781"/>
      <c r="I202" s="1658"/>
      <c r="J202" s="1693"/>
      <c r="K202" s="1698"/>
      <c r="L202" s="1781" t="s">
        <v>335</v>
      </c>
      <c r="M202" s="263"/>
      <c r="N202" s="256"/>
      <c r="O202" s="1544"/>
      <c r="P202" s="1544"/>
    </row>
    <row r="203" spans="1:16" s="1555" customFormat="1" ht="18.75" hidden="1" customHeight="1">
      <c r="A203" s="1700"/>
      <c r="B203" s="1700"/>
      <c r="C203" s="293" t="s">
        <v>1228</v>
      </c>
      <c r="D203" s="4054"/>
      <c r="E203" s="3862"/>
      <c r="F203" s="3997"/>
      <c r="G203" s="4025"/>
      <c r="H203" s="1415"/>
      <c r="I203" s="569" t="s">
        <v>1227</v>
      </c>
      <c r="J203" s="494"/>
      <c r="K203" s="1415"/>
      <c r="L203" s="131"/>
      <c r="M203" s="263"/>
      <c r="N203" s="256"/>
      <c r="O203" s="1544"/>
      <c r="P203" s="1544"/>
    </row>
    <row r="204" spans="1:16" s="1555" customFormat="1" ht="0.75" hidden="1" customHeight="1">
      <c r="A204" s="1700"/>
      <c r="B204" s="1700"/>
      <c r="C204" s="293" t="s">
        <v>1235</v>
      </c>
      <c r="D204" s="4054"/>
      <c r="E204" s="3862"/>
      <c r="F204" s="3997"/>
      <c r="G204" s="329"/>
      <c r="H204" s="1415"/>
      <c r="I204" s="569"/>
      <c r="J204" s="494"/>
      <c r="K204" s="1415"/>
      <c r="L204" s="131"/>
      <c r="M204" s="263"/>
      <c r="N204" s="256"/>
      <c r="O204" s="1544"/>
      <c r="P204" s="1544"/>
    </row>
    <row r="205" spans="1:16" s="1555" customFormat="1" ht="18.75" hidden="1" customHeight="1">
      <c r="A205" s="1700" t="s">
        <v>279</v>
      </c>
      <c r="B205" s="1700" t="s">
        <v>280</v>
      </c>
      <c r="C205" s="293"/>
      <c r="D205" s="4054"/>
      <c r="E205" s="3862"/>
      <c r="F205" s="3997" t="str">
        <f>INDEX(PT_DIFFERENTIATION_VTAR,MATCH(A205,PT_DIFFERENTIATION_VTAR_ID,0))</f>
        <v>Тариф на горячую воду (горячее водоснабжение)</v>
      </c>
      <c r="G205" s="4025" t="str">
        <f>INDEX(PT_DIFFERENTIATION_NTAR,MATCH(B205,PT_DIFFERENTIATION_NTAR_ID,0))</f>
        <v/>
      </c>
      <c r="H205" s="1781"/>
      <c r="I205" s="1658"/>
      <c r="J205" s="1693"/>
      <c r="K205" s="1698"/>
      <c r="L205" s="1781" t="s">
        <v>335</v>
      </c>
      <c r="M205" s="263"/>
      <c r="N205" s="256"/>
      <c r="O205" s="1544"/>
      <c r="P205" s="1544"/>
    </row>
    <row r="206" spans="1:16" s="1555" customFormat="1" ht="18.75" hidden="1" customHeight="1">
      <c r="A206" s="1700"/>
      <c r="B206" s="1700"/>
      <c r="C206" s="293" t="s">
        <v>1228</v>
      </c>
      <c r="D206" s="4054"/>
      <c r="E206" s="3862"/>
      <c r="F206" s="3997"/>
      <c r="G206" s="4025"/>
      <c r="H206" s="1415"/>
      <c r="I206" s="569" t="s">
        <v>1227</v>
      </c>
      <c r="J206" s="494"/>
      <c r="K206" s="1415"/>
      <c r="L206" s="131"/>
      <c r="M206" s="263"/>
      <c r="N206" s="256"/>
      <c r="O206" s="1544"/>
      <c r="P206" s="1544"/>
    </row>
    <row r="207" spans="1:16" s="1555" customFormat="1" ht="0.75" hidden="1" customHeight="1">
      <c r="A207" s="1700"/>
      <c r="B207" s="1700"/>
      <c r="C207" s="293" t="s">
        <v>1235</v>
      </c>
      <c r="D207" s="4054"/>
      <c r="E207" s="3862"/>
      <c r="F207" s="3997"/>
      <c r="G207" s="329"/>
      <c r="H207" s="1415"/>
      <c r="I207" s="569"/>
      <c r="J207" s="494"/>
      <c r="K207" s="1415"/>
      <c r="L207" s="131"/>
      <c r="M207" s="263"/>
      <c r="N207" s="256"/>
      <c r="O207" s="1544"/>
      <c r="P207" s="1544"/>
    </row>
    <row r="208" spans="1:16" s="1555" customFormat="1" ht="18.75" hidden="1" customHeight="1">
      <c r="A208" s="1700" t="s">
        <v>284</v>
      </c>
      <c r="B208" s="1700" t="s">
        <v>285</v>
      </c>
      <c r="C208" s="293"/>
      <c r="D208" s="4054"/>
      <c r="E208" s="3862"/>
      <c r="F208" s="3997" t="str">
        <f>INDEX(PT_DIFFERENTIATION_VTAR,MATCH(A208,PT_DIFFERENTIATION_VTAR_ID,0))</f>
        <v>Тариф на транспортировку горячей воды</v>
      </c>
      <c r="G208" s="4025" t="str">
        <f>INDEX(PT_DIFFERENTIATION_NTAR,MATCH(B208,PT_DIFFERENTIATION_NTAR_ID,0))</f>
        <v/>
      </c>
      <c r="H208" s="1781"/>
      <c r="I208" s="1658"/>
      <c r="J208" s="1693"/>
      <c r="K208" s="1698"/>
      <c r="L208" s="1781" t="s">
        <v>335</v>
      </c>
      <c r="M208" s="263"/>
      <c r="N208" s="256"/>
      <c r="O208" s="1544"/>
      <c r="P208" s="1544"/>
    </row>
    <row r="209" spans="1:16" s="1555" customFormat="1" ht="18.75" hidden="1" customHeight="1">
      <c r="A209" s="1700"/>
      <c r="B209" s="1700"/>
      <c r="C209" s="293" t="s">
        <v>1228</v>
      </c>
      <c r="D209" s="4054"/>
      <c r="E209" s="3862"/>
      <c r="F209" s="3997"/>
      <c r="G209" s="4025"/>
      <c r="H209" s="1415"/>
      <c r="I209" s="569" t="s">
        <v>1227</v>
      </c>
      <c r="J209" s="494"/>
      <c r="K209" s="1415"/>
      <c r="L209" s="131"/>
      <c r="M209" s="263"/>
      <c r="N209" s="256"/>
      <c r="O209" s="1544"/>
      <c r="P209" s="1544"/>
    </row>
    <row r="210" spans="1:16" s="1555" customFormat="1" ht="0.75" hidden="1" customHeight="1">
      <c r="A210" s="1700"/>
      <c r="B210" s="1700"/>
      <c r="C210" s="293" t="s">
        <v>1235</v>
      </c>
      <c r="D210" s="4054"/>
      <c r="E210" s="3862"/>
      <c r="F210" s="3997"/>
      <c r="G210" s="329"/>
      <c r="H210" s="1415"/>
      <c r="I210" s="569"/>
      <c r="J210" s="494"/>
      <c r="K210" s="1415"/>
      <c r="L210" s="131"/>
      <c r="M210" s="263"/>
      <c r="N210" s="256"/>
      <c r="O210" s="1544"/>
      <c r="P210" s="1544"/>
    </row>
    <row r="211" spans="1:16" s="1555" customFormat="1" ht="18.75" hidden="1" customHeight="1">
      <c r="A211" s="1700" t="s">
        <v>289</v>
      </c>
      <c r="B211" s="1700" t="s">
        <v>290</v>
      </c>
      <c r="C211" s="293"/>
      <c r="D211" s="4054"/>
      <c r="E211" s="3862"/>
      <c r="F211" s="3997" t="str">
        <f>INDEX(PT_DIFFERENTIATION_VTAR,MATCH(A211,PT_DIFFERENTIATION_VTAR_ID,0))</f>
        <v>Тариф на подключение (технологическое присоединение) к централизованной системе горячего водоснабжения</v>
      </c>
      <c r="G211" s="4025" t="str">
        <f>INDEX(PT_DIFFERENTIATION_NTAR,MATCH(B211,PT_DIFFERENTIATION_NTAR_ID,0))</f>
        <v/>
      </c>
      <c r="H211" s="1781"/>
      <c r="I211" s="1658"/>
      <c r="J211" s="1693"/>
      <c r="K211" s="1698"/>
      <c r="L211" s="1781" t="s">
        <v>335</v>
      </c>
      <c r="M211" s="263"/>
      <c r="N211" s="256"/>
      <c r="O211" s="1544"/>
      <c r="P211" s="1544"/>
    </row>
    <row r="212" spans="1:16" s="1555" customFormat="1" ht="18.75" hidden="1" customHeight="1">
      <c r="A212" s="1700"/>
      <c r="B212" s="1700"/>
      <c r="C212" s="293" t="s">
        <v>1228</v>
      </c>
      <c r="D212" s="4054"/>
      <c r="E212" s="3862"/>
      <c r="F212" s="3997"/>
      <c r="G212" s="4025"/>
      <c r="H212" s="1415"/>
      <c r="I212" s="569" t="s">
        <v>1227</v>
      </c>
      <c r="J212" s="494"/>
      <c r="K212" s="1415"/>
      <c r="L212" s="131"/>
      <c r="M212" s="263"/>
      <c r="N212" s="256"/>
      <c r="O212" s="1544"/>
      <c r="P212" s="1544"/>
    </row>
    <row r="213" spans="1:16" s="1555" customFormat="1" ht="0.75" hidden="1" customHeight="1">
      <c r="A213" s="1700"/>
      <c r="B213" s="1700"/>
      <c r="C213" s="293" t="s">
        <v>1235</v>
      </c>
      <c r="D213" s="4054"/>
      <c r="E213" s="3862"/>
      <c r="F213" s="3997"/>
      <c r="G213" s="329"/>
      <c r="H213" s="1415"/>
      <c r="I213" s="569"/>
      <c r="J213" s="494"/>
      <c r="K213" s="1415"/>
      <c r="L213" s="131"/>
      <c r="M213" s="263"/>
      <c r="N213" s="256"/>
      <c r="O213" s="1544"/>
      <c r="P213" s="1544"/>
    </row>
    <row r="214" spans="1:16" s="1555" customFormat="1" ht="18.75" hidden="1" customHeight="1">
      <c r="A214" s="1700" t="s">
        <v>294</v>
      </c>
      <c r="B214" s="1700" t="s">
        <v>295</v>
      </c>
      <c r="C214" s="293"/>
      <c r="D214" s="4054"/>
      <c r="E214" s="3862"/>
      <c r="F214" s="3997" t="str">
        <f>INDEX(PT_DIFFERENTIATION_VTAR,MATCH(A214,PT_DIFFERENTIATION_VTAR_ID,0))</f>
        <v>Тариф на водоотведение</v>
      </c>
      <c r="G214" s="4025" t="str">
        <f>INDEX(PT_DIFFERENTIATION_NTAR,MATCH(B214,PT_DIFFERENTIATION_NTAR_ID,0))</f>
        <v/>
      </c>
      <c r="H214" s="1781"/>
      <c r="I214" s="1658"/>
      <c r="J214" s="1693"/>
      <c r="K214" s="1698"/>
      <c r="L214" s="1781" t="s">
        <v>335</v>
      </c>
      <c r="M214" s="263"/>
      <c r="N214" s="256"/>
      <c r="O214" s="1544"/>
      <c r="P214" s="1544"/>
    </row>
    <row r="215" spans="1:16" s="1555" customFormat="1" ht="18.75" hidden="1" customHeight="1">
      <c r="A215" s="1700"/>
      <c r="B215" s="1700"/>
      <c r="C215" s="293" t="s">
        <v>1228</v>
      </c>
      <c r="D215" s="4054"/>
      <c r="E215" s="3862"/>
      <c r="F215" s="3997"/>
      <c r="G215" s="4025"/>
      <c r="H215" s="1415"/>
      <c r="I215" s="569" t="s">
        <v>1227</v>
      </c>
      <c r="J215" s="494"/>
      <c r="K215" s="1415"/>
      <c r="L215" s="131"/>
      <c r="M215" s="263"/>
      <c r="N215" s="256"/>
      <c r="O215" s="1544"/>
      <c r="P215" s="1544"/>
    </row>
    <row r="216" spans="1:16" s="1555" customFormat="1" ht="0.75" hidden="1" customHeight="1">
      <c r="A216" s="1700"/>
      <c r="B216" s="1700"/>
      <c r="C216" s="293" t="s">
        <v>1235</v>
      </c>
      <c r="D216" s="4054"/>
      <c r="E216" s="3862"/>
      <c r="F216" s="3997"/>
      <c r="G216" s="329"/>
      <c r="H216" s="1415"/>
      <c r="I216" s="569"/>
      <c r="J216" s="494"/>
      <c r="K216" s="1415"/>
      <c r="L216" s="131"/>
      <c r="M216" s="263"/>
      <c r="N216" s="256"/>
      <c r="O216" s="1544"/>
      <c r="P216" s="1544"/>
    </row>
    <row r="217" spans="1:16" s="1555" customFormat="1" ht="18.75" hidden="1" customHeight="1">
      <c r="A217" s="1700" t="s">
        <v>299</v>
      </c>
      <c r="B217" s="1700" t="s">
        <v>300</v>
      </c>
      <c r="C217" s="293"/>
      <c r="D217" s="4054"/>
      <c r="E217" s="3862"/>
      <c r="F217" s="3997" t="str">
        <f>INDEX(PT_DIFFERENTIATION_VTAR,MATCH(A217,PT_DIFFERENTIATION_VTAR_ID,0))</f>
        <v>Тариф на транспортировку сточных вод</v>
      </c>
      <c r="G217" s="4025" t="str">
        <f>INDEX(PT_DIFFERENTIATION_NTAR,MATCH(B217,PT_DIFFERENTIATION_NTAR_ID,0))</f>
        <v/>
      </c>
      <c r="H217" s="1781"/>
      <c r="I217" s="1658"/>
      <c r="J217" s="1693"/>
      <c r="K217" s="1698"/>
      <c r="L217" s="1781" t="s">
        <v>335</v>
      </c>
      <c r="M217" s="263"/>
      <c r="N217" s="256"/>
      <c r="O217" s="1544"/>
      <c r="P217" s="1544"/>
    </row>
    <row r="218" spans="1:16" s="1555" customFormat="1" ht="18.75" hidden="1" customHeight="1">
      <c r="A218" s="1700"/>
      <c r="B218" s="1700"/>
      <c r="C218" s="293" t="s">
        <v>1228</v>
      </c>
      <c r="D218" s="4054"/>
      <c r="E218" s="3862"/>
      <c r="F218" s="3997"/>
      <c r="G218" s="4025"/>
      <c r="H218" s="1415"/>
      <c r="I218" s="569" t="s">
        <v>1227</v>
      </c>
      <c r="J218" s="494"/>
      <c r="K218" s="1415"/>
      <c r="L218" s="131"/>
      <c r="M218" s="263"/>
      <c r="N218" s="256"/>
      <c r="O218" s="1544"/>
      <c r="P218" s="1544"/>
    </row>
    <row r="219" spans="1:16" s="1555" customFormat="1" ht="0.75" hidden="1" customHeight="1">
      <c r="A219" s="1700"/>
      <c r="B219" s="1700"/>
      <c r="C219" s="293" t="s">
        <v>1235</v>
      </c>
      <c r="D219" s="4054"/>
      <c r="E219" s="3862"/>
      <c r="F219" s="3997"/>
      <c r="G219" s="329"/>
      <c r="H219" s="1415"/>
      <c r="I219" s="569"/>
      <c r="J219" s="494"/>
      <c r="K219" s="1415"/>
      <c r="L219" s="131"/>
      <c r="M219" s="263"/>
      <c r="N219" s="256"/>
      <c r="O219" s="1544"/>
      <c r="P219" s="1544"/>
    </row>
    <row r="220" spans="1:16" s="1555" customFormat="1" ht="18.75" hidden="1" customHeight="1">
      <c r="A220" s="1700" t="s">
        <v>304</v>
      </c>
      <c r="B220" s="1700" t="s">
        <v>305</v>
      </c>
      <c r="C220" s="293"/>
      <c r="D220" s="4054"/>
      <c r="E220" s="3862"/>
      <c r="F220" s="3997" t="str">
        <f>INDEX(PT_DIFFERENTIATION_VTAR,MATCH(A220,PT_DIFFERENTIATION_VTAR_ID,0))</f>
        <v>Тариф на подключение (технологическое присоединение) к централизованной системе водоотведения</v>
      </c>
      <c r="G220" s="4025" t="str">
        <f>INDEX(PT_DIFFERENTIATION_NTAR,MATCH(B220,PT_DIFFERENTIATION_NTAR_ID,0))</f>
        <v/>
      </c>
      <c r="H220" s="1781"/>
      <c r="I220" s="1658"/>
      <c r="J220" s="1693"/>
      <c r="K220" s="1698"/>
      <c r="L220" s="1781" t="s">
        <v>335</v>
      </c>
      <c r="M220" s="263"/>
      <c r="N220" s="256"/>
      <c r="O220" s="1544"/>
      <c r="P220" s="1544"/>
    </row>
    <row r="221" spans="1:16" s="1555" customFormat="1" ht="18.75" hidden="1" customHeight="1">
      <c r="A221" s="1700"/>
      <c r="B221" s="1700"/>
      <c r="C221" s="293" t="s">
        <v>1228</v>
      </c>
      <c r="D221" s="4054"/>
      <c r="E221" s="3862"/>
      <c r="F221" s="3997"/>
      <c r="G221" s="4025"/>
      <c r="H221" s="1415"/>
      <c r="I221" s="569" t="s">
        <v>1227</v>
      </c>
      <c r="J221" s="494"/>
      <c r="K221" s="1415"/>
      <c r="L221" s="131"/>
      <c r="M221" s="263"/>
      <c r="N221" s="256"/>
      <c r="O221" s="1544"/>
      <c r="P221" s="1544"/>
    </row>
    <row r="222" spans="1:16" s="1555" customFormat="1" ht="0.75" customHeight="1">
      <c r="A222" s="1700"/>
      <c r="B222" s="1700"/>
      <c r="C222" s="293" t="s">
        <v>1235</v>
      </c>
      <c r="D222" s="4054"/>
      <c r="E222" s="3862"/>
      <c r="F222" s="3997"/>
      <c r="G222" s="329"/>
      <c r="H222" s="1415"/>
      <c r="I222" s="569"/>
      <c r="J222" s="494"/>
      <c r="K222" s="1415"/>
      <c r="L222" s="131"/>
      <c r="M222" s="263"/>
      <c r="N222" s="256"/>
      <c r="O222" s="1544"/>
      <c r="P222" s="1544"/>
    </row>
    <row r="223" spans="1:16" ht="26.25" customHeight="1">
      <c r="A223" s="1700"/>
      <c r="B223" s="1700"/>
      <c r="D223" s="300"/>
      <c r="E223" s="67" t="s">
        <v>117</v>
      </c>
      <c r="F223" s="40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3" s="4053"/>
      <c r="H223" s="4053"/>
      <c r="I223" s="4053"/>
      <c r="J223" s="4053"/>
      <c r="K223" s="4053"/>
      <c r="L223" s="4053"/>
      <c r="M223" s="211"/>
      <c r="N223" s="256"/>
    </row>
    <row r="224" spans="1:16" s="1555" customFormat="1" ht="60.75" hidden="1" customHeight="1">
      <c r="A224" s="1700" t="s">
        <v>173</v>
      </c>
      <c r="B224" s="1700" t="s">
        <v>174</v>
      </c>
      <c r="C224" s="293"/>
      <c r="D224" s="4054"/>
      <c r="E224" s="3862"/>
      <c r="F224" s="3997" t="str">
        <f>INDEX(PT_DIFFERENTIATION_VTAR,MATCH(A224,PT_DIFFERENTIATION_VTAR_ID,0))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4" s="4025" t="str">
        <f>INDEX(PT_DIFFERENTIATION_NTAR,MATCH(B224,PT_DIFFERENTIATION_NTAR_ID,0))</f>
        <v/>
      </c>
      <c r="H224" s="1781"/>
      <c r="I224" s="1658"/>
      <c r="J224" s="1693"/>
      <c r="K224" s="1698"/>
      <c r="L224" s="1781" t="s">
        <v>335</v>
      </c>
      <c r="M224" s="3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4" s="256"/>
      <c r="O224" s="1544"/>
      <c r="P224" s="1544"/>
    </row>
    <row r="225" spans="1:16" s="1555" customFormat="1" ht="18.75" hidden="1" customHeight="1">
      <c r="A225" s="1700"/>
      <c r="B225" s="1700"/>
      <c r="C225" s="293" t="s">
        <v>1228</v>
      </c>
      <c r="D225" s="4054"/>
      <c r="E225" s="3862"/>
      <c r="F225" s="3997"/>
      <c r="G225" s="4025"/>
      <c r="H225" s="1415"/>
      <c r="I225" s="569" t="s">
        <v>1227</v>
      </c>
      <c r="J225" s="494"/>
      <c r="K225" s="1415"/>
      <c r="L225" s="131"/>
      <c r="M225" s="3824"/>
      <c r="N225" s="256"/>
      <c r="O225" s="1544"/>
      <c r="P225" s="1544"/>
    </row>
    <row r="226" spans="1:16" s="1555" customFormat="1" ht="0.75" hidden="1" customHeight="1">
      <c r="A226" s="1700"/>
      <c r="B226" s="1700"/>
      <c r="C226" s="293" t="s">
        <v>1235</v>
      </c>
      <c r="D226" s="4054"/>
      <c r="E226" s="3862"/>
      <c r="F226" s="3997"/>
      <c r="G226" s="329"/>
      <c r="H226" s="1415"/>
      <c r="I226" s="569"/>
      <c r="J226" s="494"/>
      <c r="K226" s="1415"/>
      <c r="L226" s="131"/>
      <c r="M226" s="3824"/>
      <c r="N226" s="256"/>
      <c r="O226" s="1544"/>
      <c r="P226" s="1544"/>
    </row>
    <row r="227" spans="1:16" s="1555" customFormat="1" ht="45" hidden="1" customHeight="1">
      <c r="A227" s="1700" t="s">
        <v>179</v>
      </c>
      <c r="B227" s="1700" t="s">
        <v>180</v>
      </c>
      <c r="C227" s="293"/>
      <c r="D227" s="4054"/>
      <c r="E227" s="3862"/>
      <c r="F227" s="3997" t="str">
        <f>INDEX(PT_DIFFERENTIATION_VTAR,MATCH(A227,PT_DIFFERENTIATION_VTAR_ID,0))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7" s="4025" t="str">
        <f>INDEX(PT_DIFFERENTIATION_NTAR,MATCH(B227,PT_DIFFERENTIATION_NTAR_ID,0))</f>
        <v/>
      </c>
      <c r="H227" s="1781"/>
      <c r="I227" s="1658"/>
      <c r="J227" s="1693"/>
      <c r="K227" s="1698"/>
      <c r="L227" s="1781" t="s">
        <v>335</v>
      </c>
      <c r="M227" s="3825"/>
      <c r="N227" s="256"/>
      <c r="O227" s="1544"/>
      <c r="P227" s="1544"/>
    </row>
    <row r="228" spans="1:16" s="1555" customFormat="1" ht="18.75" hidden="1" customHeight="1">
      <c r="A228" s="1700"/>
      <c r="B228" s="1700"/>
      <c r="C228" s="293" t="s">
        <v>1228</v>
      </c>
      <c r="D228" s="4054"/>
      <c r="E228" s="3862"/>
      <c r="F228" s="3997"/>
      <c r="G228" s="4025"/>
      <c r="H228" s="1415"/>
      <c r="I228" s="569" t="s">
        <v>1227</v>
      </c>
      <c r="J228" s="494"/>
      <c r="K228" s="1415"/>
      <c r="L228" s="131"/>
      <c r="M228" s="1780"/>
      <c r="N228" s="256"/>
      <c r="O228" s="1544"/>
      <c r="P228" s="1544"/>
    </row>
    <row r="229" spans="1:16" s="1555" customFormat="1" ht="0.75" hidden="1" customHeight="1">
      <c r="A229" s="1700"/>
      <c r="B229" s="1700"/>
      <c r="C229" s="293" t="s">
        <v>1235</v>
      </c>
      <c r="D229" s="4054"/>
      <c r="E229" s="3862"/>
      <c r="F229" s="3997"/>
      <c r="G229" s="329"/>
      <c r="H229" s="1415"/>
      <c r="I229" s="569"/>
      <c r="J229" s="494"/>
      <c r="K229" s="1415"/>
      <c r="L229" s="131"/>
      <c r="M229" s="263"/>
      <c r="N229" s="256"/>
      <c r="O229" s="1544"/>
      <c r="P229" s="1544"/>
    </row>
    <row r="230" spans="1:16" s="1555" customFormat="1" ht="45" hidden="1" customHeight="1">
      <c r="A230" s="1700" t="s">
        <v>185</v>
      </c>
      <c r="B230" s="1700" t="s">
        <v>186</v>
      </c>
      <c r="C230" s="293"/>
      <c r="D230" s="4054"/>
      <c r="E230" s="3862"/>
      <c r="F230" s="3997" t="str">
        <f>INDEX(PT_DIFFERENTIATION_VTAR,MATCH(A230,PT_DIFFERENTIATION_VTAR_ID,0))</f>
        <v>Тарифы на теплоноситель, поставляемый теплоснабжающими организациями потребителям, другим теплоснабжающим организациям</v>
      </c>
      <c r="G230" s="4025" t="str">
        <f>INDEX(PT_DIFFERENTIATION_NTAR,MATCH(B230,PT_DIFFERENTIATION_NTAR_ID,0))</f>
        <v/>
      </c>
      <c r="H230" s="1781"/>
      <c r="I230" s="1658"/>
      <c r="J230" s="1693"/>
      <c r="K230" s="1698"/>
      <c r="L230" s="1781" t="s">
        <v>335</v>
      </c>
      <c r="M230" s="263"/>
      <c r="N230" s="256"/>
      <c r="O230" s="1544"/>
      <c r="P230" s="1544"/>
    </row>
    <row r="231" spans="1:16" s="1555" customFormat="1" ht="18.75" hidden="1" customHeight="1">
      <c r="A231" s="1700"/>
      <c r="B231" s="1700"/>
      <c r="C231" s="293" t="s">
        <v>1228</v>
      </c>
      <c r="D231" s="4054"/>
      <c r="E231" s="3862"/>
      <c r="F231" s="3997"/>
      <c r="G231" s="4025"/>
      <c r="H231" s="1415"/>
      <c r="I231" s="569" t="s">
        <v>1227</v>
      </c>
      <c r="J231" s="494"/>
      <c r="K231" s="1415"/>
      <c r="L231" s="131"/>
      <c r="M231" s="263"/>
      <c r="N231" s="256"/>
      <c r="O231" s="1544"/>
      <c r="P231" s="1544"/>
    </row>
    <row r="232" spans="1:16" s="1555" customFormat="1" ht="0.75" hidden="1" customHeight="1">
      <c r="A232" s="1700"/>
      <c r="B232" s="1700"/>
      <c r="C232" s="293" t="s">
        <v>1235</v>
      </c>
      <c r="D232" s="4054"/>
      <c r="E232" s="3862"/>
      <c r="F232" s="3997"/>
      <c r="G232" s="329"/>
      <c r="H232" s="1415"/>
      <c r="I232" s="569"/>
      <c r="J232" s="494"/>
      <c r="K232" s="1415"/>
      <c r="L232" s="131"/>
      <c r="M232" s="263"/>
      <c r="N232" s="256"/>
      <c r="O232" s="1544"/>
      <c r="P232" s="1544"/>
    </row>
    <row r="233" spans="1:16" s="1555" customFormat="1" ht="45" hidden="1" customHeight="1">
      <c r="A233" s="1700" t="s">
        <v>191</v>
      </c>
      <c r="B233" s="1700" t="s">
        <v>192</v>
      </c>
      <c r="C233" s="293"/>
      <c r="D233" s="4054"/>
      <c r="E233" s="3862"/>
      <c r="F233" s="3997" t="str">
        <f>INDEX(PT_DIFFERENTIATION_VTAR,MATCH(A233,PT_DIFFERENTIATION_VTAR_ID,0))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3" s="4025" t="str">
        <f>INDEX(PT_DIFFERENTIATION_NTAR,MATCH(B233,PT_DIFFERENTIATION_NTAR_ID,0))</f>
        <v/>
      </c>
      <c r="H233" s="1781"/>
      <c r="I233" s="1658"/>
      <c r="J233" s="1693"/>
      <c r="K233" s="1698"/>
      <c r="L233" s="1781" t="s">
        <v>335</v>
      </c>
      <c r="M233" s="263"/>
      <c r="N233" s="256"/>
      <c r="O233" s="1544"/>
      <c r="P233" s="1544"/>
    </row>
    <row r="234" spans="1:16" s="1555" customFormat="1" ht="18.75" hidden="1" customHeight="1">
      <c r="A234" s="1700"/>
      <c r="B234" s="1700"/>
      <c r="C234" s="293" t="s">
        <v>1228</v>
      </c>
      <c r="D234" s="4054"/>
      <c r="E234" s="3862"/>
      <c r="F234" s="3997"/>
      <c r="G234" s="4025"/>
      <c r="H234" s="1415"/>
      <c r="I234" s="569" t="s">
        <v>1227</v>
      </c>
      <c r="J234" s="494"/>
      <c r="K234" s="1415"/>
      <c r="L234" s="131"/>
      <c r="M234" s="263"/>
      <c r="N234" s="256"/>
      <c r="O234" s="1544"/>
      <c r="P234" s="1544"/>
    </row>
    <row r="235" spans="1:16" s="1555" customFormat="1" ht="0.75" hidden="1" customHeight="1">
      <c r="A235" s="1700"/>
      <c r="B235" s="1700"/>
      <c r="C235" s="293" t="s">
        <v>1235</v>
      </c>
      <c r="D235" s="4054"/>
      <c r="E235" s="3862"/>
      <c r="F235" s="3997"/>
      <c r="G235" s="329"/>
      <c r="H235" s="1415"/>
      <c r="I235" s="569"/>
      <c r="J235" s="494"/>
      <c r="K235" s="1415"/>
      <c r="L235" s="131"/>
      <c r="M235" s="263"/>
      <c r="N235" s="256"/>
      <c r="O235" s="1544"/>
      <c r="P235" s="1544"/>
    </row>
    <row r="236" spans="1:16" s="1555" customFormat="1" ht="18.75" hidden="1" customHeight="1">
      <c r="A236" s="1700" t="s">
        <v>197</v>
      </c>
      <c r="B236" s="1700" t="s">
        <v>198</v>
      </c>
      <c r="C236" s="293"/>
      <c r="D236" s="4054"/>
      <c r="E236" s="3862"/>
      <c r="F236" s="3997" t="str">
        <f>INDEX(PT_DIFFERENTIATION_VTAR,MATCH(A236,PT_DIFFERENTIATION_VTAR_ID,0))</f>
        <v>Тарифы на услуги по передаче тепловой энергии</v>
      </c>
      <c r="G236" s="4025" t="str">
        <f>INDEX(PT_DIFFERENTIATION_NTAR,MATCH(B236,PT_DIFFERENTIATION_NTAR_ID,0))</f>
        <v/>
      </c>
      <c r="H236" s="1781"/>
      <c r="I236" s="1658"/>
      <c r="J236" s="1693"/>
      <c r="K236" s="1698"/>
      <c r="L236" s="1781" t="s">
        <v>335</v>
      </c>
      <c r="M236" s="263"/>
      <c r="N236" s="256"/>
      <c r="O236" s="1544"/>
      <c r="P236" s="1544"/>
    </row>
    <row r="237" spans="1:16" s="1555" customFormat="1" ht="18.75" hidden="1" customHeight="1">
      <c r="A237" s="1700"/>
      <c r="B237" s="1700"/>
      <c r="C237" s="293" t="s">
        <v>1228</v>
      </c>
      <c r="D237" s="4054"/>
      <c r="E237" s="3862"/>
      <c r="F237" s="3997"/>
      <c r="G237" s="4025"/>
      <c r="H237" s="1415"/>
      <c r="I237" s="569" t="s">
        <v>1227</v>
      </c>
      <c r="J237" s="494"/>
      <c r="K237" s="1415"/>
      <c r="L237" s="131"/>
      <c r="M237" s="263"/>
      <c r="N237" s="256"/>
      <c r="O237" s="1544"/>
      <c r="P237" s="1544"/>
    </row>
    <row r="238" spans="1:16" s="1555" customFormat="1" ht="0.75" hidden="1" customHeight="1">
      <c r="A238" s="1700"/>
      <c r="B238" s="1700"/>
      <c r="C238" s="293" t="s">
        <v>1235</v>
      </c>
      <c r="D238" s="4054"/>
      <c r="E238" s="3862"/>
      <c r="F238" s="3997"/>
      <c r="G238" s="329"/>
      <c r="H238" s="1415"/>
      <c r="I238" s="569"/>
      <c r="J238" s="494"/>
      <c r="K238" s="1415"/>
      <c r="L238" s="131"/>
      <c r="M238" s="263"/>
      <c r="N238" s="256"/>
      <c r="O238" s="1544"/>
      <c r="P238" s="1544"/>
    </row>
    <row r="239" spans="1:16" s="1555" customFormat="1" ht="18.75" hidden="1" customHeight="1">
      <c r="A239" s="1700" t="s">
        <v>203</v>
      </c>
      <c r="B239" s="1700" t="s">
        <v>204</v>
      </c>
      <c r="C239" s="293"/>
      <c r="D239" s="4054"/>
      <c r="E239" s="3862"/>
      <c r="F239" s="3997" t="str">
        <f>INDEX(PT_DIFFERENTIATION_VTAR,MATCH(A239,PT_DIFFERENTIATION_VTAR_ID,0))</f>
        <v>Тарифы на услуги по передаче теплоносителя</v>
      </c>
      <c r="G239" s="4025" t="str">
        <f>INDEX(PT_DIFFERENTIATION_NTAR,MATCH(B239,PT_DIFFERENTIATION_NTAR_ID,0))</f>
        <v/>
      </c>
      <c r="H239" s="1781"/>
      <c r="I239" s="1658"/>
      <c r="J239" s="1693"/>
      <c r="K239" s="1698"/>
      <c r="L239" s="1781" t="s">
        <v>335</v>
      </c>
      <c r="M239" s="263"/>
      <c r="N239" s="256"/>
      <c r="O239" s="1544"/>
      <c r="P239" s="1544"/>
    </row>
    <row r="240" spans="1:16" s="1555" customFormat="1" ht="18.75" hidden="1" customHeight="1">
      <c r="A240" s="1700"/>
      <c r="B240" s="1700"/>
      <c r="C240" s="293" t="s">
        <v>1228</v>
      </c>
      <c r="D240" s="4054"/>
      <c r="E240" s="3862"/>
      <c r="F240" s="3997"/>
      <c r="G240" s="4025"/>
      <c r="H240" s="1415"/>
      <c r="I240" s="569" t="s">
        <v>1227</v>
      </c>
      <c r="J240" s="494"/>
      <c r="K240" s="1415"/>
      <c r="L240" s="131"/>
      <c r="M240" s="263"/>
      <c r="N240" s="256"/>
      <c r="O240" s="1544"/>
      <c r="P240" s="1544"/>
    </row>
    <row r="241" spans="1:16" s="1555" customFormat="1" ht="0.75" hidden="1" customHeight="1">
      <c r="A241" s="1700"/>
      <c r="B241" s="1700"/>
      <c r="C241" s="293" t="s">
        <v>1235</v>
      </c>
      <c r="D241" s="4054"/>
      <c r="E241" s="3862"/>
      <c r="F241" s="3997"/>
      <c r="G241" s="329"/>
      <c r="H241" s="1415"/>
      <c r="I241" s="569"/>
      <c r="J241" s="494"/>
      <c r="K241" s="1415"/>
      <c r="L241" s="131"/>
      <c r="M241" s="263"/>
      <c r="N241" s="256"/>
      <c r="O241" s="1544"/>
      <c r="P241" s="1544"/>
    </row>
    <row r="242" spans="1:16" s="1555" customFormat="1" ht="18.75" hidden="1" customHeight="1">
      <c r="A242" s="1700" t="s">
        <v>209</v>
      </c>
      <c r="B242" s="1700" t="s">
        <v>210</v>
      </c>
      <c r="C242" s="293"/>
      <c r="D242" s="4054"/>
      <c r="E242" s="3862"/>
      <c r="F242" s="3997" t="str">
        <f>INDEX(PT_DIFFERENTIATION_VTAR,MATCH(A242,PT_DIFFERENTIATION_VTAR_ID,0))</f>
        <v>Плата за услуги по поддержанию резервной тепловой мощности при отсутствии потребления тепловой энергии</v>
      </c>
      <c r="G242" s="4025" t="str">
        <f>INDEX(PT_DIFFERENTIATION_NTAR,MATCH(B242,PT_DIFFERENTIATION_NTAR_ID,0))</f>
        <v/>
      </c>
      <c r="H242" s="1781"/>
      <c r="I242" s="1658"/>
      <c r="J242" s="1693"/>
      <c r="K242" s="1698"/>
      <c r="L242" s="1781" t="s">
        <v>335</v>
      </c>
      <c r="M242" s="263"/>
      <c r="N242" s="256"/>
      <c r="O242" s="1544"/>
      <c r="P242" s="1544"/>
    </row>
    <row r="243" spans="1:16" s="1555" customFormat="1" ht="18.75" hidden="1" customHeight="1">
      <c r="A243" s="1700"/>
      <c r="B243" s="1700"/>
      <c r="C243" s="293" t="s">
        <v>1228</v>
      </c>
      <c r="D243" s="4054"/>
      <c r="E243" s="3862"/>
      <c r="F243" s="3997"/>
      <c r="G243" s="4025"/>
      <c r="H243" s="1415"/>
      <c r="I243" s="569" t="s">
        <v>1227</v>
      </c>
      <c r="J243" s="494"/>
      <c r="K243" s="1415"/>
      <c r="L243" s="131"/>
      <c r="M243" s="263"/>
      <c r="N243" s="256"/>
      <c r="O243" s="1544"/>
      <c r="P243" s="1544"/>
    </row>
    <row r="244" spans="1:16" s="1555" customFormat="1" ht="0.75" hidden="1" customHeight="1">
      <c r="A244" s="1700"/>
      <c r="B244" s="1700"/>
      <c r="C244" s="293" t="s">
        <v>1235</v>
      </c>
      <c r="D244" s="4054"/>
      <c r="E244" s="3862"/>
      <c r="F244" s="3997"/>
      <c r="G244" s="329"/>
      <c r="H244" s="1415"/>
      <c r="I244" s="569"/>
      <c r="J244" s="494"/>
      <c r="K244" s="1415"/>
      <c r="L244" s="131"/>
      <c r="M244" s="263"/>
      <c r="N244" s="256"/>
      <c r="O244" s="1544"/>
      <c r="P244" s="1544"/>
    </row>
    <row r="245" spans="1:16" s="1555" customFormat="1" ht="18.75" hidden="1" customHeight="1">
      <c r="A245" s="1700" t="s">
        <v>215</v>
      </c>
      <c r="B245" s="1700" t="s">
        <v>216</v>
      </c>
      <c r="C245" s="293"/>
      <c r="D245" s="4054"/>
      <c r="E245" s="3862"/>
      <c r="F245" s="3997" t="str">
        <f>INDEX(PT_DIFFERENTIATION_VTAR,MATCH(A245,PT_DIFFERENTIATION_VTAR_ID,0))</f>
        <v>Плата за подключение (технологическое присоединение) к системе теплоснабжения</v>
      </c>
      <c r="G245" s="4025" t="str">
        <f>INDEX(PT_DIFFERENTIATION_NTAR,MATCH(B245,PT_DIFFERENTIATION_NTAR_ID,0))</f>
        <v/>
      </c>
      <c r="H245" s="1781"/>
      <c r="I245" s="1658"/>
      <c r="J245" s="1693"/>
      <c r="K245" s="1698"/>
      <c r="L245" s="1781" t="s">
        <v>335</v>
      </c>
      <c r="M245" s="263"/>
      <c r="N245" s="256"/>
      <c r="O245" s="1544"/>
      <c r="P245" s="1544"/>
    </row>
    <row r="246" spans="1:16" s="1555" customFormat="1" ht="18.75" hidden="1" customHeight="1">
      <c r="A246" s="1700"/>
      <c r="B246" s="1700"/>
      <c r="C246" s="293" t="s">
        <v>1228</v>
      </c>
      <c r="D246" s="4054"/>
      <c r="E246" s="3862"/>
      <c r="F246" s="3997"/>
      <c r="G246" s="4025"/>
      <c r="H246" s="1415"/>
      <c r="I246" s="569" t="s">
        <v>1227</v>
      </c>
      <c r="J246" s="494"/>
      <c r="K246" s="1415"/>
      <c r="L246" s="131"/>
      <c r="M246" s="263"/>
      <c r="N246" s="256"/>
      <c r="O246" s="1544"/>
      <c r="P246" s="1544"/>
    </row>
    <row r="247" spans="1:16" s="1555" customFormat="1" ht="0.75" hidden="1" customHeight="1">
      <c r="A247" s="1700"/>
      <c r="B247" s="1700"/>
      <c r="C247" s="293" t="s">
        <v>1235</v>
      </c>
      <c r="D247" s="4054"/>
      <c r="E247" s="3862"/>
      <c r="F247" s="3997"/>
      <c r="G247" s="329"/>
      <c r="H247" s="1415"/>
      <c r="I247" s="569"/>
      <c r="J247" s="494"/>
      <c r="K247" s="1415"/>
      <c r="L247" s="131"/>
      <c r="M247" s="263"/>
      <c r="N247" s="256"/>
      <c r="O247" s="1544"/>
      <c r="P247" s="1544"/>
    </row>
    <row r="248" spans="1:16" s="1555" customFormat="1" ht="18.75" hidden="1" customHeight="1">
      <c r="A248" s="1700" t="s">
        <v>229</v>
      </c>
      <c r="B248" s="1700" t="s">
        <v>230</v>
      </c>
      <c r="C248" s="293"/>
      <c r="D248" s="4054"/>
      <c r="E248" s="3862"/>
      <c r="F248" s="3997" t="str">
        <f>INDEX(PT_DIFFERENTIATION_VTAR,MATCH(A248,PT_DIFFERENTIATION_VTAR_ID,0))</f>
        <v>Тариф на питьевую воду (питьевое водоснабжение)</v>
      </c>
      <c r="G248" s="4025" t="str">
        <f>INDEX(PT_DIFFERENTIATION_NTAR,MATCH(B248,PT_DIFFERENTIATION_NTAR_ID,0))</f>
        <v/>
      </c>
      <c r="H248" s="1781"/>
      <c r="I248" s="1658"/>
      <c r="J248" s="1693"/>
      <c r="K248" s="1698"/>
      <c r="L248" s="1781" t="s">
        <v>335</v>
      </c>
      <c r="M248" s="263"/>
      <c r="N248" s="256"/>
      <c r="O248" s="1544"/>
      <c r="P248" s="1544"/>
    </row>
    <row r="249" spans="1:16" s="1555" customFormat="1" ht="18.75" hidden="1" customHeight="1">
      <c r="A249" s="1700"/>
      <c r="B249" s="1700"/>
      <c r="C249" s="293" t="s">
        <v>1228</v>
      </c>
      <c r="D249" s="4054"/>
      <c r="E249" s="3862"/>
      <c r="F249" s="3997"/>
      <c r="G249" s="4025"/>
      <c r="H249" s="1415"/>
      <c r="I249" s="569" t="s">
        <v>1227</v>
      </c>
      <c r="J249" s="494"/>
      <c r="K249" s="1415"/>
      <c r="L249" s="131"/>
      <c r="M249" s="263"/>
      <c r="N249" s="256"/>
      <c r="O249" s="1544"/>
      <c r="P249" s="1544"/>
    </row>
    <row r="250" spans="1:16" s="1555" customFormat="1" ht="0.75" hidden="1" customHeight="1">
      <c r="A250" s="1700"/>
      <c r="B250" s="1700"/>
      <c r="C250" s="293" t="s">
        <v>1235</v>
      </c>
      <c r="D250" s="4054"/>
      <c r="E250" s="3862"/>
      <c r="F250" s="3997"/>
      <c r="G250" s="329"/>
      <c r="H250" s="1415"/>
      <c r="I250" s="569"/>
      <c r="J250" s="494"/>
      <c r="K250" s="1415"/>
      <c r="L250" s="131"/>
      <c r="M250" s="263"/>
      <c r="N250" s="256"/>
      <c r="O250" s="1544"/>
      <c r="P250" s="1544"/>
    </row>
    <row r="251" spans="1:16" s="1555" customFormat="1" ht="18.75" hidden="1" customHeight="1">
      <c r="A251" s="1700" t="s">
        <v>236</v>
      </c>
      <c r="B251" s="1700" t="s">
        <v>237</v>
      </c>
      <c r="C251" s="293"/>
      <c r="D251" s="4054"/>
      <c r="E251" s="3862"/>
      <c r="F251" s="3997" t="str">
        <f>INDEX(PT_DIFFERENTIATION_VTAR,MATCH(A251,PT_DIFFERENTIATION_VTAR_ID,0))</f>
        <v>Тариф на техническую воду</v>
      </c>
      <c r="G251" s="4025" t="str">
        <f>INDEX(PT_DIFFERENTIATION_NTAR,MATCH(B251,PT_DIFFERENTIATION_NTAR_ID,0))</f>
        <v>Тариф на техническую воду для потребителей, присоединенных к централизованной системе технического водоснабжения города Буденновска Буденновского муниципального округа</v>
      </c>
      <c r="H251" s="1781"/>
      <c r="I251" s="1658"/>
      <c r="J251" s="1693"/>
      <c r="K251" s="1698"/>
      <c r="L251" s="1781" t="s">
        <v>335</v>
      </c>
      <c r="M251" s="263"/>
      <c r="N251" s="256"/>
      <c r="O251" s="1544"/>
      <c r="P251" s="1544"/>
    </row>
    <row r="252" spans="1:16" s="1555" customFormat="1" ht="18.75" hidden="1" customHeight="1">
      <c r="A252" s="1700"/>
      <c r="B252" s="1700"/>
      <c r="C252" s="293" t="s">
        <v>1228</v>
      </c>
      <c r="D252" s="4054"/>
      <c r="E252" s="3862"/>
      <c r="F252" s="3997"/>
      <c r="G252" s="4025"/>
      <c r="H252" s="1415"/>
      <c r="I252" s="569" t="s">
        <v>1227</v>
      </c>
      <c r="J252" s="494"/>
      <c r="K252" s="1415"/>
      <c r="L252" s="131"/>
      <c r="M252" s="263"/>
      <c r="N252" s="256"/>
      <c r="O252" s="1544"/>
      <c r="P252" s="1544"/>
    </row>
    <row r="253" spans="1:16" s="1555" customFormat="1" ht="18.75" customHeight="1">
      <c r="A253" s="1742" t="s">
        <v>236</v>
      </c>
      <c r="B253" s="1742" t="s">
        <v>243</v>
      </c>
      <c r="C253" s="1607"/>
      <c r="D253" s="4055"/>
      <c r="E253" s="4056"/>
      <c r="F253" s="4056"/>
      <c r="G253" s="4025" t="str">
        <f>INDEX(PT_DIFFERENTIATION_NTAR,MATCH(B253,PT_DIFFERENTIATION_NTAR_ID,0))</f>
        <v>Тариф на техническую воду для потребителей, присоединенных к централизованной системе технического водоснабжения Изобильненского муниципального округа</v>
      </c>
      <c r="H253" s="1811"/>
      <c r="I253" s="1658"/>
      <c r="J253" s="1693"/>
      <c r="K253" s="1698"/>
      <c r="L253" s="1811" t="s">
        <v>335</v>
      </c>
      <c r="M253" s="1794"/>
      <c r="N253" s="537"/>
      <c r="O253" s="1544"/>
      <c r="P253" s="1544"/>
    </row>
    <row r="254" spans="1:16" s="1555" customFormat="1" ht="18.75" customHeight="1">
      <c r="A254" s="1742"/>
      <c r="B254" s="1742"/>
      <c r="C254" s="1607" t="s">
        <v>1228</v>
      </c>
      <c r="D254" s="4055"/>
      <c r="E254" s="4056"/>
      <c r="F254" s="4056"/>
      <c r="G254" s="4025"/>
      <c r="H254" s="3689"/>
      <c r="I254" s="3690" t="s">
        <v>1227</v>
      </c>
      <c r="J254" s="3691"/>
      <c r="K254" s="3692"/>
      <c r="L254" s="3693"/>
      <c r="M254" s="1794"/>
      <c r="N254" s="537"/>
      <c r="O254" s="1544"/>
      <c r="P254" s="1544"/>
    </row>
    <row r="255" spans="1:16" s="1555" customFormat="1" ht="18.75" customHeight="1">
      <c r="A255" s="1742" t="s">
        <v>236</v>
      </c>
      <c r="B255" s="1742" t="s">
        <v>248</v>
      </c>
      <c r="C255" s="1607"/>
      <c r="D255" s="4055"/>
      <c r="E255" s="4056"/>
      <c r="F255" s="4056"/>
      <c r="G255" s="4025" t="str">
        <f>INDEX(PT_DIFFERENTIATION_NTAR,MATCH(B255,PT_DIFFERENTIATION_NTAR_ID,0))</f>
        <v>Тариф на техническую воду для потребителей, присоединенных к централизованной системе технического водоснабжения хутора Привольного Курского муниципального округа</v>
      </c>
      <c r="H255" s="1811"/>
      <c r="I255" s="1658"/>
      <c r="J255" s="1693"/>
      <c r="K255" s="1698"/>
      <c r="L255" s="1811" t="s">
        <v>335</v>
      </c>
      <c r="M255" s="1794"/>
      <c r="N255" s="537"/>
      <c r="O255" s="1544"/>
      <c r="P255" s="1544"/>
    </row>
    <row r="256" spans="1:16" s="1555" customFormat="1" ht="18.75" customHeight="1">
      <c r="A256" s="1742"/>
      <c r="B256" s="1742"/>
      <c r="C256" s="1607" t="s">
        <v>1228</v>
      </c>
      <c r="D256" s="4055"/>
      <c r="E256" s="4056"/>
      <c r="F256" s="4056"/>
      <c r="G256" s="4025"/>
      <c r="H256" s="3694"/>
      <c r="I256" s="3695" t="s">
        <v>1227</v>
      </c>
      <c r="J256" s="3696"/>
      <c r="K256" s="3697"/>
      <c r="L256" s="3698"/>
      <c r="M256" s="1794"/>
      <c r="N256" s="537"/>
      <c r="O256" s="1544"/>
      <c r="P256" s="1544"/>
    </row>
    <row r="257" spans="1:16" s="1555" customFormat="1" ht="18.75" customHeight="1">
      <c r="A257" s="1742" t="s">
        <v>236</v>
      </c>
      <c r="B257" s="1742" t="s">
        <v>253</v>
      </c>
      <c r="C257" s="1607"/>
      <c r="D257" s="4055"/>
      <c r="E257" s="4056"/>
      <c r="F257" s="4056"/>
      <c r="G257" s="4025" t="str">
        <f>INDEX(PT_DIFFERENTIATION_NTAR,MATCH(B257,PT_DIFFERENTIATION_NTAR_ID,0))</f>
        <v>Тариф на техническую воду для потребителей, присоединенных к централизованной системе технического водоснабжения села Левокумского Левокумского муниципального округа</v>
      </c>
      <c r="H257" s="1811"/>
      <c r="I257" s="1658"/>
      <c r="J257" s="1693"/>
      <c r="K257" s="1698"/>
      <c r="L257" s="1811" t="s">
        <v>335</v>
      </c>
      <c r="M257" s="1794"/>
      <c r="N257" s="537"/>
      <c r="O257" s="1544"/>
      <c r="P257" s="1544"/>
    </row>
    <row r="258" spans="1:16" s="1555" customFormat="1" ht="18.75" customHeight="1">
      <c r="A258" s="1742"/>
      <c r="B258" s="1742"/>
      <c r="C258" s="1607" t="s">
        <v>1228</v>
      </c>
      <c r="D258" s="4055"/>
      <c r="E258" s="4056"/>
      <c r="F258" s="4056"/>
      <c r="G258" s="4025"/>
      <c r="H258" s="3699"/>
      <c r="I258" s="3700" t="s">
        <v>1227</v>
      </c>
      <c r="J258" s="3701"/>
      <c r="K258" s="3702"/>
      <c r="L258" s="3703"/>
      <c r="M258" s="1794"/>
      <c r="N258" s="537"/>
      <c r="O258" s="1544"/>
      <c r="P258" s="1544"/>
    </row>
    <row r="259" spans="1:16" s="1555" customFormat="1" ht="18.75" customHeight="1">
      <c r="A259" s="1742" t="s">
        <v>236</v>
      </c>
      <c r="B259" s="1742" t="s">
        <v>258</v>
      </c>
      <c r="C259" s="1607"/>
      <c r="D259" s="4055"/>
      <c r="E259" s="4056"/>
      <c r="F259" s="4056"/>
      <c r="G259" s="4025" t="str">
        <f>INDEX(PT_DIFFERENTIATION_NTAR,MATCH(B259,PT_DIFFERENTIATION_NTAR_ID,0))</f>
        <v>Тариф на техническую воду для потребителей, присоединенных к централизованной системе технического водоснабжения города Нефтекумска Нефтекумского муниципального округа</v>
      </c>
      <c r="H259" s="1811"/>
      <c r="I259" s="1658"/>
      <c r="J259" s="1693"/>
      <c r="K259" s="1698"/>
      <c r="L259" s="1811" t="s">
        <v>335</v>
      </c>
      <c r="M259" s="1794"/>
      <c r="N259" s="537"/>
      <c r="O259" s="1544"/>
      <c r="P259" s="1544"/>
    </row>
    <row r="260" spans="1:16" s="1555" customFormat="1" ht="18.75" customHeight="1">
      <c r="A260" s="1742"/>
      <c r="B260" s="1742"/>
      <c r="C260" s="1607" t="s">
        <v>1228</v>
      </c>
      <c r="D260" s="4055"/>
      <c r="E260" s="4056"/>
      <c r="F260" s="4056"/>
      <c r="G260" s="4025"/>
      <c r="H260" s="3704"/>
      <c r="I260" s="3705" t="s">
        <v>1227</v>
      </c>
      <c r="J260" s="3706"/>
      <c r="K260" s="3707"/>
      <c r="L260" s="3708"/>
      <c r="M260" s="1794"/>
      <c r="N260" s="537"/>
      <c r="O260" s="1544"/>
      <c r="P260" s="1544"/>
    </row>
    <row r="261" spans="1:16" s="1555" customFormat="1" ht="0.75" hidden="1" customHeight="1">
      <c r="A261" s="1700"/>
      <c r="B261" s="1700"/>
      <c r="C261" s="293" t="s">
        <v>1235</v>
      </c>
      <c r="D261" s="4054"/>
      <c r="E261" s="3862"/>
      <c r="F261" s="3997"/>
      <c r="G261" s="329"/>
      <c r="H261" s="1415"/>
      <c r="I261" s="569"/>
      <c r="J261" s="494"/>
      <c r="K261" s="1415"/>
      <c r="L261" s="131"/>
      <c r="M261" s="263"/>
      <c r="N261" s="256"/>
      <c r="O261" s="1544"/>
      <c r="P261" s="1544"/>
    </row>
    <row r="262" spans="1:16" s="1555" customFormat="1" ht="18.75" hidden="1" customHeight="1">
      <c r="A262" s="1700" t="s">
        <v>264</v>
      </c>
      <c r="B262" s="1700" t="s">
        <v>265</v>
      </c>
      <c r="C262" s="293"/>
      <c r="D262" s="4054"/>
      <c r="E262" s="3862"/>
      <c r="F262" s="3997" t="str">
        <f>INDEX(PT_DIFFERENTIATION_VTAR,MATCH(A262,PT_DIFFERENTIATION_VTAR_ID,0))</f>
        <v>Тариф на транспортировку воды</v>
      </c>
      <c r="G262" s="4025" t="str">
        <f>INDEX(PT_DIFFERENTIATION_NTAR,MATCH(B262,PT_DIFFERENTIATION_NTAR_ID,0))</f>
        <v/>
      </c>
      <c r="H262" s="1781"/>
      <c r="I262" s="1658"/>
      <c r="J262" s="1693"/>
      <c r="K262" s="1698"/>
      <c r="L262" s="1781" t="s">
        <v>335</v>
      </c>
      <c r="M262" s="263"/>
      <c r="N262" s="256"/>
      <c r="O262" s="1544"/>
      <c r="P262" s="1544"/>
    </row>
    <row r="263" spans="1:16" s="1555" customFormat="1" ht="18.75" hidden="1" customHeight="1">
      <c r="A263" s="1700"/>
      <c r="B263" s="1700"/>
      <c r="C263" s="293" t="s">
        <v>1228</v>
      </c>
      <c r="D263" s="4054"/>
      <c r="E263" s="3862"/>
      <c r="F263" s="3997"/>
      <c r="G263" s="4025"/>
      <c r="H263" s="1415"/>
      <c r="I263" s="569" t="s">
        <v>1227</v>
      </c>
      <c r="J263" s="494"/>
      <c r="K263" s="1415"/>
      <c r="L263" s="131"/>
      <c r="M263" s="263"/>
      <c r="N263" s="256"/>
      <c r="O263" s="1544"/>
      <c r="P263" s="1544"/>
    </row>
    <row r="264" spans="1:16" s="1555" customFormat="1" ht="0.75" hidden="1" customHeight="1">
      <c r="A264" s="1700"/>
      <c r="B264" s="1700"/>
      <c r="C264" s="293" t="s">
        <v>1235</v>
      </c>
      <c r="D264" s="4054"/>
      <c r="E264" s="3862"/>
      <c r="F264" s="3997"/>
      <c r="G264" s="329"/>
      <c r="H264" s="1415"/>
      <c r="I264" s="569"/>
      <c r="J264" s="494"/>
      <c r="K264" s="1415"/>
      <c r="L264" s="131"/>
      <c r="M264" s="263"/>
      <c r="N264" s="256"/>
      <c r="O264" s="1544"/>
      <c r="P264" s="1544"/>
    </row>
    <row r="265" spans="1:16" s="1555" customFormat="1" ht="18.75" hidden="1" customHeight="1">
      <c r="A265" s="1700" t="s">
        <v>269</v>
      </c>
      <c r="B265" s="1700" t="s">
        <v>270</v>
      </c>
      <c r="C265" s="293"/>
      <c r="D265" s="4054"/>
      <c r="E265" s="3862"/>
      <c r="F265" s="3997" t="str">
        <f>INDEX(PT_DIFFERENTIATION_VTAR,MATCH(A265,PT_DIFFERENTIATION_VTAR_ID,0))</f>
        <v>Тариф на подвоз воды</v>
      </c>
      <c r="G265" s="4025" t="str">
        <f>INDEX(PT_DIFFERENTIATION_NTAR,MATCH(B265,PT_DIFFERENTIATION_NTAR_ID,0))</f>
        <v/>
      </c>
      <c r="H265" s="1781"/>
      <c r="I265" s="1658"/>
      <c r="J265" s="1693"/>
      <c r="K265" s="1698"/>
      <c r="L265" s="1781" t="s">
        <v>335</v>
      </c>
      <c r="M265" s="263"/>
      <c r="N265" s="256"/>
      <c r="O265" s="1544"/>
      <c r="P265" s="1544"/>
    </row>
    <row r="266" spans="1:16" s="1555" customFormat="1" ht="18.75" hidden="1" customHeight="1">
      <c r="A266" s="1700"/>
      <c r="B266" s="1700"/>
      <c r="C266" s="293" t="s">
        <v>1228</v>
      </c>
      <c r="D266" s="4054"/>
      <c r="E266" s="3862"/>
      <c r="F266" s="3997"/>
      <c r="G266" s="4025"/>
      <c r="H266" s="1415"/>
      <c r="I266" s="569" t="s">
        <v>1227</v>
      </c>
      <c r="J266" s="494"/>
      <c r="K266" s="1415"/>
      <c r="L266" s="131"/>
      <c r="M266" s="263"/>
      <c r="N266" s="256"/>
      <c r="O266" s="1544"/>
      <c r="P266" s="1544"/>
    </row>
    <row r="267" spans="1:16" s="1555" customFormat="1" ht="0.75" hidden="1" customHeight="1">
      <c r="A267" s="1700"/>
      <c r="B267" s="1700"/>
      <c r="C267" s="293" t="s">
        <v>1235</v>
      </c>
      <c r="D267" s="4054"/>
      <c r="E267" s="3862"/>
      <c r="F267" s="3997"/>
      <c r="G267" s="329"/>
      <c r="H267" s="1415"/>
      <c r="I267" s="569"/>
      <c r="J267" s="494"/>
      <c r="K267" s="1415"/>
      <c r="L267" s="131"/>
      <c r="M267" s="263"/>
      <c r="N267" s="256"/>
      <c r="O267" s="1544"/>
      <c r="P267" s="1544"/>
    </row>
    <row r="268" spans="1:16" s="1555" customFormat="1" ht="18.75" hidden="1" customHeight="1">
      <c r="A268" s="1700" t="s">
        <v>274</v>
      </c>
      <c r="B268" s="1700" t="s">
        <v>275</v>
      </c>
      <c r="C268" s="293"/>
      <c r="D268" s="4054"/>
      <c r="E268" s="3862"/>
      <c r="F268" s="3997" t="str">
        <f>INDEX(PT_DIFFERENTIATION_VTAR,MATCH(A268,PT_DIFFERENTIATION_VTAR_ID,0))</f>
        <v>Тариф на подключение (технологическое присоединение) к централизованной системе холодного водоснабжения</v>
      </c>
      <c r="G268" s="4025" t="str">
        <f>INDEX(PT_DIFFERENTIATION_NTAR,MATCH(B268,PT_DIFFERENTIATION_NTAR_ID,0))</f>
        <v/>
      </c>
      <c r="H268" s="1781"/>
      <c r="I268" s="1658"/>
      <c r="J268" s="1693"/>
      <c r="K268" s="1698"/>
      <c r="L268" s="1781" t="s">
        <v>335</v>
      </c>
      <c r="M268" s="263"/>
      <c r="N268" s="256"/>
      <c r="O268" s="1544"/>
      <c r="P268" s="1544"/>
    </row>
    <row r="269" spans="1:16" s="1555" customFormat="1" ht="18.75" hidden="1" customHeight="1">
      <c r="A269" s="1700"/>
      <c r="B269" s="1700"/>
      <c r="C269" s="293" t="s">
        <v>1228</v>
      </c>
      <c r="D269" s="4054"/>
      <c r="E269" s="3862"/>
      <c r="F269" s="3997"/>
      <c r="G269" s="4025"/>
      <c r="H269" s="1415"/>
      <c r="I269" s="569" t="s">
        <v>1227</v>
      </c>
      <c r="J269" s="494"/>
      <c r="K269" s="1415"/>
      <c r="L269" s="131"/>
      <c r="M269" s="263"/>
      <c r="N269" s="256"/>
      <c r="O269" s="1544"/>
      <c r="P269" s="1544"/>
    </row>
    <row r="270" spans="1:16" s="1555" customFormat="1" ht="0.75" hidden="1" customHeight="1">
      <c r="A270" s="1700"/>
      <c r="B270" s="1700"/>
      <c r="C270" s="293" t="s">
        <v>1235</v>
      </c>
      <c r="D270" s="4054"/>
      <c r="E270" s="3862"/>
      <c r="F270" s="3997"/>
      <c r="G270" s="329"/>
      <c r="H270" s="1415"/>
      <c r="I270" s="569"/>
      <c r="J270" s="494"/>
      <c r="K270" s="1415"/>
      <c r="L270" s="131"/>
      <c r="M270" s="263"/>
      <c r="N270" s="256"/>
      <c r="O270" s="1544"/>
      <c r="P270" s="1544"/>
    </row>
    <row r="271" spans="1:16" s="1555" customFormat="1" ht="18.75" hidden="1" customHeight="1">
      <c r="A271" s="1700" t="s">
        <v>279</v>
      </c>
      <c r="B271" s="1700" t="s">
        <v>280</v>
      </c>
      <c r="C271" s="293"/>
      <c r="D271" s="4054"/>
      <c r="E271" s="3862"/>
      <c r="F271" s="3997" t="str">
        <f>INDEX(PT_DIFFERENTIATION_VTAR,MATCH(A271,PT_DIFFERENTIATION_VTAR_ID,0))</f>
        <v>Тариф на горячую воду (горячее водоснабжение)</v>
      </c>
      <c r="G271" s="4025" t="str">
        <f>INDEX(PT_DIFFERENTIATION_NTAR,MATCH(B271,PT_DIFFERENTIATION_NTAR_ID,0))</f>
        <v/>
      </c>
      <c r="H271" s="1781"/>
      <c r="I271" s="1658"/>
      <c r="J271" s="1693"/>
      <c r="K271" s="1698"/>
      <c r="L271" s="1781" t="s">
        <v>335</v>
      </c>
      <c r="M271" s="263"/>
      <c r="N271" s="256"/>
      <c r="O271" s="1544"/>
      <c r="P271" s="1544"/>
    </row>
    <row r="272" spans="1:16" s="1555" customFormat="1" ht="18.75" hidden="1" customHeight="1">
      <c r="A272" s="1700"/>
      <c r="B272" s="1700"/>
      <c r="C272" s="293" t="s">
        <v>1228</v>
      </c>
      <c r="D272" s="4054"/>
      <c r="E272" s="3862"/>
      <c r="F272" s="3997"/>
      <c r="G272" s="4025"/>
      <c r="H272" s="1415"/>
      <c r="I272" s="569" t="s">
        <v>1227</v>
      </c>
      <c r="J272" s="494"/>
      <c r="K272" s="1415"/>
      <c r="L272" s="131"/>
      <c r="M272" s="263"/>
      <c r="N272" s="256"/>
      <c r="O272" s="1544"/>
      <c r="P272" s="1544"/>
    </row>
    <row r="273" spans="1:16" s="1555" customFormat="1" ht="0.75" hidden="1" customHeight="1">
      <c r="A273" s="1700"/>
      <c r="B273" s="1700"/>
      <c r="C273" s="293" t="s">
        <v>1235</v>
      </c>
      <c r="D273" s="4054"/>
      <c r="E273" s="3862"/>
      <c r="F273" s="3997"/>
      <c r="G273" s="329"/>
      <c r="H273" s="1415"/>
      <c r="I273" s="569"/>
      <c r="J273" s="494"/>
      <c r="K273" s="1415"/>
      <c r="L273" s="131"/>
      <c r="M273" s="263"/>
      <c r="N273" s="256"/>
      <c r="O273" s="1544"/>
      <c r="P273" s="1544"/>
    </row>
    <row r="274" spans="1:16" s="1555" customFormat="1" ht="18.75" hidden="1" customHeight="1">
      <c r="A274" s="1700" t="s">
        <v>284</v>
      </c>
      <c r="B274" s="1700" t="s">
        <v>285</v>
      </c>
      <c r="C274" s="293"/>
      <c r="D274" s="4054"/>
      <c r="E274" s="3862"/>
      <c r="F274" s="3997" t="str">
        <f>INDEX(PT_DIFFERENTIATION_VTAR,MATCH(A274,PT_DIFFERENTIATION_VTAR_ID,0))</f>
        <v>Тариф на транспортировку горячей воды</v>
      </c>
      <c r="G274" s="4025" t="str">
        <f>INDEX(PT_DIFFERENTIATION_NTAR,MATCH(B274,PT_DIFFERENTIATION_NTAR_ID,0))</f>
        <v/>
      </c>
      <c r="H274" s="1781"/>
      <c r="I274" s="1658"/>
      <c r="J274" s="1693"/>
      <c r="K274" s="1698"/>
      <c r="L274" s="1781" t="s">
        <v>335</v>
      </c>
      <c r="M274" s="263"/>
      <c r="N274" s="256"/>
      <c r="O274" s="1544"/>
      <c r="P274" s="1544"/>
    </row>
    <row r="275" spans="1:16" s="1555" customFormat="1" ht="18.75" hidden="1" customHeight="1">
      <c r="A275" s="1700"/>
      <c r="B275" s="1700"/>
      <c r="C275" s="293" t="s">
        <v>1228</v>
      </c>
      <c r="D275" s="4054"/>
      <c r="E275" s="3862"/>
      <c r="F275" s="3997"/>
      <c r="G275" s="4025"/>
      <c r="H275" s="1415"/>
      <c r="I275" s="569" t="s">
        <v>1227</v>
      </c>
      <c r="J275" s="494"/>
      <c r="K275" s="1415"/>
      <c r="L275" s="131"/>
      <c r="M275" s="263"/>
      <c r="N275" s="256"/>
      <c r="O275" s="1544"/>
      <c r="P275" s="1544"/>
    </row>
    <row r="276" spans="1:16" s="1555" customFormat="1" ht="0.75" hidden="1" customHeight="1">
      <c r="A276" s="1700"/>
      <c r="B276" s="1700"/>
      <c r="C276" s="293" t="s">
        <v>1235</v>
      </c>
      <c r="D276" s="4054"/>
      <c r="E276" s="3862"/>
      <c r="F276" s="3997"/>
      <c r="G276" s="329"/>
      <c r="H276" s="1415"/>
      <c r="I276" s="569"/>
      <c r="J276" s="494"/>
      <c r="K276" s="1415"/>
      <c r="L276" s="131"/>
      <c r="M276" s="263"/>
      <c r="N276" s="256"/>
      <c r="O276" s="1544"/>
      <c r="P276" s="1544"/>
    </row>
    <row r="277" spans="1:16" s="1555" customFormat="1" ht="18.75" hidden="1" customHeight="1">
      <c r="A277" s="1700" t="s">
        <v>289</v>
      </c>
      <c r="B277" s="1700" t="s">
        <v>290</v>
      </c>
      <c r="C277" s="293"/>
      <c r="D277" s="4054"/>
      <c r="E277" s="3862"/>
      <c r="F277" s="3997" t="str">
        <f>INDEX(PT_DIFFERENTIATION_VTAR,MATCH(A277,PT_DIFFERENTIATION_VTAR_ID,0))</f>
        <v>Тариф на подключение (технологическое присоединение) к централизованной системе горячего водоснабжения</v>
      </c>
      <c r="G277" s="4025" t="str">
        <f>INDEX(PT_DIFFERENTIATION_NTAR,MATCH(B277,PT_DIFFERENTIATION_NTAR_ID,0))</f>
        <v/>
      </c>
      <c r="H277" s="1781"/>
      <c r="I277" s="1658"/>
      <c r="J277" s="1693"/>
      <c r="K277" s="1698"/>
      <c r="L277" s="1781" t="s">
        <v>335</v>
      </c>
      <c r="M277" s="263"/>
      <c r="N277" s="256"/>
      <c r="O277" s="1544"/>
      <c r="P277" s="1544"/>
    </row>
    <row r="278" spans="1:16" s="1555" customFormat="1" ht="18.75" hidden="1" customHeight="1">
      <c r="A278" s="1700"/>
      <c r="B278" s="1700"/>
      <c r="C278" s="293" t="s">
        <v>1228</v>
      </c>
      <c r="D278" s="4054"/>
      <c r="E278" s="3862"/>
      <c r="F278" s="3997"/>
      <c r="G278" s="4025"/>
      <c r="H278" s="1415"/>
      <c r="I278" s="569" t="s">
        <v>1227</v>
      </c>
      <c r="J278" s="494"/>
      <c r="K278" s="1415"/>
      <c r="L278" s="131"/>
      <c r="M278" s="263"/>
      <c r="N278" s="256"/>
      <c r="O278" s="1544"/>
      <c r="P278" s="1544"/>
    </row>
    <row r="279" spans="1:16" s="1555" customFormat="1" ht="0.75" hidden="1" customHeight="1">
      <c r="A279" s="1700"/>
      <c r="B279" s="1700"/>
      <c r="C279" s="293" t="s">
        <v>1235</v>
      </c>
      <c r="D279" s="4054"/>
      <c r="E279" s="3862"/>
      <c r="F279" s="3997"/>
      <c r="G279" s="329"/>
      <c r="H279" s="1415"/>
      <c r="I279" s="569"/>
      <c r="J279" s="494"/>
      <c r="K279" s="1415"/>
      <c r="L279" s="131"/>
      <c r="M279" s="263"/>
      <c r="N279" s="256"/>
      <c r="O279" s="1544"/>
      <c r="P279" s="1544"/>
    </row>
    <row r="280" spans="1:16" s="1555" customFormat="1" ht="18.75" hidden="1" customHeight="1">
      <c r="A280" s="1700" t="s">
        <v>294</v>
      </c>
      <c r="B280" s="1700" t="s">
        <v>295</v>
      </c>
      <c r="C280" s="293"/>
      <c r="D280" s="4054"/>
      <c r="E280" s="3862"/>
      <c r="F280" s="3997" t="str">
        <f>INDEX(PT_DIFFERENTIATION_VTAR,MATCH(A280,PT_DIFFERENTIATION_VTAR_ID,0))</f>
        <v>Тариф на водоотведение</v>
      </c>
      <c r="G280" s="4025" t="str">
        <f>INDEX(PT_DIFFERENTIATION_NTAR,MATCH(B280,PT_DIFFERENTIATION_NTAR_ID,0))</f>
        <v/>
      </c>
      <c r="H280" s="1781"/>
      <c r="I280" s="1658"/>
      <c r="J280" s="1693"/>
      <c r="K280" s="1698"/>
      <c r="L280" s="1781" t="s">
        <v>335</v>
      </c>
      <c r="M280" s="263"/>
      <c r="N280" s="256"/>
      <c r="O280" s="1544"/>
      <c r="P280" s="1544"/>
    </row>
    <row r="281" spans="1:16" s="1555" customFormat="1" ht="18.75" hidden="1" customHeight="1">
      <c r="A281" s="1700"/>
      <c r="B281" s="1700"/>
      <c r="C281" s="293" t="s">
        <v>1228</v>
      </c>
      <c r="D281" s="4054"/>
      <c r="E281" s="3862"/>
      <c r="F281" s="3997"/>
      <c r="G281" s="4025"/>
      <c r="H281" s="1415"/>
      <c r="I281" s="569" t="s">
        <v>1227</v>
      </c>
      <c r="J281" s="494"/>
      <c r="K281" s="1415"/>
      <c r="L281" s="131"/>
      <c r="M281" s="263"/>
      <c r="N281" s="256"/>
      <c r="O281" s="1544"/>
      <c r="P281" s="1544"/>
    </row>
    <row r="282" spans="1:16" s="1555" customFormat="1" ht="0.75" hidden="1" customHeight="1">
      <c r="A282" s="1700"/>
      <c r="B282" s="1700"/>
      <c r="C282" s="293" t="s">
        <v>1235</v>
      </c>
      <c r="D282" s="4054"/>
      <c r="E282" s="3862"/>
      <c r="F282" s="3997"/>
      <c r="G282" s="329"/>
      <c r="H282" s="1415"/>
      <c r="I282" s="569"/>
      <c r="J282" s="494"/>
      <c r="K282" s="1415"/>
      <c r="L282" s="131"/>
      <c r="M282" s="263"/>
      <c r="N282" s="256"/>
      <c r="O282" s="1544"/>
      <c r="P282" s="1544"/>
    </row>
    <row r="283" spans="1:16" s="1555" customFormat="1" ht="18.75" hidden="1" customHeight="1">
      <c r="A283" s="1700" t="s">
        <v>299</v>
      </c>
      <c r="B283" s="1700" t="s">
        <v>300</v>
      </c>
      <c r="C283" s="293"/>
      <c r="D283" s="4054"/>
      <c r="E283" s="3862"/>
      <c r="F283" s="3997" t="str">
        <f>INDEX(PT_DIFFERENTIATION_VTAR,MATCH(A283,PT_DIFFERENTIATION_VTAR_ID,0))</f>
        <v>Тариф на транспортировку сточных вод</v>
      </c>
      <c r="G283" s="4025" t="str">
        <f>INDEX(PT_DIFFERENTIATION_NTAR,MATCH(B283,PT_DIFFERENTIATION_NTAR_ID,0))</f>
        <v/>
      </c>
      <c r="H283" s="1781"/>
      <c r="I283" s="1658"/>
      <c r="J283" s="1693"/>
      <c r="K283" s="1698"/>
      <c r="L283" s="1781" t="s">
        <v>335</v>
      </c>
      <c r="M283" s="263"/>
      <c r="N283" s="256"/>
      <c r="O283" s="1544"/>
      <c r="P283" s="1544"/>
    </row>
    <row r="284" spans="1:16" s="1555" customFormat="1" ht="18.75" hidden="1" customHeight="1">
      <c r="A284" s="1700"/>
      <c r="B284" s="1700"/>
      <c r="C284" s="293" t="s">
        <v>1228</v>
      </c>
      <c r="D284" s="4054"/>
      <c r="E284" s="3862"/>
      <c r="F284" s="3997"/>
      <c r="G284" s="4025"/>
      <c r="H284" s="1415"/>
      <c r="I284" s="569" t="s">
        <v>1227</v>
      </c>
      <c r="J284" s="494"/>
      <c r="K284" s="1415"/>
      <c r="L284" s="131"/>
      <c r="M284" s="263"/>
      <c r="N284" s="256"/>
      <c r="O284" s="1544"/>
      <c r="P284" s="1544"/>
    </row>
    <row r="285" spans="1:16" s="1555" customFormat="1" ht="0.75" hidden="1" customHeight="1">
      <c r="A285" s="1700"/>
      <c r="B285" s="1700"/>
      <c r="C285" s="293" t="s">
        <v>1235</v>
      </c>
      <c r="D285" s="4054"/>
      <c r="E285" s="3862"/>
      <c r="F285" s="3997"/>
      <c r="G285" s="329"/>
      <c r="H285" s="1415"/>
      <c r="I285" s="569"/>
      <c r="J285" s="494"/>
      <c r="K285" s="1415"/>
      <c r="L285" s="131"/>
      <c r="M285" s="263"/>
      <c r="N285" s="256"/>
      <c r="O285" s="1544"/>
      <c r="P285" s="1544"/>
    </row>
    <row r="286" spans="1:16" s="1555" customFormat="1" ht="18.75" hidden="1" customHeight="1">
      <c r="A286" s="1700" t="s">
        <v>304</v>
      </c>
      <c r="B286" s="1700" t="s">
        <v>305</v>
      </c>
      <c r="C286" s="293"/>
      <c r="D286" s="4054"/>
      <c r="E286" s="3862"/>
      <c r="F286" s="3997" t="str">
        <f>INDEX(PT_DIFFERENTIATION_VTAR,MATCH(A286,PT_DIFFERENTIATION_VTAR_ID,0))</f>
        <v>Тариф на подключение (технологическое присоединение) к централизованной системе водоотведения</v>
      </c>
      <c r="G286" s="4025" t="str">
        <f>INDEX(PT_DIFFERENTIATION_NTAR,MATCH(B286,PT_DIFFERENTIATION_NTAR_ID,0))</f>
        <v/>
      </c>
      <c r="H286" s="1781"/>
      <c r="I286" s="1658"/>
      <c r="J286" s="1693"/>
      <c r="K286" s="1698"/>
      <c r="L286" s="1781" t="s">
        <v>335</v>
      </c>
      <c r="M286" s="263"/>
      <c r="N286" s="256"/>
      <c r="O286" s="1544"/>
      <c r="P286" s="1544"/>
    </row>
    <row r="287" spans="1:16" s="1555" customFormat="1" ht="18.75" hidden="1" customHeight="1">
      <c r="A287" s="1700"/>
      <c r="B287" s="1700"/>
      <c r="C287" s="293" t="s">
        <v>1228</v>
      </c>
      <c r="D287" s="4054"/>
      <c r="E287" s="3862"/>
      <c r="F287" s="3997"/>
      <c r="G287" s="4025"/>
      <c r="H287" s="1415"/>
      <c r="I287" s="569" t="s">
        <v>1227</v>
      </c>
      <c r="J287" s="494"/>
      <c r="K287" s="1415"/>
      <c r="L287" s="131"/>
      <c r="M287" s="263"/>
      <c r="N287" s="256"/>
      <c r="O287" s="1544"/>
      <c r="P287" s="1544"/>
    </row>
    <row r="288" spans="1:16" s="1555" customFormat="1" ht="0.75" customHeight="1">
      <c r="A288" s="1700"/>
      <c r="B288" s="1700"/>
      <c r="C288" s="293" t="s">
        <v>1235</v>
      </c>
      <c r="D288" s="4054"/>
      <c r="E288" s="3862"/>
      <c r="F288" s="3997"/>
      <c r="G288" s="329"/>
      <c r="H288" s="1415"/>
      <c r="I288" s="569"/>
      <c r="J288" s="494"/>
      <c r="K288" s="1415"/>
      <c r="L288" s="131"/>
      <c r="M288" s="263"/>
      <c r="N288" s="256"/>
      <c r="O288" s="1544"/>
      <c r="P288" s="1544"/>
    </row>
    <row r="289" spans="1:16" ht="25.5" customHeight="1">
      <c r="A289" s="1700"/>
      <c r="B289" s="1700"/>
      <c r="D289" s="300"/>
      <c r="E289" s="67" t="s">
        <v>90</v>
      </c>
      <c r="F289" s="40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9" s="4053"/>
      <c r="H289" s="4053"/>
      <c r="I289" s="4053"/>
      <c r="J289" s="4053"/>
      <c r="K289" s="4053"/>
      <c r="L289" s="4053"/>
      <c r="M289" s="211"/>
      <c r="N289" s="256"/>
    </row>
    <row r="290" spans="1:16" s="1555" customFormat="1" ht="60.75" hidden="1" customHeight="1">
      <c r="A290" s="1700" t="s">
        <v>173</v>
      </c>
      <c r="B290" s="1700" t="s">
        <v>174</v>
      </c>
      <c r="C290" s="293"/>
      <c r="D290" s="4054"/>
      <c r="E290" s="3862"/>
      <c r="F290" s="3997" t="str">
        <f>INDEX(PT_DIFFERENTIATION_VTAR,MATCH(A290,PT_DIFFERENTIATION_VTAR_ID,0))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0" s="4025" t="str">
        <f>INDEX(PT_DIFFERENTIATION_NTAR,MATCH(B290,PT_DIFFERENTIATION_NTAR_ID,0))</f>
        <v/>
      </c>
      <c r="H290" s="1781"/>
      <c r="I290" s="1658"/>
      <c r="J290" s="1693"/>
      <c r="K290" s="1698"/>
      <c r="L290" s="1781" t="s">
        <v>335</v>
      </c>
      <c r="M290" s="38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0" s="256"/>
      <c r="O290" s="1544"/>
      <c r="P290" s="1544"/>
    </row>
    <row r="291" spans="1:16" s="1555" customFormat="1" ht="18.75" hidden="1" customHeight="1">
      <c r="A291" s="1700"/>
      <c r="B291" s="1700"/>
      <c r="C291" s="293" t="s">
        <v>1228</v>
      </c>
      <c r="D291" s="4054"/>
      <c r="E291" s="3862"/>
      <c r="F291" s="3997"/>
      <c r="G291" s="4025"/>
      <c r="H291" s="1415"/>
      <c r="I291" s="569" t="s">
        <v>1227</v>
      </c>
      <c r="J291" s="494"/>
      <c r="K291" s="1415"/>
      <c r="L291" s="131"/>
      <c r="M291" s="3824"/>
      <c r="N291" s="256"/>
      <c r="O291" s="1544"/>
      <c r="P291" s="1544"/>
    </row>
    <row r="292" spans="1:16" s="1555" customFormat="1" ht="0.75" hidden="1" customHeight="1">
      <c r="A292" s="1700"/>
      <c r="B292" s="1700"/>
      <c r="C292" s="293" t="s">
        <v>1235</v>
      </c>
      <c r="D292" s="4054"/>
      <c r="E292" s="3862"/>
      <c r="F292" s="3997"/>
      <c r="G292" s="329"/>
      <c r="H292" s="1415"/>
      <c r="I292" s="569"/>
      <c r="J292" s="494"/>
      <c r="K292" s="1415"/>
      <c r="L292" s="131"/>
      <c r="M292" s="3824"/>
      <c r="N292" s="256"/>
      <c r="O292" s="1544"/>
      <c r="P292" s="1544"/>
    </row>
    <row r="293" spans="1:16" s="1555" customFormat="1" ht="45" hidden="1" customHeight="1">
      <c r="A293" s="1700" t="s">
        <v>179</v>
      </c>
      <c r="B293" s="1700" t="s">
        <v>180</v>
      </c>
      <c r="C293" s="293"/>
      <c r="D293" s="4054"/>
      <c r="E293" s="3862"/>
      <c r="F293" s="3997" t="str">
        <f>INDEX(PT_DIFFERENTIATION_VTAR,MATCH(A293,PT_DIFFERENTIATION_VTAR_ID,0))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3" s="4025" t="str">
        <f>INDEX(PT_DIFFERENTIATION_NTAR,MATCH(B293,PT_DIFFERENTIATION_NTAR_ID,0))</f>
        <v/>
      </c>
      <c r="H293" s="1781"/>
      <c r="I293" s="1658"/>
      <c r="J293" s="1693"/>
      <c r="K293" s="1698"/>
      <c r="L293" s="1781" t="s">
        <v>335</v>
      </c>
      <c r="M293" s="3825"/>
      <c r="N293" s="256"/>
      <c r="O293" s="1544"/>
      <c r="P293" s="1544"/>
    </row>
    <row r="294" spans="1:16" s="1555" customFormat="1" ht="18.75" hidden="1" customHeight="1">
      <c r="A294" s="1700"/>
      <c r="B294" s="1700"/>
      <c r="C294" s="293" t="s">
        <v>1228</v>
      </c>
      <c r="D294" s="4054"/>
      <c r="E294" s="3862"/>
      <c r="F294" s="3997"/>
      <c r="G294" s="4025"/>
      <c r="H294" s="1415"/>
      <c r="I294" s="569" t="s">
        <v>1227</v>
      </c>
      <c r="J294" s="494"/>
      <c r="K294" s="1415"/>
      <c r="L294" s="131"/>
      <c r="M294" s="1780"/>
      <c r="N294" s="256"/>
      <c r="O294" s="1544"/>
      <c r="P294" s="1544"/>
    </row>
    <row r="295" spans="1:16" s="1555" customFormat="1" ht="0.75" hidden="1" customHeight="1">
      <c r="A295" s="1700"/>
      <c r="B295" s="1700"/>
      <c r="C295" s="293" t="s">
        <v>1235</v>
      </c>
      <c r="D295" s="4054"/>
      <c r="E295" s="3862"/>
      <c r="F295" s="3997"/>
      <c r="G295" s="329"/>
      <c r="H295" s="1415"/>
      <c r="I295" s="569"/>
      <c r="J295" s="494"/>
      <c r="K295" s="1415"/>
      <c r="L295" s="131"/>
      <c r="M295" s="263"/>
      <c r="N295" s="256"/>
      <c r="O295" s="1544"/>
      <c r="P295" s="1544"/>
    </row>
    <row r="296" spans="1:16" s="1555" customFormat="1" ht="45" hidden="1" customHeight="1">
      <c r="A296" s="1700" t="s">
        <v>185</v>
      </c>
      <c r="B296" s="1700" t="s">
        <v>186</v>
      </c>
      <c r="C296" s="293"/>
      <c r="D296" s="4054"/>
      <c r="E296" s="3862"/>
      <c r="F296" s="3997"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4025" t="str">
        <f>INDEX(PT_DIFFERENTIATION_NTAR,MATCH(B296,PT_DIFFERENTIATION_NTAR_ID,0))</f>
        <v/>
      </c>
      <c r="H296" s="1781"/>
      <c r="I296" s="1658"/>
      <c r="J296" s="1693"/>
      <c r="K296" s="1698"/>
      <c r="L296" s="1781" t="s">
        <v>335</v>
      </c>
      <c r="M296" s="263"/>
      <c r="N296" s="256"/>
      <c r="O296" s="1544"/>
      <c r="P296" s="1544"/>
    </row>
    <row r="297" spans="1:16" s="1555" customFormat="1" ht="18.75" hidden="1" customHeight="1">
      <c r="A297" s="1700"/>
      <c r="B297" s="1700"/>
      <c r="C297" s="293" t="s">
        <v>1228</v>
      </c>
      <c r="D297" s="4054"/>
      <c r="E297" s="3862"/>
      <c r="F297" s="3997"/>
      <c r="G297" s="4025"/>
      <c r="H297" s="1415"/>
      <c r="I297" s="569" t="s">
        <v>1227</v>
      </c>
      <c r="J297" s="494"/>
      <c r="K297" s="1415"/>
      <c r="L297" s="131"/>
      <c r="M297" s="263"/>
      <c r="N297" s="256"/>
      <c r="O297" s="1544"/>
      <c r="P297" s="1544"/>
    </row>
    <row r="298" spans="1:16" s="1555" customFormat="1" ht="0.75" hidden="1" customHeight="1">
      <c r="A298" s="1700"/>
      <c r="B298" s="1700"/>
      <c r="C298" s="293" t="s">
        <v>1235</v>
      </c>
      <c r="D298" s="4054"/>
      <c r="E298" s="3862"/>
      <c r="F298" s="3997"/>
      <c r="G298" s="329"/>
      <c r="H298" s="1415"/>
      <c r="I298" s="569"/>
      <c r="J298" s="494"/>
      <c r="K298" s="1415"/>
      <c r="L298" s="131"/>
      <c r="M298" s="263"/>
      <c r="N298" s="256"/>
      <c r="O298" s="1544"/>
      <c r="P298" s="1544"/>
    </row>
    <row r="299" spans="1:16" s="1555" customFormat="1" ht="45" hidden="1" customHeight="1">
      <c r="A299" s="1700" t="s">
        <v>191</v>
      </c>
      <c r="B299" s="1700" t="s">
        <v>192</v>
      </c>
      <c r="C299" s="293"/>
      <c r="D299" s="4054"/>
      <c r="E299" s="3862"/>
      <c r="F299" s="3997"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4025" t="str">
        <f>INDEX(PT_DIFFERENTIATION_NTAR,MATCH(B299,PT_DIFFERENTIATION_NTAR_ID,0))</f>
        <v/>
      </c>
      <c r="H299" s="1781"/>
      <c r="I299" s="1658"/>
      <c r="J299" s="1693"/>
      <c r="K299" s="1698"/>
      <c r="L299" s="1781" t="s">
        <v>335</v>
      </c>
      <c r="M299" s="263"/>
      <c r="N299" s="256"/>
      <c r="O299" s="1544"/>
      <c r="P299" s="1544"/>
    </row>
    <row r="300" spans="1:16" s="1555" customFormat="1" ht="18.75" hidden="1" customHeight="1">
      <c r="A300" s="1700"/>
      <c r="B300" s="1700"/>
      <c r="C300" s="293" t="s">
        <v>1228</v>
      </c>
      <c r="D300" s="4054"/>
      <c r="E300" s="3862"/>
      <c r="F300" s="3997"/>
      <c r="G300" s="4025"/>
      <c r="H300" s="1415"/>
      <c r="I300" s="569" t="s">
        <v>1227</v>
      </c>
      <c r="J300" s="494"/>
      <c r="K300" s="1415"/>
      <c r="L300" s="131"/>
      <c r="M300" s="263"/>
      <c r="N300" s="256"/>
      <c r="O300" s="1544"/>
      <c r="P300" s="1544"/>
    </row>
    <row r="301" spans="1:16" s="1555" customFormat="1" ht="0.75" hidden="1" customHeight="1">
      <c r="A301" s="1700"/>
      <c r="B301" s="1700"/>
      <c r="C301" s="293" t="s">
        <v>1235</v>
      </c>
      <c r="D301" s="4054"/>
      <c r="E301" s="3862"/>
      <c r="F301" s="3997"/>
      <c r="G301" s="329"/>
      <c r="H301" s="1415"/>
      <c r="I301" s="569"/>
      <c r="J301" s="494"/>
      <c r="K301" s="1415"/>
      <c r="L301" s="131"/>
      <c r="M301" s="263"/>
      <c r="N301" s="256"/>
      <c r="O301" s="1544"/>
      <c r="P301" s="1544"/>
    </row>
    <row r="302" spans="1:16" s="1555" customFormat="1" ht="18.75" hidden="1" customHeight="1">
      <c r="A302" s="1700" t="s">
        <v>197</v>
      </c>
      <c r="B302" s="1700" t="s">
        <v>198</v>
      </c>
      <c r="C302" s="293"/>
      <c r="D302" s="4054"/>
      <c r="E302" s="3862"/>
      <c r="F302" s="3997" t="str">
        <f>INDEX(PT_DIFFERENTIATION_VTAR,MATCH(A302,PT_DIFFERENTIATION_VTAR_ID,0))</f>
        <v>Тарифы на услуги по передаче тепловой энергии</v>
      </c>
      <c r="G302" s="4025" t="str">
        <f>INDEX(PT_DIFFERENTIATION_NTAR,MATCH(B302,PT_DIFFERENTIATION_NTAR_ID,0))</f>
        <v/>
      </c>
      <c r="H302" s="1781"/>
      <c r="I302" s="1658"/>
      <c r="J302" s="1693"/>
      <c r="K302" s="1698"/>
      <c r="L302" s="1781" t="s">
        <v>335</v>
      </c>
      <c r="M302" s="263"/>
      <c r="N302" s="256"/>
      <c r="O302" s="1544"/>
      <c r="P302" s="1544"/>
    </row>
    <row r="303" spans="1:16" s="1555" customFormat="1" ht="18.75" hidden="1" customHeight="1">
      <c r="A303" s="1700"/>
      <c r="B303" s="1700"/>
      <c r="C303" s="293" t="s">
        <v>1228</v>
      </c>
      <c r="D303" s="4054"/>
      <c r="E303" s="3862"/>
      <c r="F303" s="3997"/>
      <c r="G303" s="4025"/>
      <c r="H303" s="1415"/>
      <c r="I303" s="569" t="s">
        <v>1227</v>
      </c>
      <c r="J303" s="494"/>
      <c r="K303" s="1415"/>
      <c r="L303" s="131"/>
      <c r="M303" s="263"/>
      <c r="N303" s="256"/>
      <c r="O303" s="1544"/>
      <c r="P303" s="1544"/>
    </row>
    <row r="304" spans="1:16" s="1555" customFormat="1" ht="0.75" hidden="1" customHeight="1">
      <c r="A304" s="1700"/>
      <c r="B304" s="1700"/>
      <c r="C304" s="293" t="s">
        <v>1235</v>
      </c>
      <c r="D304" s="4054"/>
      <c r="E304" s="3862"/>
      <c r="F304" s="3997"/>
      <c r="G304" s="329"/>
      <c r="H304" s="1415"/>
      <c r="I304" s="569"/>
      <c r="J304" s="494"/>
      <c r="K304" s="1415"/>
      <c r="L304" s="131"/>
      <c r="M304" s="263"/>
      <c r="N304" s="256"/>
      <c r="O304" s="1544"/>
      <c r="P304" s="1544"/>
    </row>
    <row r="305" spans="1:16" s="1555" customFormat="1" ht="18.75" hidden="1" customHeight="1">
      <c r="A305" s="1700" t="s">
        <v>203</v>
      </c>
      <c r="B305" s="1700" t="s">
        <v>204</v>
      </c>
      <c r="C305" s="293"/>
      <c r="D305" s="4054"/>
      <c r="E305" s="3862"/>
      <c r="F305" s="3997" t="str">
        <f>INDEX(PT_DIFFERENTIATION_VTAR,MATCH(A305,PT_DIFFERENTIATION_VTAR_ID,0))</f>
        <v>Тарифы на услуги по передаче теплоносителя</v>
      </c>
      <c r="G305" s="4025" t="str">
        <f>INDEX(PT_DIFFERENTIATION_NTAR,MATCH(B305,PT_DIFFERENTIATION_NTAR_ID,0))</f>
        <v/>
      </c>
      <c r="H305" s="1781"/>
      <c r="I305" s="1658"/>
      <c r="J305" s="1693"/>
      <c r="K305" s="1698"/>
      <c r="L305" s="1781" t="s">
        <v>335</v>
      </c>
      <c r="M305" s="263"/>
      <c r="N305" s="256"/>
      <c r="O305" s="1544"/>
      <c r="P305" s="1544"/>
    </row>
    <row r="306" spans="1:16" s="1555" customFormat="1" ht="18.75" hidden="1" customHeight="1">
      <c r="A306" s="1700"/>
      <c r="B306" s="1700"/>
      <c r="C306" s="293" t="s">
        <v>1228</v>
      </c>
      <c r="D306" s="4054"/>
      <c r="E306" s="3862"/>
      <c r="F306" s="3997"/>
      <c r="G306" s="4025"/>
      <c r="H306" s="1415"/>
      <c r="I306" s="569" t="s">
        <v>1227</v>
      </c>
      <c r="J306" s="494"/>
      <c r="K306" s="1415"/>
      <c r="L306" s="131"/>
      <c r="M306" s="263"/>
      <c r="N306" s="256"/>
      <c r="O306" s="1544"/>
      <c r="P306" s="1544"/>
    </row>
    <row r="307" spans="1:16" s="1555" customFormat="1" ht="0.75" hidden="1" customHeight="1">
      <c r="A307" s="1700"/>
      <c r="B307" s="1700"/>
      <c r="C307" s="293" t="s">
        <v>1235</v>
      </c>
      <c r="D307" s="4054"/>
      <c r="E307" s="3862"/>
      <c r="F307" s="3997"/>
      <c r="G307" s="329"/>
      <c r="H307" s="1415"/>
      <c r="I307" s="569"/>
      <c r="J307" s="494"/>
      <c r="K307" s="1415"/>
      <c r="L307" s="131"/>
      <c r="M307" s="263"/>
      <c r="N307" s="256"/>
      <c r="O307" s="1544"/>
      <c r="P307" s="1544"/>
    </row>
    <row r="308" spans="1:16" s="1555" customFormat="1" ht="18.75" hidden="1" customHeight="1">
      <c r="A308" s="1700" t="s">
        <v>209</v>
      </c>
      <c r="B308" s="1700" t="s">
        <v>210</v>
      </c>
      <c r="C308" s="293"/>
      <c r="D308" s="4054"/>
      <c r="E308" s="3862"/>
      <c r="F308" s="3997" t="str">
        <f>INDEX(PT_DIFFERENTIATION_VTAR,MATCH(A308,PT_DIFFERENTIATION_VTAR_ID,0))</f>
        <v>Плата за услуги по поддержанию резервной тепловой мощности при отсутствии потребления тепловой энергии</v>
      </c>
      <c r="G308" s="4025" t="str">
        <f>INDEX(PT_DIFFERENTIATION_NTAR,MATCH(B308,PT_DIFFERENTIATION_NTAR_ID,0))</f>
        <v/>
      </c>
      <c r="H308" s="1781"/>
      <c r="I308" s="1658"/>
      <c r="J308" s="1693"/>
      <c r="K308" s="1698"/>
      <c r="L308" s="1781" t="s">
        <v>335</v>
      </c>
      <c r="M308" s="263"/>
      <c r="N308" s="256"/>
      <c r="O308" s="1544"/>
      <c r="P308" s="1544"/>
    </row>
    <row r="309" spans="1:16" s="1555" customFormat="1" ht="18.75" hidden="1" customHeight="1">
      <c r="A309" s="1700"/>
      <c r="B309" s="1700"/>
      <c r="C309" s="293" t="s">
        <v>1228</v>
      </c>
      <c r="D309" s="4054"/>
      <c r="E309" s="3862"/>
      <c r="F309" s="3997"/>
      <c r="G309" s="4025"/>
      <c r="H309" s="1415"/>
      <c r="I309" s="569" t="s">
        <v>1227</v>
      </c>
      <c r="J309" s="494"/>
      <c r="K309" s="1415"/>
      <c r="L309" s="131"/>
      <c r="M309" s="263"/>
      <c r="N309" s="256"/>
      <c r="O309" s="1544"/>
      <c r="P309" s="1544"/>
    </row>
    <row r="310" spans="1:16" s="1555" customFormat="1" ht="0.75" hidden="1" customHeight="1">
      <c r="A310" s="1700"/>
      <c r="B310" s="1700"/>
      <c r="C310" s="293" t="s">
        <v>1235</v>
      </c>
      <c r="D310" s="4054"/>
      <c r="E310" s="3862"/>
      <c r="F310" s="3997"/>
      <c r="G310" s="329"/>
      <c r="H310" s="1415"/>
      <c r="I310" s="569"/>
      <c r="J310" s="494"/>
      <c r="K310" s="1415"/>
      <c r="L310" s="131"/>
      <c r="M310" s="263"/>
      <c r="N310" s="256"/>
      <c r="O310" s="1544"/>
      <c r="P310" s="1544"/>
    </row>
    <row r="311" spans="1:16" s="1555" customFormat="1" ht="18.75" hidden="1" customHeight="1">
      <c r="A311" s="1700" t="s">
        <v>215</v>
      </c>
      <c r="B311" s="1700" t="s">
        <v>216</v>
      </c>
      <c r="C311" s="293"/>
      <c r="D311" s="4054"/>
      <c r="E311" s="3862"/>
      <c r="F311" s="3997" t="str">
        <f>INDEX(PT_DIFFERENTIATION_VTAR,MATCH(A311,PT_DIFFERENTIATION_VTAR_ID,0))</f>
        <v>Плата за подключение (технологическое присоединение) к системе теплоснабжения</v>
      </c>
      <c r="G311" s="4025" t="str">
        <f>INDEX(PT_DIFFERENTIATION_NTAR,MATCH(B311,PT_DIFFERENTIATION_NTAR_ID,0))</f>
        <v/>
      </c>
      <c r="H311" s="1781"/>
      <c r="I311" s="1658"/>
      <c r="J311" s="1693"/>
      <c r="K311" s="1698"/>
      <c r="L311" s="1781" t="s">
        <v>335</v>
      </c>
      <c r="M311" s="263"/>
      <c r="N311" s="256"/>
      <c r="O311" s="1544"/>
      <c r="P311" s="1544"/>
    </row>
    <row r="312" spans="1:16" s="1555" customFormat="1" ht="18.75" hidden="1" customHeight="1">
      <c r="A312" s="1700"/>
      <c r="B312" s="1700"/>
      <c r="C312" s="293" t="s">
        <v>1228</v>
      </c>
      <c r="D312" s="4054"/>
      <c r="E312" s="3862"/>
      <c r="F312" s="3997"/>
      <c r="G312" s="4025"/>
      <c r="H312" s="1415"/>
      <c r="I312" s="569" t="s">
        <v>1227</v>
      </c>
      <c r="J312" s="494"/>
      <c r="K312" s="1415"/>
      <c r="L312" s="131"/>
      <c r="M312" s="263"/>
      <c r="N312" s="256"/>
      <c r="O312" s="1544"/>
      <c r="P312" s="1544"/>
    </row>
    <row r="313" spans="1:16" s="1555" customFormat="1" ht="0.75" hidden="1" customHeight="1">
      <c r="A313" s="1700"/>
      <c r="B313" s="1700"/>
      <c r="C313" s="293" t="s">
        <v>1235</v>
      </c>
      <c r="D313" s="4054"/>
      <c r="E313" s="3862"/>
      <c r="F313" s="3997"/>
      <c r="G313" s="329"/>
      <c r="H313" s="1415"/>
      <c r="I313" s="569"/>
      <c r="J313" s="494"/>
      <c r="K313" s="1415"/>
      <c r="L313" s="131"/>
      <c r="M313" s="263"/>
      <c r="N313" s="256"/>
      <c r="O313" s="1544"/>
      <c r="P313" s="1544"/>
    </row>
    <row r="314" spans="1:16" s="1555" customFormat="1" ht="18.75" hidden="1" customHeight="1">
      <c r="A314" s="1700" t="s">
        <v>229</v>
      </c>
      <c r="B314" s="1700" t="s">
        <v>230</v>
      </c>
      <c r="C314" s="293"/>
      <c r="D314" s="4054"/>
      <c r="E314" s="3862"/>
      <c r="F314" s="3997" t="str">
        <f>INDEX(PT_DIFFERENTIATION_VTAR,MATCH(A314,PT_DIFFERENTIATION_VTAR_ID,0))</f>
        <v>Тариф на питьевую воду (питьевое водоснабжение)</v>
      </c>
      <c r="G314" s="4025" t="str">
        <f>INDEX(PT_DIFFERENTIATION_NTAR,MATCH(B314,PT_DIFFERENTIATION_NTAR_ID,0))</f>
        <v/>
      </c>
      <c r="H314" s="1781"/>
      <c r="I314" s="1658"/>
      <c r="J314" s="1693"/>
      <c r="K314" s="1698"/>
      <c r="L314" s="1781" t="s">
        <v>335</v>
      </c>
      <c r="M314" s="263"/>
      <c r="N314" s="256"/>
      <c r="O314" s="1544"/>
      <c r="P314" s="1544"/>
    </row>
    <row r="315" spans="1:16" s="1555" customFormat="1" ht="18.75" hidden="1" customHeight="1">
      <c r="A315" s="1700"/>
      <c r="B315" s="1700"/>
      <c r="C315" s="293" t="s">
        <v>1228</v>
      </c>
      <c r="D315" s="4054"/>
      <c r="E315" s="3862"/>
      <c r="F315" s="3997"/>
      <c r="G315" s="4025"/>
      <c r="H315" s="1415"/>
      <c r="I315" s="569" t="s">
        <v>1227</v>
      </c>
      <c r="J315" s="494"/>
      <c r="K315" s="1415"/>
      <c r="L315" s="131"/>
      <c r="M315" s="263"/>
      <c r="N315" s="256"/>
      <c r="O315" s="1544"/>
      <c r="P315" s="1544"/>
    </row>
    <row r="316" spans="1:16" s="1555" customFormat="1" ht="0.75" hidden="1" customHeight="1">
      <c r="A316" s="1700"/>
      <c r="B316" s="1700"/>
      <c r="C316" s="293" t="s">
        <v>1235</v>
      </c>
      <c r="D316" s="4054"/>
      <c r="E316" s="3862"/>
      <c r="F316" s="3997"/>
      <c r="G316" s="329"/>
      <c r="H316" s="1415"/>
      <c r="I316" s="569"/>
      <c r="J316" s="494"/>
      <c r="K316" s="1415"/>
      <c r="L316" s="131"/>
      <c r="M316" s="263"/>
      <c r="N316" s="256"/>
      <c r="O316" s="1544"/>
      <c r="P316" s="1544"/>
    </row>
    <row r="317" spans="1:16" s="1555" customFormat="1" ht="18.75" hidden="1" customHeight="1">
      <c r="A317" s="1700" t="s">
        <v>236</v>
      </c>
      <c r="B317" s="1700" t="s">
        <v>237</v>
      </c>
      <c r="C317" s="293"/>
      <c r="D317" s="4054"/>
      <c r="E317" s="3862"/>
      <c r="F317" s="3997" t="str">
        <f>INDEX(PT_DIFFERENTIATION_VTAR,MATCH(A317,PT_DIFFERENTIATION_VTAR_ID,0))</f>
        <v>Тариф на техническую воду</v>
      </c>
      <c r="G317" s="4025" t="str">
        <f>INDEX(PT_DIFFERENTIATION_NTAR,MATCH(B317,PT_DIFFERENTIATION_NTAR_ID,0))</f>
        <v>Тариф на техническую воду для потребителей, присоединенных к централизованной системе технического водоснабжения города Буденновска Буденновского муниципального округа</v>
      </c>
      <c r="H317" s="1781"/>
      <c r="I317" s="1658"/>
      <c r="J317" s="1693"/>
      <c r="K317" s="1698"/>
      <c r="L317" s="1781" t="s">
        <v>335</v>
      </c>
      <c r="M317" s="263"/>
      <c r="N317" s="256"/>
      <c r="O317" s="1544"/>
      <c r="P317" s="1544"/>
    </row>
    <row r="318" spans="1:16" s="1555" customFormat="1" ht="18.75" hidden="1" customHeight="1">
      <c r="A318" s="1700"/>
      <c r="B318" s="1700"/>
      <c r="C318" s="293" t="s">
        <v>1228</v>
      </c>
      <c r="D318" s="4054"/>
      <c r="E318" s="3862"/>
      <c r="F318" s="3997"/>
      <c r="G318" s="4025"/>
      <c r="H318" s="1415"/>
      <c r="I318" s="569" t="s">
        <v>1227</v>
      </c>
      <c r="J318" s="494"/>
      <c r="K318" s="1415"/>
      <c r="L318" s="131"/>
      <c r="M318" s="263"/>
      <c r="N318" s="256"/>
      <c r="O318" s="1544"/>
      <c r="P318" s="1544"/>
    </row>
    <row r="319" spans="1:16" s="1555" customFormat="1" ht="18.75" customHeight="1">
      <c r="A319" s="1742" t="s">
        <v>236</v>
      </c>
      <c r="B319" s="1742" t="s">
        <v>243</v>
      </c>
      <c r="C319" s="1607"/>
      <c r="D319" s="4055"/>
      <c r="E319" s="4056"/>
      <c r="F319" s="4056"/>
      <c r="G319" s="4025" t="str">
        <f>INDEX(PT_DIFFERENTIATION_NTAR,MATCH(B319,PT_DIFFERENTIATION_NTAR_ID,0))</f>
        <v>Тариф на техническую воду для потребителей, присоединенных к централизованной системе технического водоснабжения Изобильненского муниципального округа</v>
      </c>
      <c r="H319" s="1811"/>
      <c r="I319" s="1658"/>
      <c r="J319" s="1693"/>
      <c r="K319" s="1698"/>
      <c r="L319" s="1811" t="s">
        <v>335</v>
      </c>
      <c r="M319" s="1794"/>
      <c r="N319" s="537"/>
      <c r="O319" s="1544"/>
      <c r="P319" s="1544"/>
    </row>
    <row r="320" spans="1:16" s="1555" customFormat="1" ht="18.75" customHeight="1">
      <c r="A320" s="1742"/>
      <c r="B320" s="1742"/>
      <c r="C320" s="1607" t="s">
        <v>1228</v>
      </c>
      <c r="D320" s="4055"/>
      <c r="E320" s="4056"/>
      <c r="F320" s="4056"/>
      <c r="G320" s="4025"/>
      <c r="H320" s="3709"/>
      <c r="I320" s="3710" t="s">
        <v>1227</v>
      </c>
      <c r="J320" s="3711"/>
      <c r="K320" s="3712"/>
      <c r="L320" s="3713"/>
      <c r="M320" s="1794"/>
      <c r="N320" s="537"/>
      <c r="O320" s="1544"/>
      <c r="P320" s="1544"/>
    </row>
    <row r="321" spans="1:16" s="1555" customFormat="1" ht="18.75" customHeight="1">
      <c r="A321" s="1742" t="s">
        <v>236</v>
      </c>
      <c r="B321" s="1742" t="s">
        <v>248</v>
      </c>
      <c r="C321" s="1607"/>
      <c r="D321" s="4055"/>
      <c r="E321" s="4056"/>
      <c r="F321" s="4056"/>
      <c r="G321" s="4025" t="str">
        <f>INDEX(PT_DIFFERENTIATION_NTAR,MATCH(B321,PT_DIFFERENTIATION_NTAR_ID,0))</f>
        <v>Тариф на техническую воду для потребителей, присоединенных к централизованной системе технического водоснабжения хутора Привольного Курского муниципального округа</v>
      </c>
      <c r="H321" s="1811"/>
      <c r="I321" s="1658"/>
      <c r="J321" s="1693"/>
      <c r="K321" s="1698"/>
      <c r="L321" s="1811" t="s">
        <v>335</v>
      </c>
      <c r="M321" s="1794"/>
      <c r="N321" s="537"/>
      <c r="O321" s="1544"/>
      <c r="P321" s="1544"/>
    </row>
    <row r="322" spans="1:16" s="1555" customFormat="1" ht="18.75" customHeight="1">
      <c r="A322" s="1742"/>
      <c r="B322" s="1742"/>
      <c r="C322" s="1607" t="s">
        <v>1228</v>
      </c>
      <c r="D322" s="4055"/>
      <c r="E322" s="4056"/>
      <c r="F322" s="4056"/>
      <c r="G322" s="4025"/>
      <c r="H322" s="3714"/>
      <c r="I322" s="3715" t="s">
        <v>1227</v>
      </c>
      <c r="J322" s="3716"/>
      <c r="K322" s="3717"/>
      <c r="L322" s="3718"/>
      <c r="M322" s="1794"/>
      <c r="N322" s="537"/>
      <c r="O322" s="1544"/>
      <c r="P322" s="1544"/>
    </row>
    <row r="323" spans="1:16" s="1555" customFormat="1" ht="18.75" customHeight="1">
      <c r="A323" s="1742" t="s">
        <v>236</v>
      </c>
      <c r="B323" s="1742" t="s">
        <v>253</v>
      </c>
      <c r="C323" s="1607"/>
      <c r="D323" s="4055"/>
      <c r="E323" s="4056"/>
      <c r="F323" s="4056"/>
      <c r="G323" s="4025" t="str">
        <f>INDEX(PT_DIFFERENTIATION_NTAR,MATCH(B323,PT_DIFFERENTIATION_NTAR_ID,0))</f>
        <v>Тариф на техническую воду для потребителей, присоединенных к централизованной системе технического водоснабжения села Левокумского Левокумского муниципального округа</v>
      </c>
      <c r="H323" s="1811"/>
      <c r="I323" s="1658"/>
      <c r="J323" s="1693"/>
      <c r="K323" s="1698"/>
      <c r="L323" s="1811" t="s">
        <v>335</v>
      </c>
      <c r="M323" s="1794"/>
      <c r="N323" s="537"/>
      <c r="O323" s="1544"/>
      <c r="P323" s="1544"/>
    </row>
    <row r="324" spans="1:16" s="1555" customFormat="1" ht="18.75" customHeight="1">
      <c r="A324" s="1742"/>
      <c r="B324" s="1742"/>
      <c r="C324" s="1607" t="s">
        <v>1228</v>
      </c>
      <c r="D324" s="4055"/>
      <c r="E324" s="4056"/>
      <c r="F324" s="4056"/>
      <c r="G324" s="4025"/>
      <c r="H324" s="3719"/>
      <c r="I324" s="3720" t="s">
        <v>1227</v>
      </c>
      <c r="J324" s="3721"/>
      <c r="K324" s="3722"/>
      <c r="L324" s="3723"/>
      <c r="M324" s="1794"/>
      <c r="N324" s="537"/>
      <c r="O324" s="1544"/>
      <c r="P324" s="1544"/>
    </row>
    <row r="325" spans="1:16" s="1555" customFormat="1" ht="18.75" customHeight="1">
      <c r="A325" s="1742" t="s">
        <v>236</v>
      </c>
      <c r="B325" s="1742" t="s">
        <v>258</v>
      </c>
      <c r="C325" s="1607"/>
      <c r="D325" s="4055"/>
      <c r="E325" s="4056"/>
      <c r="F325" s="4056"/>
      <c r="G325" s="4025" t="str">
        <f>INDEX(PT_DIFFERENTIATION_NTAR,MATCH(B325,PT_DIFFERENTIATION_NTAR_ID,0))</f>
        <v>Тариф на техническую воду для потребителей, присоединенных к централизованной системе технического водоснабжения города Нефтекумска Нефтекумского муниципального округа</v>
      </c>
      <c r="H325" s="1811"/>
      <c r="I325" s="1658"/>
      <c r="J325" s="1693"/>
      <c r="K325" s="1698"/>
      <c r="L325" s="1811" t="s">
        <v>335</v>
      </c>
      <c r="M325" s="1794"/>
      <c r="N325" s="537"/>
      <c r="O325" s="1544"/>
      <c r="P325" s="1544"/>
    </row>
    <row r="326" spans="1:16" s="1555" customFormat="1" ht="18.75" customHeight="1">
      <c r="A326" s="1742"/>
      <c r="B326" s="1742"/>
      <c r="C326" s="1607" t="s">
        <v>1228</v>
      </c>
      <c r="D326" s="4055"/>
      <c r="E326" s="4056"/>
      <c r="F326" s="4056"/>
      <c r="G326" s="4025"/>
      <c r="H326" s="3724"/>
      <c r="I326" s="3725" t="s">
        <v>1227</v>
      </c>
      <c r="J326" s="3726"/>
      <c r="K326" s="3727"/>
      <c r="L326" s="3728"/>
      <c r="M326" s="1794"/>
      <c r="N326" s="537"/>
      <c r="O326" s="1544"/>
      <c r="P326" s="1544"/>
    </row>
    <row r="327" spans="1:16" s="1555" customFormat="1" ht="0.75" hidden="1" customHeight="1">
      <c r="A327" s="1700"/>
      <c r="B327" s="1700"/>
      <c r="C327" s="293" t="s">
        <v>1235</v>
      </c>
      <c r="D327" s="4054"/>
      <c r="E327" s="3862"/>
      <c r="F327" s="3997"/>
      <c r="G327" s="329"/>
      <c r="H327" s="1415"/>
      <c r="I327" s="569"/>
      <c r="J327" s="494"/>
      <c r="K327" s="1415"/>
      <c r="L327" s="131"/>
      <c r="M327" s="263"/>
      <c r="N327" s="256"/>
      <c r="O327" s="1544"/>
      <c r="P327" s="1544"/>
    </row>
    <row r="328" spans="1:16" s="1555" customFormat="1" ht="18.75" hidden="1" customHeight="1">
      <c r="A328" s="1700" t="s">
        <v>264</v>
      </c>
      <c r="B328" s="1700" t="s">
        <v>265</v>
      </c>
      <c r="C328" s="293"/>
      <c r="D328" s="4054"/>
      <c r="E328" s="3862"/>
      <c r="F328" s="3997" t="str">
        <f>INDEX(PT_DIFFERENTIATION_VTAR,MATCH(A328,PT_DIFFERENTIATION_VTAR_ID,0))</f>
        <v>Тариф на транспортировку воды</v>
      </c>
      <c r="G328" s="4025" t="str">
        <f>INDEX(PT_DIFFERENTIATION_NTAR,MATCH(B328,PT_DIFFERENTIATION_NTAR_ID,0))</f>
        <v/>
      </c>
      <c r="H328" s="1781"/>
      <c r="I328" s="1658"/>
      <c r="J328" s="1693"/>
      <c r="K328" s="1698"/>
      <c r="L328" s="1781" t="s">
        <v>335</v>
      </c>
      <c r="M328" s="263"/>
      <c r="N328" s="256"/>
      <c r="O328" s="1544"/>
      <c r="P328" s="1544"/>
    </row>
    <row r="329" spans="1:16" s="1555" customFormat="1" ht="18.75" hidden="1" customHeight="1">
      <c r="A329" s="1700"/>
      <c r="B329" s="1700"/>
      <c r="C329" s="293" t="s">
        <v>1228</v>
      </c>
      <c r="D329" s="4054"/>
      <c r="E329" s="3862"/>
      <c r="F329" s="3997"/>
      <c r="G329" s="4025"/>
      <c r="H329" s="1415"/>
      <c r="I329" s="569" t="s">
        <v>1227</v>
      </c>
      <c r="J329" s="494"/>
      <c r="K329" s="1415"/>
      <c r="L329" s="131"/>
      <c r="M329" s="263"/>
      <c r="N329" s="256"/>
      <c r="O329" s="1544"/>
      <c r="P329" s="1544"/>
    </row>
    <row r="330" spans="1:16" s="1555" customFormat="1" ht="0.75" hidden="1" customHeight="1">
      <c r="A330" s="1700"/>
      <c r="B330" s="1700"/>
      <c r="C330" s="293" t="s">
        <v>1235</v>
      </c>
      <c r="D330" s="4054"/>
      <c r="E330" s="3862"/>
      <c r="F330" s="3997"/>
      <c r="G330" s="329"/>
      <c r="H330" s="1415"/>
      <c r="I330" s="569"/>
      <c r="J330" s="494"/>
      <c r="K330" s="1415"/>
      <c r="L330" s="131"/>
      <c r="M330" s="263"/>
      <c r="N330" s="256"/>
      <c r="O330" s="1544"/>
      <c r="P330" s="1544"/>
    </row>
    <row r="331" spans="1:16" s="1555" customFormat="1" ht="18.75" hidden="1" customHeight="1">
      <c r="A331" s="1700" t="s">
        <v>269</v>
      </c>
      <c r="B331" s="1700" t="s">
        <v>270</v>
      </c>
      <c r="C331" s="293"/>
      <c r="D331" s="4054"/>
      <c r="E331" s="3862"/>
      <c r="F331" s="3997" t="str">
        <f>INDEX(PT_DIFFERENTIATION_VTAR,MATCH(A331,PT_DIFFERENTIATION_VTAR_ID,0))</f>
        <v>Тариф на подвоз воды</v>
      </c>
      <c r="G331" s="4025" t="str">
        <f>INDEX(PT_DIFFERENTIATION_NTAR,MATCH(B331,PT_DIFFERENTIATION_NTAR_ID,0))</f>
        <v/>
      </c>
      <c r="H331" s="1781"/>
      <c r="I331" s="1658"/>
      <c r="J331" s="1693"/>
      <c r="K331" s="1698"/>
      <c r="L331" s="1781" t="s">
        <v>335</v>
      </c>
      <c r="M331" s="263"/>
      <c r="N331" s="256"/>
      <c r="O331" s="1544"/>
      <c r="P331" s="1544"/>
    </row>
    <row r="332" spans="1:16" s="1555" customFormat="1" ht="18.75" hidden="1" customHeight="1">
      <c r="A332" s="1700"/>
      <c r="B332" s="1700"/>
      <c r="C332" s="293" t="s">
        <v>1228</v>
      </c>
      <c r="D332" s="4054"/>
      <c r="E332" s="3862"/>
      <c r="F332" s="3997"/>
      <c r="G332" s="4025"/>
      <c r="H332" s="1415"/>
      <c r="I332" s="569" t="s">
        <v>1227</v>
      </c>
      <c r="J332" s="494"/>
      <c r="K332" s="1415"/>
      <c r="L332" s="131"/>
      <c r="M332" s="263"/>
      <c r="N332" s="256"/>
      <c r="O332" s="1544"/>
      <c r="P332" s="1544"/>
    </row>
    <row r="333" spans="1:16" s="1555" customFormat="1" ht="0.75" hidden="1" customHeight="1">
      <c r="A333" s="1700"/>
      <c r="B333" s="1700"/>
      <c r="C333" s="293" t="s">
        <v>1235</v>
      </c>
      <c r="D333" s="4054"/>
      <c r="E333" s="3862"/>
      <c r="F333" s="3997"/>
      <c r="G333" s="329"/>
      <c r="H333" s="1415"/>
      <c r="I333" s="569"/>
      <c r="J333" s="494"/>
      <c r="K333" s="1415"/>
      <c r="L333" s="131"/>
      <c r="M333" s="263"/>
      <c r="N333" s="256"/>
      <c r="O333" s="1544"/>
      <c r="P333" s="1544"/>
    </row>
    <row r="334" spans="1:16" s="1555" customFormat="1" ht="18.75" hidden="1" customHeight="1">
      <c r="A334" s="1700" t="s">
        <v>274</v>
      </c>
      <c r="B334" s="1700" t="s">
        <v>275</v>
      </c>
      <c r="C334" s="293"/>
      <c r="D334" s="4054"/>
      <c r="E334" s="3862"/>
      <c r="F334" s="3997" t="str">
        <f>INDEX(PT_DIFFERENTIATION_VTAR,MATCH(A334,PT_DIFFERENTIATION_VTAR_ID,0))</f>
        <v>Тариф на подключение (технологическое присоединение) к централизованной системе холодного водоснабжения</v>
      </c>
      <c r="G334" s="4025" t="str">
        <f>INDEX(PT_DIFFERENTIATION_NTAR,MATCH(B334,PT_DIFFERENTIATION_NTAR_ID,0))</f>
        <v/>
      </c>
      <c r="H334" s="1781"/>
      <c r="I334" s="1658"/>
      <c r="J334" s="1693"/>
      <c r="K334" s="1698"/>
      <c r="L334" s="1781" t="s">
        <v>335</v>
      </c>
      <c r="M334" s="263"/>
      <c r="N334" s="256"/>
      <c r="O334" s="1544"/>
      <c r="P334" s="1544"/>
    </row>
    <row r="335" spans="1:16" s="1555" customFormat="1" ht="18.75" hidden="1" customHeight="1">
      <c r="A335" s="1700"/>
      <c r="B335" s="1700"/>
      <c r="C335" s="293" t="s">
        <v>1228</v>
      </c>
      <c r="D335" s="4054"/>
      <c r="E335" s="3862"/>
      <c r="F335" s="3997"/>
      <c r="G335" s="4025"/>
      <c r="H335" s="1415"/>
      <c r="I335" s="569" t="s">
        <v>1227</v>
      </c>
      <c r="J335" s="494"/>
      <c r="K335" s="1415"/>
      <c r="L335" s="131"/>
      <c r="M335" s="263"/>
      <c r="N335" s="256"/>
      <c r="O335" s="1544"/>
      <c r="P335" s="1544"/>
    </row>
    <row r="336" spans="1:16" s="1555" customFormat="1" ht="0.75" hidden="1" customHeight="1">
      <c r="A336" s="1700"/>
      <c r="B336" s="1700"/>
      <c r="C336" s="293" t="s">
        <v>1235</v>
      </c>
      <c r="D336" s="4054"/>
      <c r="E336" s="3862"/>
      <c r="F336" s="3997"/>
      <c r="G336" s="329"/>
      <c r="H336" s="1415"/>
      <c r="I336" s="569"/>
      <c r="J336" s="494"/>
      <c r="K336" s="1415"/>
      <c r="L336" s="131"/>
      <c r="M336" s="263"/>
      <c r="N336" s="256"/>
      <c r="O336" s="1544"/>
      <c r="P336" s="1544"/>
    </row>
    <row r="337" spans="1:16" s="1555" customFormat="1" ht="18.75" hidden="1" customHeight="1">
      <c r="A337" s="1700" t="s">
        <v>279</v>
      </c>
      <c r="B337" s="1700" t="s">
        <v>280</v>
      </c>
      <c r="C337" s="293"/>
      <c r="D337" s="4054"/>
      <c r="E337" s="3862"/>
      <c r="F337" s="3997" t="str">
        <f>INDEX(PT_DIFFERENTIATION_VTAR,MATCH(A337,PT_DIFFERENTIATION_VTAR_ID,0))</f>
        <v>Тариф на горячую воду (горячее водоснабжение)</v>
      </c>
      <c r="G337" s="4025" t="str">
        <f>INDEX(PT_DIFFERENTIATION_NTAR,MATCH(B337,PT_DIFFERENTIATION_NTAR_ID,0))</f>
        <v/>
      </c>
      <c r="H337" s="1781"/>
      <c r="I337" s="1658"/>
      <c r="J337" s="1693"/>
      <c r="K337" s="1698"/>
      <c r="L337" s="1781" t="s">
        <v>335</v>
      </c>
      <c r="M337" s="263"/>
      <c r="N337" s="256"/>
      <c r="O337" s="1544"/>
      <c r="P337" s="1544"/>
    </row>
    <row r="338" spans="1:16" s="1555" customFormat="1" ht="18.75" hidden="1" customHeight="1">
      <c r="A338" s="1700"/>
      <c r="B338" s="1700"/>
      <c r="C338" s="293" t="s">
        <v>1228</v>
      </c>
      <c r="D338" s="4054"/>
      <c r="E338" s="3862"/>
      <c r="F338" s="3997"/>
      <c r="G338" s="4025"/>
      <c r="H338" s="1415"/>
      <c r="I338" s="569" t="s">
        <v>1227</v>
      </c>
      <c r="J338" s="494"/>
      <c r="K338" s="1415"/>
      <c r="L338" s="131"/>
      <c r="M338" s="263"/>
      <c r="N338" s="256"/>
      <c r="O338" s="1544"/>
      <c r="P338" s="1544"/>
    </row>
    <row r="339" spans="1:16" s="1555" customFormat="1" ht="0.75" hidden="1" customHeight="1">
      <c r="A339" s="1700"/>
      <c r="B339" s="1700"/>
      <c r="C339" s="293" t="s">
        <v>1235</v>
      </c>
      <c r="D339" s="4054"/>
      <c r="E339" s="3862"/>
      <c r="F339" s="3997"/>
      <c r="G339" s="329"/>
      <c r="H339" s="1415"/>
      <c r="I339" s="569"/>
      <c r="J339" s="494"/>
      <c r="K339" s="1415"/>
      <c r="L339" s="131"/>
      <c r="M339" s="263"/>
      <c r="N339" s="256"/>
      <c r="O339" s="1544"/>
      <c r="P339" s="1544"/>
    </row>
    <row r="340" spans="1:16" s="1555" customFormat="1" ht="18.75" hidden="1" customHeight="1">
      <c r="A340" s="1700" t="s">
        <v>284</v>
      </c>
      <c r="B340" s="1700" t="s">
        <v>285</v>
      </c>
      <c r="C340" s="293"/>
      <c r="D340" s="4054"/>
      <c r="E340" s="3862"/>
      <c r="F340" s="3997" t="str">
        <f>INDEX(PT_DIFFERENTIATION_VTAR,MATCH(A340,PT_DIFFERENTIATION_VTAR_ID,0))</f>
        <v>Тариф на транспортировку горячей воды</v>
      </c>
      <c r="G340" s="4025" t="str">
        <f>INDEX(PT_DIFFERENTIATION_NTAR,MATCH(B340,PT_DIFFERENTIATION_NTAR_ID,0))</f>
        <v/>
      </c>
      <c r="H340" s="1781"/>
      <c r="I340" s="1658"/>
      <c r="J340" s="1693"/>
      <c r="K340" s="1698"/>
      <c r="L340" s="1781" t="s">
        <v>335</v>
      </c>
      <c r="M340" s="263"/>
      <c r="N340" s="256"/>
      <c r="O340" s="1544"/>
      <c r="P340" s="1544"/>
    </row>
    <row r="341" spans="1:16" s="1555" customFormat="1" ht="18.75" hidden="1" customHeight="1">
      <c r="A341" s="1700"/>
      <c r="B341" s="1700"/>
      <c r="C341" s="293" t="s">
        <v>1228</v>
      </c>
      <c r="D341" s="4054"/>
      <c r="E341" s="3862"/>
      <c r="F341" s="3997"/>
      <c r="G341" s="4025"/>
      <c r="H341" s="1415"/>
      <c r="I341" s="569" t="s">
        <v>1227</v>
      </c>
      <c r="J341" s="494"/>
      <c r="K341" s="1415"/>
      <c r="L341" s="131"/>
      <c r="M341" s="263"/>
      <c r="N341" s="256"/>
      <c r="O341" s="1544"/>
      <c r="P341" s="1544"/>
    </row>
    <row r="342" spans="1:16" s="1555" customFormat="1" ht="0.75" hidden="1" customHeight="1">
      <c r="A342" s="1700"/>
      <c r="B342" s="1700"/>
      <c r="C342" s="293" t="s">
        <v>1235</v>
      </c>
      <c r="D342" s="4054"/>
      <c r="E342" s="3862"/>
      <c r="F342" s="3997"/>
      <c r="G342" s="329"/>
      <c r="H342" s="1415"/>
      <c r="I342" s="569"/>
      <c r="J342" s="494"/>
      <c r="K342" s="1415"/>
      <c r="L342" s="131"/>
      <c r="M342" s="263"/>
      <c r="N342" s="256"/>
      <c r="O342" s="1544"/>
      <c r="P342" s="1544"/>
    </row>
    <row r="343" spans="1:16" s="1555" customFormat="1" ht="18.75" hidden="1" customHeight="1">
      <c r="A343" s="1700" t="s">
        <v>289</v>
      </c>
      <c r="B343" s="1700" t="s">
        <v>290</v>
      </c>
      <c r="C343" s="293"/>
      <c r="D343" s="4054"/>
      <c r="E343" s="3862"/>
      <c r="F343" s="3997" t="str">
        <f>INDEX(PT_DIFFERENTIATION_VTAR,MATCH(A343,PT_DIFFERENTIATION_VTAR_ID,0))</f>
        <v>Тариф на подключение (технологическое присоединение) к централизованной системе горячего водоснабжения</v>
      </c>
      <c r="G343" s="4025" t="str">
        <f>INDEX(PT_DIFFERENTIATION_NTAR,MATCH(B343,PT_DIFFERENTIATION_NTAR_ID,0))</f>
        <v/>
      </c>
      <c r="H343" s="1781"/>
      <c r="I343" s="1658"/>
      <c r="J343" s="1693"/>
      <c r="K343" s="1698"/>
      <c r="L343" s="1781" t="s">
        <v>335</v>
      </c>
      <c r="M343" s="263"/>
      <c r="N343" s="256"/>
      <c r="O343" s="1544"/>
      <c r="P343" s="1544"/>
    </row>
    <row r="344" spans="1:16" s="1555" customFormat="1" ht="18.75" hidden="1" customHeight="1">
      <c r="A344" s="1700"/>
      <c r="B344" s="1700"/>
      <c r="C344" s="293" t="s">
        <v>1228</v>
      </c>
      <c r="D344" s="4054"/>
      <c r="E344" s="3862"/>
      <c r="F344" s="3997"/>
      <c r="G344" s="4025"/>
      <c r="H344" s="1415"/>
      <c r="I344" s="569" t="s">
        <v>1227</v>
      </c>
      <c r="J344" s="494"/>
      <c r="K344" s="1415"/>
      <c r="L344" s="131"/>
      <c r="M344" s="263"/>
      <c r="N344" s="256"/>
      <c r="O344" s="1544"/>
      <c r="P344" s="1544"/>
    </row>
    <row r="345" spans="1:16" s="1555" customFormat="1" ht="0.75" hidden="1" customHeight="1">
      <c r="A345" s="1700"/>
      <c r="B345" s="1700"/>
      <c r="C345" s="293" t="s">
        <v>1235</v>
      </c>
      <c r="D345" s="4054"/>
      <c r="E345" s="3862"/>
      <c r="F345" s="3997"/>
      <c r="G345" s="329"/>
      <c r="H345" s="1415"/>
      <c r="I345" s="569"/>
      <c r="J345" s="494"/>
      <c r="K345" s="1415"/>
      <c r="L345" s="131"/>
      <c r="M345" s="263"/>
      <c r="N345" s="256"/>
      <c r="O345" s="1544"/>
      <c r="P345" s="1544"/>
    </row>
    <row r="346" spans="1:16" s="1555" customFormat="1" ht="18.75" hidden="1" customHeight="1">
      <c r="A346" s="1700" t="s">
        <v>294</v>
      </c>
      <c r="B346" s="1700" t="s">
        <v>295</v>
      </c>
      <c r="C346" s="293"/>
      <c r="D346" s="4054"/>
      <c r="E346" s="3862"/>
      <c r="F346" s="3997" t="str">
        <f>INDEX(PT_DIFFERENTIATION_VTAR,MATCH(A346,PT_DIFFERENTIATION_VTAR_ID,0))</f>
        <v>Тариф на водоотведение</v>
      </c>
      <c r="G346" s="4025" t="str">
        <f>INDEX(PT_DIFFERENTIATION_NTAR,MATCH(B346,PT_DIFFERENTIATION_NTAR_ID,0))</f>
        <v/>
      </c>
      <c r="H346" s="1781"/>
      <c r="I346" s="1658"/>
      <c r="J346" s="1693"/>
      <c r="K346" s="1698"/>
      <c r="L346" s="1781" t="s">
        <v>335</v>
      </c>
      <c r="M346" s="263"/>
      <c r="N346" s="256"/>
      <c r="O346" s="1544"/>
      <c r="P346" s="1544"/>
    </row>
    <row r="347" spans="1:16" s="1555" customFormat="1" ht="18.75" hidden="1" customHeight="1">
      <c r="A347" s="1700"/>
      <c r="B347" s="1700"/>
      <c r="C347" s="293" t="s">
        <v>1228</v>
      </c>
      <c r="D347" s="4054"/>
      <c r="E347" s="3862"/>
      <c r="F347" s="3997"/>
      <c r="G347" s="4025"/>
      <c r="H347" s="1415"/>
      <c r="I347" s="569" t="s">
        <v>1227</v>
      </c>
      <c r="J347" s="494"/>
      <c r="K347" s="1415"/>
      <c r="L347" s="131"/>
      <c r="M347" s="263"/>
      <c r="N347" s="256"/>
      <c r="O347" s="1544"/>
      <c r="P347" s="1544"/>
    </row>
    <row r="348" spans="1:16" s="1555" customFormat="1" ht="0.75" hidden="1" customHeight="1">
      <c r="A348" s="1700"/>
      <c r="B348" s="1700"/>
      <c r="C348" s="293" t="s">
        <v>1235</v>
      </c>
      <c r="D348" s="4054"/>
      <c r="E348" s="3862"/>
      <c r="F348" s="3997"/>
      <c r="G348" s="329"/>
      <c r="H348" s="1415"/>
      <c r="I348" s="569"/>
      <c r="J348" s="494"/>
      <c r="K348" s="1415"/>
      <c r="L348" s="131"/>
      <c r="M348" s="263"/>
      <c r="N348" s="256"/>
      <c r="O348" s="1544"/>
      <c r="P348" s="1544"/>
    </row>
    <row r="349" spans="1:16" s="1555" customFormat="1" ht="18.75" hidden="1" customHeight="1">
      <c r="A349" s="1700" t="s">
        <v>299</v>
      </c>
      <c r="B349" s="1700" t="s">
        <v>300</v>
      </c>
      <c r="C349" s="293"/>
      <c r="D349" s="4054"/>
      <c r="E349" s="3862"/>
      <c r="F349" s="3997" t="str">
        <f>INDEX(PT_DIFFERENTIATION_VTAR,MATCH(A349,PT_DIFFERENTIATION_VTAR_ID,0))</f>
        <v>Тариф на транспортировку сточных вод</v>
      </c>
      <c r="G349" s="4025" t="str">
        <f>INDEX(PT_DIFFERENTIATION_NTAR,MATCH(B349,PT_DIFFERENTIATION_NTAR_ID,0))</f>
        <v/>
      </c>
      <c r="H349" s="1781"/>
      <c r="I349" s="1658"/>
      <c r="J349" s="1693"/>
      <c r="K349" s="1698"/>
      <c r="L349" s="1781" t="s">
        <v>335</v>
      </c>
      <c r="M349" s="263"/>
      <c r="N349" s="256"/>
      <c r="O349" s="1544"/>
      <c r="P349" s="1544"/>
    </row>
    <row r="350" spans="1:16" s="1555" customFormat="1" ht="18.75" hidden="1" customHeight="1">
      <c r="A350" s="1700"/>
      <c r="B350" s="1700"/>
      <c r="C350" s="293" t="s">
        <v>1228</v>
      </c>
      <c r="D350" s="4054"/>
      <c r="E350" s="3862"/>
      <c r="F350" s="3997"/>
      <c r="G350" s="4025"/>
      <c r="H350" s="1415"/>
      <c r="I350" s="569" t="s">
        <v>1227</v>
      </c>
      <c r="J350" s="494"/>
      <c r="K350" s="1415"/>
      <c r="L350" s="131"/>
      <c r="M350" s="263"/>
      <c r="N350" s="256"/>
      <c r="O350" s="1544"/>
      <c r="P350" s="1544"/>
    </row>
    <row r="351" spans="1:16" s="1555" customFormat="1" ht="0.75" hidden="1" customHeight="1">
      <c r="A351" s="1700"/>
      <c r="B351" s="1700"/>
      <c r="C351" s="293" t="s">
        <v>1235</v>
      </c>
      <c r="D351" s="4054"/>
      <c r="E351" s="3862"/>
      <c r="F351" s="3997"/>
      <c r="G351" s="329"/>
      <c r="H351" s="1415"/>
      <c r="I351" s="569"/>
      <c r="J351" s="494"/>
      <c r="K351" s="1415"/>
      <c r="L351" s="131"/>
      <c r="M351" s="263"/>
      <c r="N351" s="256"/>
      <c r="O351" s="1544"/>
      <c r="P351" s="1544"/>
    </row>
    <row r="352" spans="1:16" s="1555" customFormat="1" ht="18.75" hidden="1" customHeight="1">
      <c r="A352" s="1700" t="s">
        <v>304</v>
      </c>
      <c r="B352" s="1700" t="s">
        <v>305</v>
      </c>
      <c r="C352" s="293"/>
      <c r="D352" s="4054"/>
      <c r="E352" s="3862"/>
      <c r="F352" s="3997" t="str">
        <f>INDEX(PT_DIFFERENTIATION_VTAR,MATCH(A352,PT_DIFFERENTIATION_VTAR_ID,0))</f>
        <v>Тариф на подключение (технологическое присоединение) к централизованной системе водоотведения</v>
      </c>
      <c r="G352" s="4025" t="str">
        <f>INDEX(PT_DIFFERENTIATION_NTAR,MATCH(B352,PT_DIFFERENTIATION_NTAR_ID,0))</f>
        <v/>
      </c>
      <c r="H352" s="1781"/>
      <c r="I352" s="1658"/>
      <c r="J352" s="1693"/>
      <c r="K352" s="1698"/>
      <c r="L352" s="1781" t="s">
        <v>335</v>
      </c>
      <c r="M352" s="263"/>
      <c r="N352" s="256"/>
      <c r="O352" s="1544"/>
      <c r="P352" s="1544"/>
    </row>
    <row r="353" spans="1:16" s="1555" customFormat="1" ht="18.75" hidden="1" customHeight="1">
      <c r="A353" s="1700"/>
      <c r="B353" s="1700"/>
      <c r="C353" s="293" t="s">
        <v>1228</v>
      </c>
      <c r="D353" s="4054"/>
      <c r="E353" s="3862"/>
      <c r="F353" s="3997"/>
      <c r="G353" s="4025"/>
      <c r="H353" s="1415"/>
      <c r="I353" s="569" t="s">
        <v>1227</v>
      </c>
      <c r="J353" s="494"/>
      <c r="K353" s="1415"/>
      <c r="L353" s="131"/>
      <c r="M353" s="263"/>
      <c r="N353" s="256"/>
      <c r="O353" s="1544"/>
      <c r="P353" s="1544"/>
    </row>
    <row r="354" spans="1:16" s="1555" customFormat="1" ht="0.75" customHeight="1">
      <c r="A354" s="1700"/>
      <c r="B354" s="1700"/>
      <c r="C354" s="293" t="s">
        <v>1235</v>
      </c>
      <c r="D354" s="4054"/>
      <c r="E354" s="3862"/>
      <c r="F354" s="3997"/>
      <c r="G354" s="329"/>
      <c r="H354" s="1415"/>
      <c r="I354" s="569"/>
      <c r="J354" s="494"/>
      <c r="K354" s="1415"/>
      <c r="L354" s="131"/>
      <c r="M354" s="263"/>
      <c r="N354" s="256"/>
      <c r="O354" s="1544"/>
      <c r="P354" s="1544"/>
    </row>
    <row r="355" spans="1:16" s="1742" customFormat="1" ht="3" customHeight="1">
      <c r="A355" s="1700"/>
      <c r="B355" s="1700"/>
      <c r="C355" s="1701"/>
      <c r="E355" s="331"/>
      <c r="F355" s="331"/>
      <c r="G355" s="331"/>
      <c r="H355" s="331"/>
      <c r="I355" s="331"/>
      <c r="J355" s="331"/>
      <c r="K355" s="331"/>
      <c r="L355" s="331"/>
      <c r="M355" s="331"/>
      <c r="O355" s="113"/>
      <c r="P355" s="113"/>
    </row>
    <row r="356" spans="1:16" ht="24.75" customHeight="1">
      <c r="E356" s="119"/>
      <c r="F356" s="3928"/>
      <c r="G356" s="3928"/>
      <c r="H356" s="3928"/>
      <c r="I356" s="3928"/>
      <c r="J356" s="3928"/>
      <c r="K356" s="3928"/>
      <c r="L356" s="3928"/>
      <c r="M356" s="3928"/>
    </row>
  </sheetData>
  <sheetProtection formatColumns="0" formatRows="0" insertRows="0" deleteColumns="0" deleteRows="0" sort="0" autoFilter="0"/>
  <mergeCells count="428">
    <mergeCell ref="G53:G54"/>
    <mergeCell ref="G121:G122"/>
    <mergeCell ref="G187:G188"/>
    <mergeCell ref="G253:G254"/>
    <mergeCell ref="G319:G320"/>
    <mergeCell ref="G55:G56"/>
    <mergeCell ref="G123:G124"/>
    <mergeCell ref="G189:G190"/>
    <mergeCell ref="G255:G256"/>
    <mergeCell ref="G57:G58"/>
    <mergeCell ref="G125:G126"/>
    <mergeCell ref="G191:G192"/>
    <mergeCell ref="G257:G258"/>
    <mergeCell ref="G59:G60"/>
    <mergeCell ref="G127:G128"/>
    <mergeCell ref="G193:G194"/>
    <mergeCell ref="G259:G260"/>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74:D76"/>
    <mergeCell ref="E74:E76"/>
    <mergeCell ref="F74:F76"/>
    <mergeCell ref="F356:M356"/>
    <mergeCell ref="F289:L289"/>
    <mergeCell ref="D290:D292"/>
    <mergeCell ref="E290:E292"/>
    <mergeCell ref="F290:F292"/>
    <mergeCell ref="D293:D295"/>
    <mergeCell ref="E293:E295"/>
    <mergeCell ref="F293:F295"/>
    <mergeCell ref="D296:D298"/>
    <mergeCell ref="D302:D304"/>
    <mergeCell ref="E302:E304"/>
    <mergeCell ref="F302:F304"/>
    <mergeCell ref="D305:D307"/>
    <mergeCell ref="E305:E307"/>
    <mergeCell ref="F305:F307"/>
    <mergeCell ref="E296:E298"/>
    <mergeCell ref="F296:F298"/>
    <mergeCell ref="D299:D301"/>
    <mergeCell ref="E299:E301"/>
    <mergeCell ref="D95:D97"/>
    <mergeCell ref="E95:E97"/>
    <mergeCell ref="G45:G46"/>
    <mergeCell ref="G48:G49"/>
    <mergeCell ref="G51:G52"/>
    <mergeCell ref="G62:G63"/>
    <mergeCell ref="M224:M227"/>
    <mergeCell ref="M92:M95"/>
    <mergeCell ref="F157:L157"/>
    <mergeCell ref="M158:M161"/>
    <mergeCell ref="F223:L223"/>
    <mergeCell ref="F48:F50"/>
    <mergeCell ref="F51:F61"/>
    <mergeCell ref="F80:F82"/>
    <mergeCell ref="F83:F85"/>
    <mergeCell ref="F95:F97"/>
    <mergeCell ref="F98:F100"/>
    <mergeCell ref="M24:M88"/>
    <mergeCell ref="G42:G43"/>
    <mergeCell ref="G139:G140"/>
    <mergeCell ref="G142:G143"/>
    <mergeCell ref="G145:G146"/>
    <mergeCell ref="G148:G149"/>
    <mergeCell ref="G164:G165"/>
    <mergeCell ref="G167:G168"/>
    <mergeCell ref="G170:G171"/>
    <mergeCell ref="D45:D47"/>
    <mergeCell ref="E45:E47"/>
    <mergeCell ref="F45:F47"/>
    <mergeCell ref="D68:D70"/>
    <mergeCell ref="E68:E70"/>
    <mergeCell ref="F68:F70"/>
    <mergeCell ref="D71:D73"/>
    <mergeCell ref="E71:E73"/>
    <mergeCell ref="F71:F73"/>
    <mergeCell ref="D62:D64"/>
    <mergeCell ref="E62:E64"/>
    <mergeCell ref="F62:F64"/>
    <mergeCell ref="D65:D67"/>
    <mergeCell ref="E65:E67"/>
    <mergeCell ref="F65:F67"/>
    <mergeCell ref="D48:D50"/>
    <mergeCell ref="E48:E50"/>
    <mergeCell ref="D51:D61"/>
    <mergeCell ref="E51:E61"/>
    <mergeCell ref="D77:D79"/>
    <mergeCell ref="E77:E79"/>
    <mergeCell ref="F77:F79"/>
    <mergeCell ref="F101:F103"/>
    <mergeCell ref="D104:D106"/>
    <mergeCell ref="E104:E106"/>
    <mergeCell ref="F104:F106"/>
    <mergeCell ref="D86:D88"/>
    <mergeCell ref="E86:E88"/>
    <mergeCell ref="F86:F88"/>
    <mergeCell ref="D92:D94"/>
    <mergeCell ref="E92:E94"/>
    <mergeCell ref="F92:F94"/>
    <mergeCell ref="D101:D103"/>
    <mergeCell ref="E101:E103"/>
    <mergeCell ref="F89:L89"/>
    <mergeCell ref="H90:I90"/>
    <mergeCell ref="F91:L91"/>
    <mergeCell ref="D80:D82"/>
    <mergeCell ref="E80:E82"/>
    <mergeCell ref="D83:D85"/>
    <mergeCell ref="E83:E85"/>
    <mergeCell ref="D98:D100"/>
    <mergeCell ref="E98:E10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119:D129"/>
    <mergeCell ref="E119:E129"/>
    <mergeCell ref="F119: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45:D147"/>
    <mergeCell ref="E145:E147"/>
    <mergeCell ref="F145:F147"/>
    <mergeCell ref="D148:D150"/>
    <mergeCell ref="E148:E150"/>
    <mergeCell ref="F148:F150"/>
    <mergeCell ref="D139:D141"/>
    <mergeCell ref="E139:E141"/>
    <mergeCell ref="F139:F141"/>
    <mergeCell ref="D142:D144"/>
    <mergeCell ref="E142:E144"/>
    <mergeCell ref="F142:F144"/>
    <mergeCell ref="G173:G174"/>
    <mergeCell ref="D161:D163"/>
    <mergeCell ref="E161:E163"/>
    <mergeCell ref="F161:F163"/>
    <mergeCell ref="D151:D153"/>
    <mergeCell ref="E151:E153"/>
    <mergeCell ref="F151:F153"/>
    <mergeCell ref="D154:D156"/>
    <mergeCell ref="E154:E156"/>
    <mergeCell ref="F154:F156"/>
    <mergeCell ref="D158:D160"/>
    <mergeCell ref="E158:E160"/>
    <mergeCell ref="F158:F160"/>
    <mergeCell ref="G151:G152"/>
    <mergeCell ref="G154:G155"/>
    <mergeCell ref="G158:G159"/>
    <mergeCell ref="G161:G162"/>
    <mergeCell ref="D170:D172"/>
    <mergeCell ref="E170:E172"/>
    <mergeCell ref="F170:F172"/>
    <mergeCell ref="D173:D175"/>
    <mergeCell ref="E173:E175"/>
    <mergeCell ref="F173:F175"/>
    <mergeCell ref="D164:D166"/>
    <mergeCell ref="E164:E166"/>
    <mergeCell ref="F164:F166"/>
    <mergeCell ref="D167:D169"/>
    <mergeCell ref="E167:E169"/>
    <mergeCell ref="F167:F169"/>
    <mergeCell ref="D176:D178"/>
    <mergeCell ref="E176:E178"/>
    <mergeCell ref="F176:F178"/>
    <mergeCell ref="D179:D181"/>
    <mergeCell ref="E179:E181"/>
    <mergeCell ref="F179:F181"/>
    <mergeCell ref="G176:G177"/>
    <mergeCell ref="G179:G180"/>
    <mergeCell ref="G182:G183"/>
    <mergeCell ref="G196:G197"/>
    <mergeCell ref="G199:G200"/>
    <mergeCell ref="G202:G203"/>
    <mergeCell ref="G205:G206"/>
    <mergeCell ref="D182:D184"/>
    <mergeCell ref="E182:E184"/>
    <mergeCell ref="F182:F184"/>
    <mergeCell ref="D185:D195"/>
    <mergeCell ref="E185:E195"/>
    <mergeCell ref="F185:F195"/>
    <mergeCell ref="G185:G186"/>
    <mergeCell ref="D202:D204"/>
    <mergeCell ref="E202:E204"/>
    <mergeCell ref="F202:F204"/>
    <mergeCell ref="D205:D207"/>
    <mergeCell ref="E205:E207"/>
    <mergeCell ref="F205:F207"/>
    <mergeCell ref="D196:D198"/>
    <mergeCell ref="E196:E198"/>
    <mergeCell ref="F196:F198"/>
    <mergeCell ref="D199:D201"/>
    <mergeCell ref="E199:E201"/>
    <mergeCell ref="F199:F201"/>
    <mergeCell ref="D208:D210"/>
    <mergeCell ref="E208:E210"/>
    <mergeCell ref="F208:F210"/>
    <mergeCell ref="D211:D213"/>
    <mergeCell ref="E211:E213"/>
    <mergeCell ref="F211:F213"/>
    <mergeCell ref="G208:G209"/>
    <mergeCell ref="G211:G212"/>
    <mergeCell ref="G214:G215"/>
    <mergeCell ref="G220:G221"/>
    <mergeCell ref="G224:G225"/>
    <mergeCell ref="G227:G228"/>
    <mergeCell ref="G230:G231"/>
    <mergeCell ref="D214:D216"/>
    <mergeCell ref="E214:E216"/>
    <mergeCell ref="F214:F216"/>
    <mergeCell ref="D217:D219"/>
    <mergeCell ref="E217:E219"/>
    <mergeCell ref="F217:F219"/>
    <mergeCell ref="G217:G218"/>
    <mergeCell ref="D227:D229"/>
    <mergeCell ref="E227:E229"/>
    <mergeCell ref="F227:F229"/>
    <mergeCell ref="D230:D232"/>
    <mergeCell ref="E230:E232"/>
    <mergeCell ref="F230:F232"/>
    <mergeCell ref="D220:D222"/>
    <mergeCell ref="E220:E222"/>
    <mergeCell ref="F220:F222"/>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62:G263"/>
    <mergeCell ref="D239:D241"/>
    <mergeCell ref="E239:E241"/>
    <mergeCell ref="F239:F241"/>
    <mergeCell ref="D242:D244"/>
    <mergeCell ref="E242:E244"/>
    <mergeCell ref="F242:F244"/>
    <mergeCell ref="G242:G243"/>
    <mergeCell ref="D251:D261"/>
    <mergeCell ref="E251:E261"/>
    <mergeCell ref="F251:F261"/>
    <mergeCell ref="D262:D264"/>
    <mergeCell ref="E262:E264"/>
    <mergeCell ref="F262:F264"/>
    <mergeCell ref="D245:D247"/>
    <mergeCell ref="E245:E247"/>
    <mergeCell ref="F245:F247"/>
    <mergeCell ref="D248:D250"/>
    <mergeCell ref="E248:E250"/>
    <mergeCell ref="F248:F250"/>
    <mergeCell ref="D265:D267"/>
    <mergeCell ref="E265:E267"/>
    <mergeCell ref="F265:F267"/>
    <mergeCell ref="D268:D270"/>
    <mergeCell ref="E268:E270"/>
    <mergeCell ref="F268:F270"/>
    <mergeCell ref="G265:G266"/>
    <mergeCell ref="G268:G269"/>
    <mergeCell ref="G271:G272"/>
    <mergeCell ref="G277:G278"/>
    <mergeCell ref="G280:G281"/>
    <mergeCell ref="G283:G284"/>
    <mergeCell ref="G286:G287"/>
    <mergeCell ref="D271:D273"/>
    <mergeCell ref="E271:E273"/>
    <mergeCell ref="F271:F273"/>
    <mergeCell ref="D274:D276"/>
    <mergeCell ref="E274:E276"/>
    <mergeCell ref="F274:F276"/>
    <mergeCell ref="G274:G275"/>
    <mergeCell ref="D283:D285"/>
    <mergeCell ref="E283:E285"/>
    <mergeCell ref="F283:F285"/>
    <mergeCell ref="D286:D288"/>
    <mergeCell ref="E286:E288"/>
    <mergeCell ref="F286:F288"/>
    <mergeCell ref="D277:D279"/>
    <mergeCell ref="E277:E279"/>
    <mergeCell ref="F277:F279"/>
    <mergeCell ref="D280:D282"/>
    <mergeCell ref="E280:E282"/>
    <mergeCell ref="F280:F282"/>
    <mergeCell ref="F328:F330"/>
    <mergeCell ref="D331:D333"/>
    <mergeCell ref="E331:E333"/>
    <mergeCell ref="F331:F333"/>
    <mergeCell ref="G328:G329"/>
    <mergeCell ref="G331:G332"/>
    <mergeCell ref="G334:G335"/>
    <mergeCell ref="G337:G338"/>
    <mergeCell ref="F299:F301"/>
    <mergeCell ref="D314:D316"/>
    <mergeCell ref="E314:E316"/>
    <mergeCell ref="F314:F316"/>
    <mergeCell ref="D317:D327"/>
    <mergeCell ref="E317:E327"/>
    <mergeCell ref="F317:F327"/>
    <mergeCell ref="D308:D310"/>
    <mergeCell ref="E308:E310"/>
    <mergeCell ref="F308:F310"/>
    <mergeCell ref="D311:D313"/>
    <mergeCell ref="E311:E313"/>
    <mergeCell ref="F311:F313"/>
    <mergeCell ref="G317:G318"/>
    <mergeCell ref="G321:G322"/>
    <mergeCell ref="G323:G324"/>
    <mergeCell ref="D352:D354"/>
    <mergeCell ref="E352:E354"/>
    <mergeCell ref="F352:F354"/>
    <mergeCell ref="M290:M293"/>
    <mergeCell ref="D346:D348"/>
    <mergeCell ref="E346:E348"/>
    <mergeCell ref="F346:F348"/>
    <mergeCell ref="D349:D351"/>
    <mergeCell ref="E349:E351"/>
    <mergeCell ref="F349:F351"/>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G65:G66"/>
    <mergeCell ref="G68:G69"/>
    <mergeCell ref="G71:G72"/>
    <mergeCell ref="G74:G75"/>
    <mergeCell ref="G77:G78"/>
    <mergeCell ref="G80:G81"/>
    <mergeCell ref="G83:G84"/>
    <mergeCell ref="G86:G87"/>
    <mergeCell ref="G92:G93"/>
    <mergeCell ref="G95:G96"/>
    <mergeCell ref="G98:G99"/>
    <mergeCell ref="G101:G102"/>
    <mergeCell ref="G104:G105"/>
    <mergeCell ref="G107:G108"/>
    <mergeCell ref="G110:G111"/>
    <mergeCell ref="G113:G114"/>
    <mergeCell ref="G116:G117"/>
    <mergeCell ref="G119:G120"/>
    <mergeCell ref="G340:G341"/>
    <mergeCell ref="G343:G344"/>
    <mergeCell ref="G346:G347"/>
    <mergeCell ref="G349:G350"/>
    <mergeCell ref="G352:G353"/>
    <mergeCell ref="G290:G291"/>
    <mergeCell ref="G293:G294"/>
    <mergeCell ref="G296:G297"/>
    <mergeCell ref="G299:G300"/>
    <mergeCell ref="G302:G303"/>
    <mergeCell ref="G305:G306"/>
    <mergeCell ref="G308:G309"/>
    <mergeCell ref="G311:G312"/>
    <mergeCell ref="G314:G315"/>
    <mergeCell ref="G325:G326"/>
  </mergeCells>
  <dataValidations count="4">
    <dataValidation type="decimal" allowBlank="1" showErrorMessage="1" errorTitle="Ошибка" error="Допускается ввод только действительных чисел!" sqref="K224 K227 K230 K233 K236 K239 K242 K245 K248 K251 K262 K265 K268 K271 K274 K277 K280 K283 K10 K92 K151 K148 K145 K142 K139 K136 K133 K130 K119 K116 K113 K110 K107 K104 K101 K98 K95 K158 K154 K161 K164 K167 K170 K173 K176 K179 K182 K185 K196 K199 K202 K208 K211 K214 K217 K220 K205 K286 K290 K293 K296 K299 K302 K305 K308 K311 K314 K317 K328 K331 K334 K337 K340 K343 K346 K349 K352 K5 K121 K187 K253 K319 K123 K189 K255 K321 K125 K191 K257 K323 K127 K193 K259 K3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4:M225 M23 M92:M93 M290:M29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62:J62 I65:J65 I68:J68 I71:J71 I74:J74 I77:J77 I80:J80 I83:J83 I224:J224 I227:J227 I230:J230 I233:J233 I236:J236 I239:J239 I242:J242 I245:J245 I248:J248 I251:J251 I262:J262 I265:J265 I268:J268 I271:J271 I274:J274 I277:J277 I280:J280 I8:J8 I86:J86 I154:J154 I95:J95 I98:J98 I101:J101 I104:J104 I107:J107 I110:J110 I113:J113 I116:J116 I119:J119 I130:J130 I133:J133 I136:J136 I139:J139 I142:J142 I145:J145 I148:J148 I151:J151 I158:J158 I92:J92 I161:J161 I164:J164 I167:J167 I170:J170 I173:J173 I176:J176 I179:J179 I182:J182 I185:J185 I196:J196 I199:J199 I202:J202 I208:J208 I211:J211 I214:J214 I217:J217 I220:J220 I205:J205 I283:J283 I286:J286 I290:J290 I293:J293 I296:J296 I299:J299 I302:J302 I305:J305 I308:J308 I311:J311 I314:J314 I317:J317 I328:J328 I331:J331 I334:J334 I337:J337 I340:J340 I343:J343 I346:J346 I349:J349 I352:J352 I2:J2 I5:J5 I53 J53 I121 J121 I187 J187 I253 J253 I319 J319 I55 J55 I123 J123 I189 J189 I255 J255 I321 J321 I57 J57 I125 J125 I191 J191 I257 J257 I323 J323 I59 J59 I127 J127 I193 J193 I259 J259 I325 J32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7"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103</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381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814"/>
      <c r="F5" s="3814"/>
      <c r="G5" s="3815"/>
      <c r="H5" s="181"/>
    </row>
    <row r="6" spans="1:17" s="1555" customFormat="1" ht="17.25" customHeight="1">
      <c r="A6" s="1589"/>
      <c r="B6" s="1065"/>
      <c r="C6" s="300"/>
      <c r="D6" s="3873" t="str">
        <f>IF(org=0,"Не определено",org)</f>
        <v>ГУП СК "Ставрополькрайводоканал"</v>
      </c>
      <c r="E6" s="3874"/>
      <c r="F6" s="3874"/>
      <c r="G6" s="3875"/>
      <c r="H6" s="181"/>
      <c r="J6" s="1544"/>
      <c r="K6" s="1544"/>
    </row>
    <row r="7" spans="1:17" ht="14.25" customHeight="1">
      <c r="C7" s="300"/>
      <c r="D7" s="286"/>
      <c r="E7" s="318"/>
      <c r="F7" s="318"/>
      <c r="G7" s="667"/>
      <c r="H7" s="110"/>
    </row>
    <row r="8" spans="1:17" ht="14.25" customHeight="1">
      <c r="C8" s="300"/>
      <c r="D8" s="3868" t="s">
        <v>329</v>
      </c>
      <c r="E8" s="3868"/>
      <c r="F8" s="3868"/>
      <c r="G8" s="3868"/>
      <c r="H8" s="4051" t="s">
        <v>330</v>
      </c>
    </row>
    <row r="9" spans="1:17" ht="14.25" customHeight="1">
      <c r="C9" s="300"/>
      <c r="D9" s="315" t="s">
        <v>86</v>
      </c>
      <c r="E9" s="35" t="s">
        <v>331</v>
      </c>
      <c r="F9" s="35" t="s">
        <v>332</v>
      </c>
      <c r="G9" s="35" t="s">
        <v>421</v>
      </c>
      <c r="H9" s="4051"/>
    </row>
    <row r="10" spans="1:17" ht="14.25" customHeight="1">
      <c r="A10" s="264"/>
      <c r="C10" s="300"/>
      <c r="D10" s="67" t="s">
        <v>129</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3823" t="s">
        <v>1236</v>
      </c>
    </row>
    <row r="11" spans="1:17" ht="14.25" customHeight="1">
      <c r="A11" s="264"/>
      <c r="C11" s="300"/>
      <c r="D11" s="67" t="s">
        <v>102</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3824"/>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38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3824"/>
      <c r="I13" s="271"/>
      <c r="K13" s="297"/>
    </row>
    <row r="14" spans="1:17" ht="14.25" customHeight="1">
      <c r="A14" s="264"/>
      <c r="C14" s="300"/>
      <c r="D14" s="268"/>
      <c r="E14" s="324" t="s">
        <v>1061</v>
      </c>
      <c r="F14" s="270"/>
      <c r="G14" s="118"/>
      <c r="H14" s="3825"/>
    </row>
    <row r="15" spans="1:17" s="1555" customFormat="1" ht="14.25" customHeight="1">
      <c r="A15" s="264"/>
      <c r="B15" s="1065"/>
      <c r="C15" s="300"/>
      <c r="D15" s="325"/>
      <c r="E15" s="1597"/>
      <c r="F15" s="1598"/>
      <c r="G15" s="1599"/>
      <c r="H15" s="1600"/>
      <c r="J15" s="1544"/>
      <c r="K15" s="1544"/>
    </row>
    <row r="16" spans="1:17" ht="14.25" customHeight="1">
      <c r="D16" s="1601"/>
      <c r="E16" s="3928"/>
      <c r="F16" s="3928"/>
      <c r="G16" s="3928"/>
      <c r="H16" s="39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3892" t="s">
        <v>1237</v>
      </c>
      <c r="E5" s="3892"/>
      <c r="F5" s="3892"/>
      <c r="G5" s="3892"/>
      <c r="H5" s="3892"/>
      <c r="I5" s="3892"/>
      <c r="J5" s="3892"/>
    </row>
    <row r="6" spans="1:21" ht="15" customHeight="1">
      <c r="C6" s="94"/>
      <c r="D6" s="3839" t="str">
        <f>IF(org=0,"Не определено",org)</f>
        <v>ГУП СК "Ставрополькрайводоканал"</v>
      </c>
      <c r="E6" s="3839"/>
      <c r="F6" s="3839"/>
      <c r="G6" s="3839"/>
      <c r="H6" s="3839"/>
      <c r="I6" s="3839"/>
      <c r="J6" s="3839"/>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135</v>
      </c>
      <c r="J8" s="667"/>
      <c r="K8" s="346"/>
      <c r="U8" s="593"/>
    </row>
    <row r="9" spans="1:21" ht="15" customHeight="1">
      <c r="C9" s="94"/>
      <c r="D9" s="628"/>
      <c r="E9" s="3983" t="s">
        <v>125</v>
      </c>
      <c r="F9" s="3984"/>
      <c r="G9" s="4004" t="str">
        <f>IF(G8="","",INDEX(DIFFERENTIATION_UNMERGE_VD,MATCH(G8,DIFFERENTIATION_ID_DIFF,0)))</f>
        <v/>
      </c>
      <c r="H9" s="4005"/>
      <c r="I9" s="4004">
        <f>IF(I8="","",INDEX(DIFFERENTIATION_UNMERGE_VD,MATCH(I8,DIFFERENTIATION_ID_DIFF,0)))</f>
        <v>0</v>
      </c>
      <c r="J9" s="4005"/>
      <c r="K9" s="3838" t="s">
        <v>330</v>
      </c>
    </row>
    <row r="10" spans="1:21" s="1555" customFormat="1" ht="15" customHeight="1">
      <c r="A10" s="674"/>
      <c r="C10" s="94"/>
      <c r="D10" s="628"/>
      <c r="E10" s="3983" t="s">
        <v>588</v>
      </c>
      <c r="F10" s="3984"/>
      <c r="G10" s="4004" t="str">
        <f>IF(G8="","",INDEX(DIFFERENTIATION_UNMERGE_AREA,MATCH(G8,DIFFERENTIATION_ID_DIFF,0)))</f>
        <v/>
      </c>
      <c r="H10" s="4005"/>
      <c r="I10" s="4004" t="str">
        <f>IF(I8="","",INDEX(DIFFERENTIATION_UNMERGE_AREA,MATCH(I8,DIFFERENTIATION_ID_DIFF,0)))</f>
        <v/>
      </c>
      <c r="J10" s="4005"/>
      <c r="K10" s="3857"/>
      <c r="U10" s="593"/>
    </row>
    <row r="11" spans="1:21" s="1555" customFormat="1" ht="15" customHeight="1">
      <c r="A11" s="674"/>
      <c r="C11" s="94"/>
      <c r="D11" s="628"/>
      <c r="E11" s="3983" t="s">
        <v>589</v>
      </c>
      <c r="F11" s="3984"/>
      <c r="G11" s="4004" t="str">
        <f>IF(G8="","",INDEX(DIFFERENTIATION_UNMERGE_SYSTEM,MATCH(G8,DIFFERENTIATION_ID_DIFF,0)))</f>
        <v/>
      </c>
      <c r="H11" s="4005"/>
      <c r="I11" s="4004" t="str">
        <f>IF(I8="","",INDEX(DIFFERENTIATION_UNMERGE_SYSTEM,MATCH(I8,DIFFERENTIATION_ID_DIFF,0)))</f>
        <v>без дифференциации</v>
      </c>
      <c r="J11" s="4005"/>
      <c r="K11" s="3857"/>
      <c r="U11" s="593"/>
    </row>
    <row r="12" spans="1:21" s="1555" customFormat="1" ht="15" customHeight="1">
      <c r="A12" s="674"/>
      <c r="C12" s="94"/>
      <c r="D12" s="3985" t="s">
        <v>329</v>
      </c>
      <c r="E12" s="3986"/>
      <c r="F12" s="3986"/>
      <c r="G12" s="801"/>
      <c r="H12" s="801"/>
      <c r="I12" s="801"/>
      <c r="J12" s="801"/>
      <c r="K12" s="3857"/>
      <c r="U12" s="593"/>
    </row>
    <row r="13" spans="1:21" ht="33.75" customHeight="1">
      <c r="C13" s="94"/>
      <c r="D13" s="719" t="s">
        <v>86</v>
      </c>
      <c r="E13" s="721" t="s">
        <v>331</v>
      </c>
      <c r="F13" s="721" t="s">
        <v>590</v>
      </c>
      <c r="G13" s="722" t="s">
        <v>332</v>
      </c>
      <c r="H13" s="721" t="s">
        <v>421</v>
      </c>
      <c r="I13" s="722" t="s">
        <v>332</v>
      </c>
      <c r="J13" s="721" t="s">
        <v>421</v>
      </c>
      <c r="K13" s="3887"/>
    </row>
    <row r="14" spans="1:21" ht="15" hidden="1" customHeight="1">
      <c r="C14" s="94"/>
      <c r="D14" s="514" t="s">
        <v>129</v>
      </c>
      <c r="E14" s="514" t="s">
        <v>102</v>
      </c>
      <c r="F14" s="514" t="s">
        <v>88</v>
      </c>
      <c r="G14" s="577" t="str">
        <f>G1&amp;".1"</f>
        <v>4.1</v>
      </c>
      <c r="H14" s="577"/>
      <c r="I14" s="577" t="str">
        <f>I1&amp;".1"</f>
        <v>4.1</v>
      </c>
      <c r="J14" s="577"/>
      <c r="K14" s="204"/>
    </row>
    <row r="15" spans="1:21" ht="22.5" hidden="1" customHeight="1">
      <c r="A15" s="429"/>
      <c r="C15" s="450"/>
      <c r="D15" s="445">
        <v>1</v>
      </c>
      <c r="E15" s="595" t="s">
        <v>747</v>
      </c>
      <c r="F15" s="445" t="s">
        <v>748</v>
      </c>
      <c r="G15" s="596"/>
      <c r="H15" s="596"/>
      <c r="I15" s="596"/>
      <c r="J15" s="596"/>
      <c r="K15" s="204" t="s">
        <v>749</v>
      </c>
    </row>
    <row r="16" spans="1:21" ht="22.5" hidden="1" customHeight="1">
      <c r="A16" s="429"/>
      <c r="C16" s="450"/>
      <c r="D16" s="445">
        <v>2</v>
      </c>
      <c r="E16" s="195" t="s">
        <v>750</v>
      </c>
      <c r="F16" s="445" t="s">
        <v>751</v>
      </c>
      <c r="G16" s="596"/>
      <c r="H16" s="596"/>
      <c r="I16" s="596"/>
      <c r="J16" s="596"/>
      <c r="K16" s="204" t="s">
        <v>752</v>
      </c>
    </row>
    <row r="17" spans="1:11" ht="123.75" hidden="1" customHeight="1">
      <c r="A17" s="429"/>
      <c r="C17" s="450"/>
      <c r="D17" s="445">
        <v>3</v>
      </c>
      <c r="E17" s="195" t="s">
        <v>1238</v>
      </c>
      <c r="F17" s="445" t="s">
        <v>335</v>
      </c>
      <c r="G17" s="596"/>
      <c r="H17" s="596"/>
      <c r="I17" s="596"/>
      <c r="J17" s="596"/>
      <c r="K17" s="204" t="s">
        <v>1239</v>
      </c>
    </row>
    <row r="18" spans="1:11" ht="45" customHeight="1">
      <c r="A18" s="429"/>
      <c r="C18" s="450"/>
      <c r="D18" s="445">
        <v>4</v>
      </c>
      <c r="E18" s="195" t="s">
        <v>753</v>
      </c>
      <c r="F18" s="445" t="s">
        <v>335</v>
      </c>
      <c r="G18" s="723" t="s">
        <v>335</v>
      </c>
      <c r="H18" s="724" t="s">
        <v>335</v>
      </c>
      <c r="I18" s="445" t="s">
        <v>335</v>
      </c>
      <c r="J18" s="501" t="s">
        <v>335</v>
      </c>
      <c r="K18" s="204" t="s">
        <v>1240</v>
      </c>
    </row>
    <row r="19" spans="1:11" ht="33.75" customHeight="1">
      <c r="A19" s="429"/>
      <c r="C19" s="450"/>
      <c r="D19" s="462" t="s">
        <v>691</v>
      </c>
      <c r="E19" s="482" t="s">
        <v>755</v>
      </c>
      <c r="F19" s="445" t="s">
        <v>756</v>
      </c>
      <c r="G19" s="731"/>
      <c r="H19" s="33"/>
      <c r="I19" s="731"/>
      <c r="J19" s="732"/>
      <c r="K19" s="597"/>
    </row>
    <row r="20" spans="1:11" ht="33.75" customHeight="1">
      <c r="A20" s="429"/>
      <c r="C20" s="450"/>
      <c r="D20" s="462" t="s">
        <v>734</v>
      </c>
      <c r="E20" s="482" t="s">
        <v>757</v>
      </c>
      <c r="F20" s="445" t="s">
        <v>758</v>
      </c>
      <c r="G20" s="731"/>
      <c r="H20" s="33"/>
      <c r="I20" s="731"/>
      <c r="J20" s="33"/>
      <c r="K20" s="597"/>
    </row>
    <row r="21" spans="1:11" ht="45" customHeight="1">
      <c r="A21" s="429"/>
      <c r="C21" s="450"/>
      <c r="D21" s="462" t="s">
        <v>737</v>
      </c>
      <c r="E21" s="482" t="s">
        <v>759</v>
      </c>
      <c r="F21" s="445" t="s">
        <v>595</v>
      </c>
      <c r="G21" s="598"/>
      <c r="H21" s="33"/>
      <c r="I21" s="598"/>
      <c r="J21" s="33"/>
      <c r="K21" s="597"/>
    </row>
    <row r="22" spans="1:11" ht="67.5" hidden="1" customHeight="1">
      <c r="A22" s="429"/>
      <c r="C22" s="450"/>
      <c r="D22" s="445">
        <v>5</v>
      </c>
      <c r="E22" s="195" t="s">
        <v>1241</v>
      </c>
      <c r="F22" s="445" t="s">
        <v>582</v>
      </c>
      <c r="G22" s="599"/>
      <c r="H22" s="600"/>
      <c r="I22" s="599"/>
      <c r="J22" s="600"/>
      <c r="K22" s="204" t="s">
        <v>1242</v>
      </c>
    </row>
    <row r="23" spans="1:11" ht="33.75" hidden="1" customHeight="1">
      <c r="C23" s="376"/>
      <c r="D23" s="445">
        <v>6</v>
      </c>
      <c r="E23" s="195" t="s">
        <v>1243</v>
      </c>
      <c r="F23" s="445" t="s">
        <v>1244</v>
      </c>
      <c r="G23" s="599"/>
      <c r="H23" s="599"/>
      <c r="I23" s="599"/>
      <c r="J23" s="599"/>
      <c r="K23" s="204" t="s">
        <v>1245</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3753" t="s">
        <v>1246</v>
      </c>
      <c r="E5" s="3753"/>
      <c r="F5" s="3753"/>
      <c r="G5" s="3753"/>
      <c r="H5" s="3753"/>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3868" t="s">
        <v>329</v>
      </c>
      <c r="E8" s="3868"/>
      <c r="F8" s="3868"/>
      <c r="G8" s="3868"/>
      <c r="H8" s="3868"/>
      <c r="I8" s="3868" t="s">
        <v>330</v>
      </c>
    </row>
    <row r="9" spans="1:12" ht="27.75" customHeight="1">
      <c r="D9" s="3868" t="s">
        <v>86</v>
      </c>
      <c r="E9" s="3868" t="s">
        <v>1247</v>
      </c>
      <c r="F9" s="3868"/>
      <c r="G9" s="3868"/>
      <c r="H9" s="3868"/>
      <c r="I9" s="3868"/>
    </row>
    <row r="10" spans="1:12" ht="22.5" customHeight="1">
      <c r="D10" s="3868"/>
      <c r="E10" s="50" t="s">
        <v>1248</v>
      </c>
      <c r="F10" s="50" t="s">
        <v>1249</v>
      </c>
      <c r="G10" s="50" t="s">
        <v>1250</v>
      </c>
      <c r="H10" s="50" t="s">
        <v>421</v>
      </c>
      <c r="I10" s="3868"/>
    </row>
    <row r="11" spans="1:12" ht="12" hidden="1" customHeight="1">
      <c r="D11" s="18" t="s">
        <v>129</v>
      </c>
      <c r="E11" s="18" t="s">
        <v>89</v>
      </c>
      <c r="F11" s="18" t="s">
        <v>117</v>
      </c>
      <c r="G11" s="18" t="s">
        <v>90</v>
      </c>
      <c r="H11" s="18" t="s">
        <v>91</v>
      </c>
      <c r="I11" s="18" t="s">
        <v>130</v>
      </c>
    </row>
    <row r="12" spans="1:12" s="1742" customFormat="1" ht="24.75" customHeight="1">
      <c r="A12" s="65" t="s">
        <v>88</v>
      </c>
      <c r="B12" s="48" t="s">
        <v>24</v>
      </c>
      <c r="C12" s="49"/>
      <c r="D12" s="51" t="s">
        <v>129</v>
      </c>
      <c r="E12" s="310"/>
      <c r="F12" s="310"/>
      <c r="G12" s="1653" t="s">
        <v>24</v>
      </c>
      <c r="H12" s="311"/>
      <c r="I12" s="3823" t="s">
        <v>1251</v>
      </c>
      <c r="K12" s="187"/>
      <c r="L12" s="188"/>
    </row>
    <row r="13" spans="1:12" ht="15" customHeight="1">
      <c r="A13" s="44"/>
      <c r="B13" s="44"/>
      <c r="C13" s="44"/>
      <c r="D13" s="36"/>
      <c r="E13" s="53" t="s">
        <v>495</v>
      </c>
      <c r="F13" s="52"/>
      <c r="G13" s="52"/>
      <c r="H13" s="131"/>
      <c r="I13" s="3825"/>
    </row>
    <row r="14" spans="1:12" ht="3" customHeight="1">
      <c r="A14" s="44"/>
      <c r="B14" s="44"/>
      <c r="C14" s="44"/>
    </row>
    <row r="15" spans="1:12" ht="27.75" customHeight="1">
      <c r="E15" s="4064" t="s">
        <v>1252</v>
      </c>
      <c r="F15" s="4064"/>
      <c r="G15" s="4064"/>
      <c r="H15" s="406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4065" t="s">
        <v>1253</v>
      </c>
      <c r="E7" s="4066"/>
      <c r="F7" s="182"/>
    </row>
    <row r="8" spans="3:9" ht="3" customHeight="1">
      <c r="C8" s="21"/>
      <c r="D8" s="3"/>
      <c r="E8" s="3"/>
    </row>
    <row r="9" spans="3:9" ht="15.75" customHeight="1">
      <c r="C9" s="21"/>
      <c r="D9" s="32" t="s">
        <v>86</v>
      </c>
      <c r="E9" s="175" t="s">
        <v>1254</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1255</v>
      </c>
    </row>
    <row r="14" spans="3:9" ht="3" customHeight="1"/>
    <row r="15" spans="3:9" ht="22.5" customHeight="1">
      <c r="C15" s="59"/>
      <c r="D15" s="4064" t="s">
        <v>1256</v>
      </c>
      <c r="E15" s="4064"/>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328</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377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3772"/>
      <c r="F5" s="3773"/>
      <c r="I5" s="632"/>
    </row>
    <row r="6" spans="1:9" ht="17.25" customHeight="1">
      <c r="D6" s="3839" t="str">
        <f>IF(region_name=0,"Не определено",region_name)</f>
        <v>Ставропольский край</v>
      </c>
      <c r="E6" s="3839"/>
      <c r="F6" s="3839"/>
      <c r="I6" s="632"/>
    </row>
    <row r="7" spans="1:9" s="401" customFormat="1" ht="11.25" customHeight="1">
      <c r="A7" s="425"/>
      <c r="B7" s="425"/>
      <c r="D7" s="631"/>
      <c r="E7" s="631"/>
      <c r="F7" s="667"/>
      <c r="G7" s="631"/>
    </row>
    <row r="8" spans="1:9" ht="11.25" hidden="1" customHeight="1">
      <c r="A8" s="426"/>
      <c r="B8" s="426"/>
      <c r="C8" s="381"/>
      <c r="D8" s="387"/>
      <c r="E8" s="3866"/>
      <c r="F8" s="3866"/>
    </row>
    <row r="9" spans="1:9" ht="11.25" customHeight="1">
      <c r="A9" s="426"/>
      <c r="B9" s="426"/>
      <c r="C9" s="381"/>
      <c r="D9" s="3862" t="s">
        <v>329</v>
      </c>
      <c r="E9" s="3863"/>
      <c r="F9" s="3863"/>
      <c r="G9" s="3867" t="s">
        <v>330</v>
      </c>
    </row>
    <row r="10" spans="1:9" ht="11.25" customHeight="1">
      <c r="A10" s="426"/>
      <c r="B10" s="426"/>
      <c r="C10" s="381"/>
      <c r="D10" s="1389" t="s">
        <v>86</v>
      </c>
      <c r="E10" s="1391" t="s">
        <v>331</v>
      </c>
      <c r="F10" s="1391" t="s">
        <v>332</v>
      </c>
      <c r="G10" s="3868"/>
    </row>
    <row r="11" spans="1:9" ht="0.75" customHeight="1">
      <c r="A11" s="426"/>
      <c r="B11" s="426"/>
      <c r="C11" s="381"/>
      <c r="D11" s="388"/>
      <c r="E11" s="388"/>
      <c r="F11" s="388"/>
      <c r="G11" s="388"/>
    </row>
    <row r="12" spans="1:9" ht="22.5" customHeight="1">
      <c r="A12" s="426"/>
      <c r="B12" s="426"/>
      <c r="C12" s="381"/>
      <c r="D12" s="1435">
        <v>1</v>
      </c>
      <c r="E12" s="398" t="s">
        <v>1257</v>
      </c>
      <c r="F12" s="1778" t="str">
        <f>IF(org="","",org)</f>
        <v>ГУП СК "Ставрополькрайводоканал"</v>
      </c>
      <c r="G12" s="398" t="s">
        <v>1258</v>
      </c>
      <c r="H12" s="1448"/>
    </row>
    <row r="13" spans="1:9" ht="18.75" customHeight="1">
      <c r="A13" s="426"/>
      <c r="B13" s="426"/>
      <c r="C13" s="381"/>
      <c r="D13" s="1435">
        <v>2</v>
      </c>
      <c r="E13" s="1442" t="s">
        <v>1259</v>
      </c>
      <c r="F13" s="1436" t="s">
        <v>335</v>
      </c>
      <c r="G13" s="398"/>
      <c r="H13" s="1448"/>
    </row>
    <row r="14" spans="1:9" ht="18.75" customHeight="1">
      <c r="A14" s="426"/>
      <c r="B14" s="426"/>
      <c r="C14" s="381"/>
      <c r="D14" s="1438" t="s">
        <v>646</v>
      </c>
      <c r="E14" s="1439" t="s">
        <v>1260</v>
      </c>
      <c r="F14" s="1441"/>
      <c r="G14" s="1440" t="s">
        <v>1261</v>
      </c>
      <c r="H14" s="1448"/>
    </row>
    <row r="15" spans="1:9" ht="18.75" customHeight="1">
      <c r="A15" s="426"/>
      <c r="B15" s="426"/>
      <c r="C15" s="381"/>
      <c r="D15" s="1438" t="s">
        <v>336</v>
      </c>
      <c r="E15" s="1439" t="s">
        <v>1262</v>
      </c>
      <c r="F15" s="1441"/>
      <c r="G15" s="1440" t="s">
        <v>1263</v>
      </c>
      <c r="H15" s="1448"/>
    </row>
    <row r="16" spans="1:9" ht="36.75" customHeight="1">
      <c r="A16" s="426"/>
      <c r="B16" s="426"/>
      <c r="C16" s="381"/>
      <c r="D16" s="1438" t="s">
        <v>339</v>
      </c>
      <c r="E16" s="1437" t="s">
        <v>1264</v>
      </c>
      <c r="F16" s="1446"/>
      <c r="G16" s="398" t="s">
        <v>1265</v>
      </c>
      <c r="H16" s="1448"/>
    </row>
    <row r="17" spans="1:9" ht="45" customHeight="1">
      <c r="A17" s="426"/>
      <c r="B17" s="426"/>
      <c r="C17" s="381"/>
      <c r="D17" s="1435">
        <v>3</v>
      </c>
      <c r="E17" s="1442" t="s">
        <v>1266</v>
      </c>
      <c r="F17" s="1441"/>
      <c r="G17" s="398" t="s">
        <v>1267</v>
      </c>
      <c r="H17" s="1448"/>
    </row>
    <row r="18" spans="1:9" ht="45" customHeight="1">
      <c r="A18" s="1390">
        <v>1</v>
      </c>
      <c r="B18" s="426"/>
      <c r="C18" s="1392"/>
      <c r="D18" s="1435" t="s">
        <v>89</v>
      </c>
      <c r="E18" s="1442" t="s">
        <v>1268</v>
      </c>
      <c r="F18" s="1441"/>
      <c r="G18" s="398" t="s">
        <v>1267</v>
      </c>
      <c r="H18" s="1448"/>
      <c r="I18" s="766"/>
    </row>
    <row r="19" spans="1:9" ht="22.5" customHeight="1">
      <c r="A19" s="426"/>
      <c r="B19" s="426"/>
      <c r="C19" s="381"/>
      <c r="D19" s="1435" t="s">
        <v>117</v>
      </c>
      <c r="E19" s="1442" t="s">
        <v>1269</v>
      </c>
      <c r="F19" s="1436" t="s">
        <v>335</v>
      </c>
      <c r="G19" s="4067" t="s">
        <v>1270</v>
      </c>
      <c r="H19" s="399"/>
    </row>
    <row r="20" spans="1:9" s="1445" customFormat="1" ht="5.25" hidden="1" customHeight="1">
      <c r="A20" s="426"/>
      <c r="B20" s="426"/>
      <c r="C20" s="1444"/>
      <c r="D20" s="1443" t="s">
        <v>1054</v>
      </c>
      <c r="E20" s="925"/>
      <c r="F20" s="924"/>
      <c r="G20" s="4068"/>
    </row>
    <row r="21" spans="1:9" ht="15" customHeight="1">
      <c r="A21" s="426"/>
      <c r="B21" s="426"/>
      <c r="C21" s="381"/>
      <c r="D21" s="391"/>
      <c r="E21" s="344" t="s">
        <v>370</v>
      </c>
      <c r="F21" s="393"/>
      <c r="G21" s="4069"/>
      <c r="H21" s="1448"/>
    </row>
    <row r="22" spans="1:9" s="425" customFormat="1" ht="24.75" customHeight="1">
      <c r="A22" s="426"/>
      <c r="B22" s="426"/>
      <c r="C22" s="426"/>
      <c r="D22" s="1435" t="s">
        <v>90</v>
      </c>
      <c r="E22" s="398" t="s">
        <v>1271</v>
      </c>
      <c r="F22" s="1441"/>
      <c r="G22" s="398" t="s">
        <v>1272</v>
      </c>
      <c r="H22" s="1447"/>
    </row>
    <row r="23" spans="1:9" s="425" customFormat="1" ht="18.75" customHeight="1">
      <c r="A23" s="426"/>
      <c r="B23" s="426"/>
      <c r="C23" s="426"/>
      <c r="D23" s="1435" t="s">
        <v>91</v>
      </c>
      <c r="E23" s="1442" t="s">
        <v>1273</v>
      </c>
      <c r="F23" s="1446"/>
      <c r="G23" s="398" t="s">
        <v>1274</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7"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37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3753"/>
      <c r="G5" s="3753"/>
      <c r="H5" s="3753"/>
      <c r="I5" s="3753"/>
      <c r="J5" s="3753"/>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3749" t="s">
        <v>329</v>
      </c>
      <c r="F7" s="3754"/>
      <c r="G7" s="3754"/>
      <c r="H7" s="3754"/>
      <c r="I7" s="3754"/>
      <c r="J7" s="4070" t="s">
        <v>330</v>
      </c>
      <c r="K7" s="424"/>
      <c r="L7" s="424"/>
      <c r="M7" s="424"/>
      <c r="N7" s="424"/>
      <c r="O7" s="143"/>
      <c r="P7" s="424"/>
      <c r="Q7" s="142"/>
      <c r="R7" s="142"/>
      <c r="S7" s="142"/>
      <c r="T7" s="142"/>
    </row>
    <row r="8" spans="1:254" s="1739" customFormat="1" ht="20.25" customHeight="1">
      <c r="A8" s="1060"/>
      <c r="B8" s="1065"/>
      <c r="C8" s="1060"/>
      <c r="D8" s="1410"/>
      <c r="E8" s="1470" t="s">
        <v>86</v>
      </c>
      <c r="F8" s="1455" t="s">
        <v>1275</v>
      </c>
      <c r="G8" s="1455" t="s">
        <v>47</v>
      </c>
      <c r="H8" s="1455" t="s">
        <v>49</v>
      </c>
      <c r="I8" s="1455" t="s">
        <v>1276</v>
      </c>
      <c r="J8" s="4071"/>
      <c r="K8" s="424"/>
      <c r="L8" s="424"/>
      <c r="M8" s="424"/>
      <c r="N8" s="424"/>
      <c r="O8" s="143"/>
      <c r="P8" s="424"/>
      <c r="Q8" s="142"/>
      <c r="R8" s="142"/>
      <c r="S8" s="142"/>
      <c r="T8" s="142"/>
    </row>
    <row r="9" spans="1:254" s="1827" customFormat="1" ht="22.5" customHeight="1">
      <c r="A9" s="3752"/>
      <c r="B9" s="1065">
        <v>1</v>
      </c>
      <c r="C9" s="1065"/>
      <c r="D9" s="715"/>
      <c r="E9" s="1399">
        <v>1</v>
      </c>
      <c r="F9" s="1469"/>
      <c r="G9" s="1406"/>
      <c r="H9" s="1406"/>
      <c r="I9" s="1453"/>
      <c r="J9" s="4072" t="s">
        <v>1277</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7" customFormat="1" ht="15" customHeight="1">
      <c r="A10" s="3752"/>
      <c r="B10" s="1065"/>
      <c r="C10" s="341"/>
      <c r="D10" s="715"/>
      <c r="E10" s="1456"/>
      <c r="F10" s="1415" t="s">
        <v>1278</v>
      </c>
      <c r="G10" s="1457"/>
      <c r="H10" s="1457"/>
      <c r="I10" s="1457"/>
      <c r="J10" s="4073"/>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7" customFormat="1" ht="22.5" hidden="1" customHeight="1">
      <c r="A2" s="745"/>
      <c r="B2" s="1065">
        <v>1</v>
      </c>
      <c r="C2" s="1065"/>
      <c r="D2" s="715"/>
      <c r="E2" s="1399"/>
      <c r="F2" s="1454" t="str">
        <f>IF(ROIV_INFO_NAME="","",ROIV_INFO_NAME)</f>
        <v>ГУП СК "Ставрополькрайводоканал"</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37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3753"/>
      <c r="G5" s="3753"/>
      <c r="H5" s="3753"/>
      <c r="I5" s="3753"/>
      <c r="J5" s="3753"/>
      <c r="K5" s="3753"/>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3749" t="s">
        <v>329</v>
      </c>
      <c r="F7" s="3754"/>
      <c r="G7" s="3754"/>
      <c r="H7" s="3754"/>
      <c r="I7" s="3754"/>
      <c r="J7" s="3754"/>
      <c r="K7" s="3754"/>
      <c r="L7" s="4070" t="s">
        <v>330</v>
      </c>
      <c r="M7" s="424"/>
      <c r="N7" s="424"/>
      <c r="O7" s="424"/>
      <c r="P7" s="424"/>
      <c r="Q7" s="143"/>
      <c r="R7" s="424"/>
      <c r="S7" s="142"/>
      <c r="T7" s="142"/>
      <c r="U7" s="142"/>
      <c r="V7" s="142"/>
    </row>
    <row r="8" spans="1:256" s="1739" customFormat="1" ht="47.25" customHeight="1">
      <c r="A8" s="1060"/>
      <c r="B8" s="1065"/>
      <c r="C8" s="1060"/>
      <c r="D8" s="1410"/>
      <c r="E8" s="4075" t="s">
        <v>86</v>
      </c>
      <c r="F8" s="4075" t="s">
        <v>1257</v>
      </c>
      <c r="G8" s="407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4078"/>
      <c r="I8" s="4079"/>
      <c r="J8" s="407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407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4074"/>
      <c r="M8" s="424"/>
      <c r="N8" s="424"/>
      <c r="O8" s="424"/>
      <c r="P8" s="424"/>
      <c r="Q8" s="143"/>
      <c r="R8" s="424"/>
      <c r="S8" s="142"/>
      <c r="T8" s="142"/>
      <c r="U8" s="142"/>
      <c r="V8" s="142"/>
    </row>
    <row r="9" spans="1:256" s="1739" customFormat="1" ht="56.25" customHeight="1">
      <c r="A9" s="1060"/>
      <c r="B9" s="1065"/>
      <c r="C9" s="1060"/>
      <c r="D9" s="1410"/>
      <c r="E9" s="4076"/>
      <c r="F9" s="4076"/>
      <c r="G9" s="1452" t="s">
        <v>1279</v>
      </c>
      <c r="H9" s="1452" t="s">
        <v>1280</v>
      </c>
      <c r="I9" s="1452" t="s">
        <v>1281</v>
      </c>
      <c r="J9" s="4076"/>
      <c r="K9" s="4076"/>
      <c r="L9" s="4071"/>
      <c r="M9" s="424"/>
      <c r="N9" s="424"/>
      <c r="O9" s="424"/>
      <c r="P9" s="424"/>
      <c r="Q9" s="143"/>
      <c r="R9" s="424"/>
      <c r="S9" s="142"/>
      <c r="T9" s="142"/>
      <c r="U9" s="142"/>
      <c r="V9" s="142"/>
    </row>
    <row r="10" spans="1:256" s="1827" customFormat="1" ht="22.5" customHeight="1">
      <c r="A10" s="3752"/>
      <c r="B10" s="1065">
        <v>1</v>
      </c>
      <c r="C10" s="1065"/>
      <c r="D10" s="714"/>
      <c r="E10" s="712">
        <v>1</v>
      </c>
      <c r="F10" s="1454" t="str">
        <f>IF(ROIV_INFO_NAME="","",ROIV_INFO_NAME)</f>
        <v>ГУП СК "Ставрополькрайводоканал"</v>
      </c>
      <c r="G10" s="1651" t="s">
        <v>24</v>
      </c>
      <c r="H10" s="1449"/>
      <c r="I10" s="1449"/>
      <c r="J10" s="1069"/>
      <c r="K10" s="1069"/>
      <c r="L10" s="4072" t="s">
        <v>1282</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7" customFormat="1" ht="15" customHeight="1">
      <c r="A11" s="3752"/>
      <c r="B11" s="1065"/>
      <c r="C11" s="341"/>
      <c r="D11" s="715"/>
      <c r="E11" s="349"/>
      <c r="F11" s="345" t="s">
        <v>1283</v>
      </c>
      <c r="G11" s="105"/>
      <c r="H11" s="105"/>
      <c r="I11" s="105"/>
      <c r="J11" s="105"/>
      <c r="K11" s="105"/>
      <c r="L11" s="4073"/>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7" customFormat="1" ht="22.5" hidden="1" customHeight="1">
      <c r="A2" s="420"/>
      <c r="B2" s="1065">
        <v>1</v>
      </c>
      <c r="C2" s="1065"/>
      <c r="D2" s="715"/>
      <c r="E2" s="3778"/>
      <c r="F2" s="3778">
        <v>1</v>
      </c>
      <c r="G2" s="4088" t="str">
        <f>IF(region_name="","",region_name)</f>
        <v>Ставропольский край</v>
      </c>
      <c r="H2" s="4089"/>
      <c r="I2" s="4090"/>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7" customFormat="1" ht="22.5" hidden="1" customHeight="1">
      <c r="A3" s="745"/>
      <c r="B3" s="1065"/>
      <c r="C3" s="1065"/>
      <c r="D3" s="715"/>
      <c r="E3" s="3778"/>
      <c r="F3" s="3778"/>
      <c r="G3" s="4088"/>
      <c r="H3" s="4089"/>
      <c r="I3" s="4091"/>
      <c r="J3" s="1459"/>
      <c r="K3" s="1415"/>
      <c r="L3" s="1415" t="s">
        <v>1284</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3753" t="s">
        <v>1285</v>
      </c>
      <c r="F6" s="3753"/>
      <c r="G6" s="3753"/>
      <c r="H6" s="3753"/>
      <c r="I6" s="3753"/>
      <c r="J6" s="3753"/>
      <c r="K6" s="3753"/>
      <c r="L6" s="3753"/>
      <c r="M6" s="3753"/>
      <c r="N6" s="3753"/>
      <c r="O6" s="3753"/>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330</v>
      </c>
      <c r="F8" s="1473"/>
      <c r="G8" s="1474" t="s">
        <v>334</v>
      </c>
      <c r="H8" s="1474" t="s">
        <v>1286</v>
      </c>
      <c r="I8" s="1474" t="s">
        <v>338</v>
      </c>
      <c r="J8" s="4083"/>
      <c r="K8" s="4084"/>
      <c r="L8" s="4085"/>
      <c r="M8" s="1474" t="s">
        <v>1287</v>
      </c>
      <c r="N8" s="1474" t="s">
        <v>1288</v>
      </c>
      <c r="O8" s="1474" t="s">
        <v>1289</v>
      </c>
      <c r="P8" s="1465"/>
      <c r="Q8" s="1465"/>
      <c r="R8" s="1465"/>
      <c r="S8" s="1465"/>
      <c r="T8" s="1466"/>
      <c r="U8" s="1465"/>
      <c r="V8" s="1467"/>
      <c r="W8" s="1467"/>
      <c r="X8" s="1467"/>
      <c r="Y8" s="1467"/>
    </row>
    <row r="9" spans="1:259" s="1739" customFormat="1" ht="47.25" customHeight="1">
      <c r="A9" s="1060"/>
      <c r="B9" s="1065"/>
      <c r="C9" s="1060"/>
      <c r="D9" s="1410"/>
      <c r="E9" s="3887" t="s">
        <v>329</v>
      </c>
      <c r="F9" s="4076" t="s">
        <v>86</v>
      </c>
      <c r="G9" s="4076" t="s">
        <v>333</v>
      </c>
      <c r="H9" s="4076" t="s">
        <v>1290</v>
      </c>
      <c r="I9" s="4076"/>
      <c r="J9" s="4076" t="s">
        <v>1291</v>
      </c>
      <c r="K9" s="4076"/>
      <c r="L9" s="4076"/>
      <c r="M9" s="4076" t="s">
        <v>1292</v>
      </c>
      <c r="N9" s="4076" t="s">
        <v>1293</v>
      </c>
      <c r="O9" s="407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3778"/>
      <c r="F10" s="4082"/>
      <c r="G10" s="4082"/>
      <c r="H10" s="90" t="s">
        <v>1294</v>
      </c>
      <c r="I10" s="90" t="s">
        <v>337</v>
      </c>
      <c r="J10" s="4075"/>
      <c r="K10" s="4075"/>
      <c r="L10" s="4082"/>
      <c r="M10" s="4082"/>
      <c r="N10" s="4082"/>
      <c r="O10" s="4082"/>
      <c r="P10" s="424"/>
      <c r="Q10" s="424"/>
      <c r="R10" s="424"/>
      <c r="S10" s="424"/>
      <c r="T10" s="143"/>
      <c r="U10" s="424"/>
      <c r="V10" s="142"/>
      <c r="W10" s="142"/>
      <c r="X10" s="142"/>
      <c r="Y10" s="142"/>
    </row>
    <row r="11" spans="1:259" s="1827" customFormat="1" ht="22.5" customHeight="1">
      <c r="A11" s="3752">
        <v>26379339</v>
      </c>
      <c r="B11" s="1065">
        <v>1</v>
      </c>
      <c r="C11" s="1065"/>
      <c r="D11" s="715"/>
      <c r="E11" s="3887"/>
      <c r="F11" s="3887">
        <v>1</v>
      </c>
      <c r="G11" s="4080" t="str">
        <f>IF(region_name="","",region_name)</f>
        <v>Ставропольский край</v>
      </c>
      <c r="H11" s="4081"/>
      <c r="I11" s="4086"/>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7" customFormat="1" ht="22.5" customHeight="1">
      <c r="A12" s="3752"/>
      <c r="B12" s="1065"/>
      <c r="C12" s="1065"/>
      <c r="D12" s="715"/>
      <c r="E12" s="3887"/>
      <c r="F12" s="3887"/>
      <c r="G12" s="4080"/>
      <c r="H12" s="4081"/>
      <c r="I12" s="4087"/>
      <c r="J12" s="1459"/>
      <c r="K12" s="1415"/>
      <c r="L12" s="1415" t="s">
        <v>1284</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7" customFormat="1" ht="22.5" customHeight="1">
      <c r="A13" s="3752"/>
      <c r="B13" s="1065"/>
      <c r="C13" s="341"/>
      <c r="D13" s="715"/>
      <c r="E13" s="1456"/>
      <c r="F13" s="1459"/>
      <c r="G13" s="1415" t="s">
        <v>1278</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3753" t="s">
        <v>1295</v>
      </c>
      <c r="E7" s="3753"/>
      <c r="F7" s="182"/>
    </row>
    <row r="8" spans="3:6" ht="3" customHeight="1">
      <c r="C8" s="21"/>
      <c r="D8" s="3"/>
      <c r="E8" s="3"/>
    </row>
    <row r="9" spans="3:6" ht="15.75" customHeight="1">
      <c r="C9" s="21"/>
      <c r="D9" s="32" t="s">
        <v>86</v>
      </c>
      <c r="E9" s="35" t="s">
        <v>316</v>
      </c>
    </row>
    <row r="10" spans="3:6" ht="12" customHeight="1">
      <c r="C10" s="21"/>
      <c r="D10" s="18" t="s">
        <v>129</v>
      </c>
      <c r="E10" s="18" t="s">
        <v>102</v>
      </c>
    </row>
    <row r="11" spans="3:6" ht="15" hidden="1" customHeight="1">
      <c r="C11" s="21"/>
      <c r="D11" s="39">
        <v>0</v>
      </c>
      <c r="E11" s="69"/>
    </row>
    <row r="12" spans="3:6" ht="14.25" customHeight="1">
      <c r="C12" s="21"/>
      <c r="D12" s="36"/>
      <c r="E12" s="34" t="s">
        <v>1255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7" customWidth="1"/>
    <col min="2" max="2" width="34.5703125" style="1827" customWidth="1"/>
    <col min="3" max="3" width="85.5703125" style="1827" customWidth="1"/>
    <col min="4" max="4" width="17.7109375" style="1827" customWidth="1"/>
    <col min="5" max="5" width="9.140625" style="1827"/>
  </cols>
  <sheetData>
    <row r="1" spans="2:5" ht="3" customHeight="1"/>
    <row r="2" spans="2:5" ht="22.5" customHeight="1">
      <c r="B2" s="4092" t="s">
        <v>1296</v>
      </c>
      <c r="C2" s="4092"/>
      <c r="D2" s="4092"/>
      <c r="E2" s="183"/>
    </row>
    <row r="3" spans="2:5" ht="3" customHeight="1"/>
    <row r="4" spans="2:5" ht="21.75" customHeight="1">
      <c r="B4" s="3729" t="s">
        <v>1297</v>
      </c>
      <c r="C4" s="312" t="s">
        <v>1298</v>
      </c>
      <c r="D4" s="312" t="s">
        <v>1299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7" customWidth="1"/>
    <col min="2" max="2" width="10" style="1827" customWidth="1"/>
    <col min="3" max="3" width="9.140625" style="1827"/>
    <col min="4" max="4" width="11.140625" style="1827" customWidth="1"/>
    <col min="5" max="5" width="16.5703125" style="1827" customWidth="1"/>
    <col min="6" max="6" width="16.28515625" style="1827" customWidth="1"/>
    <col min="7" max="7" width="19.140625" style="1827" customWidth="1"/>
    <col min="8" max="11" width="10" style="1827" customWidth="1"/>
    <col min="12" max="12" width="12.7109375" style="1827" customWidth="1"/>
    <col min="13" max="13" width="61.28515625" style="1827" customWidth="1"/>
    <col min="14" max="14" width="10" style="1827" customWidth="1"/>
    <col min="15" max="17" width="23.7109375" style="1827" customWidth="1"/>
    <col min="18" max="18" width="11.7109375" style="1827" customWidth="1"/>
    <col min="19" max="19" width="8.5703125" style="1827" customWidth="1"/>
    <col min="20" max="20" width="11.7109375" style="1827" customWidth="1"/>
    <col min="21" max="21" width="8.5703125" style="1827" customWidth="1"/>
    <col min="22" max="22" width="4.7109375" style="1827" customWidth="1"/>
    <col min="23" max="23" width="115.7109375" style="1827" customWidth="1"/>
    <col min="24" max="24" width="115.28515625" style="1827" customWidth="1"/>
    <col min="25" max="27" width="9.140625" style="1827"/>
    <col min="28" max="28" width="115.7109375" style="1827" customWidth="1"/>
    <col min="29" max="29" width="9.140625" style="1827"/>
    <col min="30" max="90" width="115.7109375" style="1827" customWidth="1"/>
    <col min="91" max="184" width="9.140625" style="1827"/>
  </cols>
  <sheetData>
    <row r="2" spans="1:80" s="1735" customFormat="1" ht="17.25" customHeight="1">
      <c r="A2" s="1735" t="s">
        <v>1300</v>
      </c>
    </row>
    <row r="4" spans="1:80" s="179" customFormat="1" ht="15" customHeight="1">
      <c r="C4" s="1736"/>
      <c r="D4" s="39"/>
      <c r="E4" s="303"/>
    </row>
    <row r="6" spans="1:80" s="1735" customFormat="1" ht="17.25" customHeight="1">
      <c r="A6" s="1735" t="s">
        <v>1301</v>
      </c>
    </row>
    <row r="8" spans="1:80" s="179" customFormat="1" ht="17.25" customHeight="1">
      <c r="C8" s="1737"/>
      <c r="D8" s="39"/>
      <c r="E8" s="40"/>
    </row>
    <row r="11" spans="1:80" s="1735" customFormat="1" ht="17.25" customHeight="1">
      <c r="A11" s="1735" t="s">
        <v>1302</v>
      </c>
    </row>
    <row r="13" spans="1:80" s="1739" customFormat="1" ht="15" customHeight="1">
      <c r="A13" s="3756">
        <v>1</v>
      </c>
      <c r="B13" s="1065"/>
      <c r="C13" s="715" t="s">
        <v>103</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7" customFormat="1" ht="15" customHeight="1">
      <c r="A14" s="3756"/>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7" customFormat="1" ht="15" customHeight="1">
      <c r="A15" s="3756"/>
      <c r="B15" s="1065"/>
      <c r="C15" s="341"/>
      <c r="D15" s="715"/>
      <c r="E15" s="349"/>
      <c r="F15" s="95"/>
      <c r="G15" s="344" t="s">
        <v>101</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1303</v>
      </c>
    </row>
    <row r="19" spans="1:80" s="1827" customFormat="1" ht="15" customHeight="1">
      <c r="A19" s="1801"/>
      <c r="B19" s="1287">
        <v>1</v>
      </c>
      <c r="C19" s="1287"/>
      <c r="D19" s="714" t="s">
        <v>103</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7" customFormat="1" ht="15" customHeight="1">
      <c r="A21" s="1735" t="s">
        <v>1304</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7" customFormat="1" ht="15" customHeight="1">
      <c r="U22" s="103"/>
    </row>
    <row r="23" spans="1:80" s="1771" customFormat="1" ht="15" customHeight="1">
      <c r="A23"/>
      <c r="B23"/>
      <c r="C23" s="1647" t="s">
        <v>103</v>
      </c>
      <c r="D23" s="3760" t="s">
        <v>129</v>
      </c>
      <c r="E23" s="3761"/>
      <c r="F23" s="3759" t="s">
        <v>55</v>
      </c>
      <c r="G23" s="4126"/>
      <c r="H23" s="3778">
        <v>1</v>
      </c>
      <c r="I23" s="4128" t="str">
        <f>IF(U23="","",INDEX(TERRITORY_MR_LIST,MATCH(U23,TERRITORY_LIST_ID,0)))</f>
        <v/>
      </c>
      <c r="J23" s="3759" t="s">
        <v>55</v>
      </c>
      <c r="K23" s="746"/>
      <c r="L23" s="1702" t="s">
        <v>129</v>
      </c>
      <c r="M23" s="523"/>
      <c r="N23" s="524"/>
      <c r="O23" s="524"/>
      <c r="P23" s="524"/>
      <c r="Q23" s="524"/>
      <c r="R23" s="524"/>
      <c r="S23" s="524"/>
      <c r="T23" s="524"/>
      <c r="U23" s="525"/>
      <c r="V23" s="524"/>
      <c r="W23" s="524"/>
      <c r="X23" s="516"/>
      <c r="Y23" s="516" t="s">
        <v>136</v>
      </c>
      <c r="Z23" s="516">
        <v>1705000</v>
      </c>
      <c r="AA23" s="516"/>
      <c r="AB23" s="516"/>
      <c r="AC23" s="516"/>
      <c r="AD23" s="516"/>
      <c r="AE23" s="516"/>
      <c r="AF23" s="516"/>
      <c r="AG23" s="516"/>
      <c r="AH23" s="516"/>
      <c r="AI23" s="516"/>
      <c r="AJ23" s="516"/>
      <c r="AK23" s="516"/>
      <c r="AL23" s="516"/>
    </row>
    <row r="24" spans="1:80" s="1771" customFormat="1" ht="15" customHeight="1">
      <c r="A24"/>
      <c r="B24"/>
      <c r="C24" s="94"/>
      <c r="D24" s="3760"/>
      <c r="E24" s="3762"/>
      <c r="F24" s="3759"/>
      <c r="G24" s="4127"/>
      <c r="H24" s="3778"/>
      <c r="I24" s="4129"/>
      <c r="J24" s="3759"/>
      <c r="K24" s="349"/>
      <c r="L24" s="95"/>
      <c r="M24" s="526" t="s">
        <v>137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3760"/>
      <c r="E25" s="3763"/>
      <c r="F25" s="3759"/>
      <c r="G25" s="349"/>
      <c r="H25" s="95"/>
      <c r="I25" s="503" t="s">
        <v>138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7" customFormat="1" ht="15" customHeight="1">
      <c r="U26" s="103"/>
    </row>
    <row r="27" spans="1:80" s="1827" customFormat="1" ht="15" customHeight="1">
      <c r="A27" s="1735" t="s">
        <v>1305</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7" customFormat="1" ht="15" customHeight="1">
      <c r="U28" s="103"/>
    </row>
    <row r="29" spans="1:80" s="1771" customFormat="1" ht="15" customHeight="1">
      <c r="A29"/>
      <c r="B29"/>
      <c r="C29" s="94"/>
      <c r="D29" s="1740"/>
      <c r="E29" s="1740"/>
      <c r="F29" s="1740"/>
      <c r="G29" s="4130" t="s">
        <v>103</v>
      </c>
      <c r="H29" s="3748">
        <v>1</v>
      </c>
      <c r="I29" s="4131" t="str">
        <f>IF(U29="","",INDEX(TERRITORY_MR_LIST,MATCH(U29,TERRITORY_LIST_ID,0)))</f>
        <v/>
      </c>
      <c r="J29" s="3759" t="s">
        <v>55</v>
      </c>
      <c r="K29" s="746"/>
      <c r="L29" s="1702" t="s">
        <v>129</v>
      </c>
      <c r="M29" s="523"/>
      <c r="N29" s="524"/>
      <c r="O29" s="524"/>
      <c r="P29" s="524"/>
      <c r="Q29" s="524"/>
      <c r="R29" s="524"/>
      <c r="S29" s="524"/>
      <c r="T29" s="524"/>
      <c r="U29" s="525"/>
      <c r="V29" s="524"/>
      <c r="W29" s="524"/>
      <c r="X29" s="516"/>
      <c r="Y29" s="516" t="s">
        <v>136</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4130"/>
      <c r="H30" s="3748"/>
      <c r="I30" s="4131"/>
      <c r="J30" s="3759"/>
      <c r="K30" s="349"/>
      <c r="L30" s="95"/>
      <c r="M30" s="526" t="s">
        <v>137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7" customFormat="1" ht="15" customHeight="1">
      <c r="U31" s="103"/>
    </row>
    <row r="32" spans="1:80" s="1827" customFormat="1" ht="15" customHeight="1">
      <c r="A32" s="1735" t="s">
        <v>1306</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7" customFormat="1" ht="15" customHeight="1">
      <c r="U33" s="103"/>
    </row>
    <row r="34" spans="1:38" s="1771" customFormat="1" ht="15" customHeight="1">
      <c r="A34"/>
      <c r="B34"/>
      <c r="C34" s="94"/>
      <c r="D34" s="1740"/>
      <c r="E34" s="1740"/>
      <c r="F34" s="1740"/>
      <c r="G34" s="1740"/>
      <c r="H34" s="1740"/>
      <c r="I34" s="1740"/>
      <c r="J34" s="1740"/>
      <c r="K34" s="1719" t="s">
        <v>103</v>
      </c>
      <c r="L34" s="1648" t="s">
        <v>129</v>
      </c>
      <c r="M34" s="725"/>
      <c r="N34" s="726"/>
      <c r="O34" s="524"/>
      <c r="P34" s="524"/>
      <c r="Q34" s="524"/>
      <c r="R34" s="524"/>
      <c r="S34" s="524"/>
      <c r="T34" s="524"/>
      <c r="U34" s="525"/>
      <c r="V34" s="524"/>
      <c r="W34" s="524"/>
      <c r="X34" s="516"/>
      <c r="Y34" s="516" t="s">
        <v>136</v>
      </c>
      <c r="Z34" s="516">
        <v>1705000</v>
      </c>
      <c r="AA34" s="516"/>
      <c r="AB34" s="516"/>
      <c r="AC34" s="516"/>
      <c r="AD34" s="516"/>
      <c r="AE34" s="516"/>
      <c r="AF34" s="516"/>
      <c r="AG34" s="516"/>
      <c r="AH34" s="516"/>
      <c r="AI34" s="516"/>
      <c r="AJ34" s="516"/>
      <c r="AK34" s="516"/>
      <c r="AL34" s="516"/>
    </row>
    <row r="35" spans="1:38" s="1827" customFormat="1" ht="15" customHeight="1">
      <c r="U35" s="103"/>
    </row>
    <row r="36" spans="1:38" s="1827" customFormat="1" ht="15" customHeight="1">
      <c r="U36" s="103"/>
    </row>
    <row r="37" spans="1:38" s="1735" customFormat="1" ht="11.25" customHeight="1">
      <c r="A37" s="1735" t="s">
        <v>1307</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1308</v>
      </c>
    </row>
    <row r="42" spans="1:38" ht="11.25" customHeight="1"/>
    <row r="43" spans="1:38" s="379" customFormat="1" ht="22.5" customHeight="1">
      <c r="A43" s="381"/>
      <c r="B43" s="381"/>
      <c r="C43" s="381"/>
      <c r="D43" s="366"/>
      <c r="E43" s="774"/>
      <c r="F43" s="775"/>
      <c r="G43" s="1741"/>
      <c r="H43" s="399"/>
    </row>
    <row r="46" spans="1:38" s="1735" customFormat="1" ht="17.25" customHeight="1">
      <c r="A46" s="1735" t="s">
        <v>1309</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423</v>
      </c>
      <c r="Q48" s="440" t="s">
        <v>424</v>
      </c>
      <c r="R48" s="441" t="s">
        <v>425</v>
      </c>
      <c r="S48" s="1556" t="s">
        <v>426</v>
      </c>
      <c r="T48" s="1556"/>
      <c r="U48" s="1556"/>
      <c r="V48" s="1556"/>
    </row>
    <row r="50" spans="1:45" s="1735" customFormat="1" ht="11.25" customHeight="1">
      <c r="A50" s="1735" t="s">
        <v>1310</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412</v>
      </c>
      <c r="AQ52" s="1544" t="s">
        <v>412</v>
      </c>
      <c r="AR52" s="1556"/>
      <c r="AS52" s="1556"/>
    </row>
    <row r="54" spans="1:45" s="1735" customFormat="1" ht="11.25" customHeight="1">
      <c r="A54" s="1735" t="s">
        <v>1311</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1312</v>
      </c>
    </row>
    <row r="60" spans="1:45" s="1555" customFormat="1" ht="14.25" customHeight="1">
      <c r="A60" s="264"/>
      <c r="B60" s="1065"/>
      <c r="C60" s="300"/>
      <c r="D60" s="1730"/>
      <c r="E60" s="800"/>
      <c r="F60" s="1744"/>
      <c r="G60"/>
      <c r="I60" s="1544"/>
      <c r="J60" s="1544"/>
    </row>
    <row r="62" spans="1:45" s="1735" customFormat="1" ht="11.25" customHeight="1">
      <c r="A62" s="1735" t="s">
        <v>1313</v>
      </c>
    </row>
    <row r="64" spans="1:45" s="1555" customFormat="1" ht="27" customHeight="1">
      <c r="A64" s="1071"/>
      <c r="B64" s="1071"/>
      <c r="C64" s="1071"/>
      <c r="D64" s="1065"/>
      <c r="E64" s="1746"/>
      <c r="F64" s="4143"/>
      <c r="G64" s="4144"/>
      <c r="H64" s="4145" t="s">
        <v>60</v>
      </c>
      <c r="I64" s="4147"/>
      <c r="J64" s="4121"/>
      <c r="K64" s="4149"/>
      <c r="L64" s="4123"/>
      <c r="M64" s="4123"/>
      <c r="N64" s="4124"/>
      <c r="O64" s="4124"/>
      <c r="P64" s="4125" t="e">
        <f>DATEDIF(DATEVALUE(N64),DATEVALUE(O64),"y")&amp;"г. "&amp;DATEDIF(DATEVALUE(N64),DATEVALUE(O64),"ym")&amp;"мес. "&amp;DATEVALUE(O64)-DATE(YEAR(DATEVALUE(O64)),MONTH(DATEVALUE(O64)),1)&amp;"дн. "</f>
        <v>#VALUE!</v>
      </c>
      <c r="Q64" s="4120"/>
      <c r="R64" s="4120"/>
      <c r="S64" s="4120"/>
      <c r="T64" s="4121"/>
      <c r="U64" s="4120"/>
      <c r="V64" s="4120"/>
      <c r="W64" s="4120"/>
      <c r="X64" s="4121"/>
      <c r="Y64" s="4118" t="s">
        <v>60</v>
      </c>
      <c r="Z64" s="1728"/>
      <c r="AA64" s="1712">
        <v>1</v>
      </c>
      <c r="AB64" s="1156"/>
      <c r="AD64" s="1556" t="s">
        <v>1314</v>
      </c>
    </row>
    <row r="65" spans="1:58" s="1555" customFormat="1" ht="10.5" customHeight="1">
      <c r="A65" s="1071"/>
      <c r="B65" s="1071"/>
      <c r="C65" s="1071"/>
      <c r="D65" s="1065"/>
      <c r="E65" s="858"/>
      <c r="F65" s="4143"/>
      <c r="G65" s="4144"/>
      <c r="H65" s="4146"/>
      <c r="I65" s="4148"/>
      <c r="J65" s="4122"/>
      <c r="K65" s="4149"/>
      <c r="L65" s="4123"/>
      <c r="M65" s="4123"/>
      <c r="N65" s="4124"/>
      <c r="O65" s="4124"/>
      <c r="P65" s="4125"/>
      <c r="Q65" s="4120"/>
      <c r="R65" s="4120"/>
      <c r="S65" s="4120"/>
      <c r="T65" s="4122"/>
      <c r="U65" s="4120"/>
      <c r="V65" s="4120"/>
      <c r="W65" s="4120"/>
      <c r="X65" s="4122"/>
      <c r="Y65" s="4119"/>
      <c r="Z65" s="268"/>
      <c r="AA65" s="495"/>
      <c r="AB65" s="570" t="s">
        <v>1315</v>
      </c>
    </row>
    <row r="67" spans="1:58" s="1735" customFormat="1" ht="11.25" customHeight="1">
      <c r="A67" s="1735" t="s">
        <v>1316</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1314</v>
      </c>
    </row>
    <row r="71" spans="1:58" s="1735" customFormat="1" ht="11.25" customHeight="1">
      <c r="A71" s="1735" t="s">
        <v>1317</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4116"/>
      <c r="G74" s="4028"/>
      <c r="H74" s="4028" t="s">
        <v>129</v>
      </c>
      <c r="I74" s="4102"/>
      <c r="J74" s="4091"/>
      <c r="K74" s="4103"/>
      <c r="L74" s="4095" t="s">
        <v>55</v>
      </c>
      <c r="M74" s="3760"/>
      <c r="N74" s="1084"/>
      <c r="O74" s="1083" t="s">
        <v>407</v>
      </c>
      <c r="P74" s="1084"/>
      <c r="Q74" s="1084"/>
      <c r="R74" s="1084"/>
      <c r="S74" s="1084"/>
      <c r="T74" s="1084"/>
      <c r="U74" s="1084"/>
      <c r="V74" s="1084"/>
      <c r="W74" s="1084"/>
      <c r="X74" s="1084"/>
      <c r="Y74" s="1084"/>
      <c r="Z74" s="1084"/>
      <c r="AA74" s="1084"/>
      <c r="AB74" s="1084"/>
      <c r="AC74" s="1084"/>
      <c r="AD74" s="1084"/>
      <c r="AE74" s="1084"/>
      <c r="AF74" s="4094"/>
      <c r="AG74" s="4095"/>
      <c r="AH74" s="4095"/>
      <c r="AI74" s="4094"/>
      <c r="AJ74" s="4095"/>
      <c r="AK74" s="4095"/>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4116"/>
      <c r="G75" s="4028"/>
      <c r="H75" s="4028"/>
      <c r="I75" s="4102"/>
      <c r="J75" s="4091"/>
      <c r="K75" s="4103"/>
      <c r="L75" s="4095"/>
      <c r="M75" s="3760"/>
      <c r="N75" s="4096"/>
      <c r="O75" s="4097">
        <v>1</v>
      </c>
      <c r="P75" s="4098" t="s">
        <v>55</v>
      </c>
      <c r="Q75" s="4010" t="s">
        <v>24</v>
      </c>
      <c r="R75" s="4010" t="s">
        <v>24</v>
      </c>
      <c r="S75" s="4010" t="s">
        <v>24</v>
      </c>
      <c r="T75" s="4010" t="s">
        <v>24</v>
      </c>
      <c r="U75" s="4010" t="s">
        <v>24</v>
      </c>
      <c r="V75" s="4010" t="s">
        <v>24</v>
      </c>
      <c r="W75" s="4010" t="s">
        <v>24</v>
      </c>
      <c r="X75" s="4010" t="s">
        <v>24</v>
      </c>
      <c r="Y75" s="4010"/>
      <c r="Z75" s="1081"/>
      <c r="AA75" s="1082"/>
      <c r="AB75" s="1082"/>
      <c r="AC75" s="1086"/>
      <c r="AD75" s="1086"/>
      <c r="AE75" s="1087"/>
      <c r="AF75" s="4094"/>
      <c r="AG75" s="4095"/>
      <c r="AH75" s="4095"/>
      <c r="AI75" s="4094"/>
      <c r="AJ75" s="4095"/>
      <c r="AK75" s="4095"/>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4116"/>
      <c r="G76" s="4028"/>
      <c r="H76" s="4028"/>
      <c r="I76" s="4102"/>
      <c r="J76" s="4091"/>
      <c r="K76" s="4103"/>
      <c r="L76" s="4095"/>
      <c r="M76" s="3760"/>
      <c r="N76" s="4096"/>
      <c r="O76" s="4097"/>
      <c r="P76" s="4099"/>
      <c r="Q76" s="4010"/>
      <c r="R76" s="4010"/>
      <c r="S76" s="4101"/>
      <c r="T76" s="4010"/>
      <c r="U76" s="4010"/>
      <c r="V76" s="4010"/>
      <c r="W76" s="4010"/>
      <c r="X76" s="4010"/>
      <c r="Y76" s="4010"/>
      <c r="Z76" s="1747"/>
      <c r="AA76" s="1714">
        <v>1</v>
      </c>
      <c r="AB76" s="1085"/>
      <c r="AC76" s="1074"/>
      <c r="AD76" s="1085">
        <f>AB76</f>
        <v>0</v>
      </c>
      <c r="AE76" s="1074"/>
      <c r="AF76" s="4094"/>
      <c r="AG76" s="4095"/>
      <c r="AH76" s="4095"/>
      <c r="AI76" s="4094"/>
      <c r="AJ76" s="4095"/>
      <c r="AK76" s="4095"/>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4116"/>
      <c r="G77" s="4028"/>
      <c r="H77" s="4028"/>
      <c r="I77" s="4102"/>
      <c r="J77" s="4091"/>
      <c r="K77" s="4103"/>
      <c r="L77" s="4095"/>
      <c r="M77" s="3760"/>
      <c r="N77" s="4096"/>
      <c r="O77" s="4097"/>
      <c r="P77" s="4100"/>
      <c r="Q77" s="4010"/>
      <c r="R77" s="4010"/>
      <c r="S77" s="4101"/>
      <c r="T77" s="4010"/>
      <c r="U77" s="4010"/>
      <c r="V77" s="4010"/>
      <c r="W77" s="4010"/>
      <c r="X77" s="4010"/>
      <c r="Y77" s="4010"/>
      <c r="Z77" s="1081"/>
      <c r="AA77" s="1082"/>
      <c r="AB77" s="1155" t="s">
        <v>1318</v>
      </c>
      <c r="AC77" s="1086"/>
      <c r="AD77" s="1086"/>
      <c r="AE77" s="1088"/>
      <c r="AF77" s="4094"/>
      <c r="AG77" s="4095"/>
      <c r="AH77" s="4095"/>
      <c r="AI77" s="4094"/>
      <c r="AJ77" s="4095"/>
      <c r="AK77" s="4095"/>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4116"/>
      <c r="G78" s="4028"/>
      <c r="H78" s="4028"/>
      <c r="I78" s="4102"/>
      <c r="J78" s="4091"/>
      <c r="K78" s="4103"/>
      <c r="L78" s="4095"/>
      <c r="M78" s="3760"/>
      <c r="N78" s="1082"/>
      <c r="O78" s="1082"/>
      <c r="P78" s="1073" t="s">
        <v>1319</v>
      </c>
      <c r="Q78" s="1082"/>
      <c r="R78" s="1082"/>
      <c r="S78" s="1082"/>
      <c r="T78" s="1082"/>
      <c r="U78" s="1082"/>
      <c r="V78" s="1082"/>
      <c r="W78" s="1082"/>
      <c r="X78" s="1082"/>
      <c r="Y78" s="1082"/>
      <c r="Z78" s="1082"/>
      <c r="AA78" s="1082"/>
      <c r="AB78" s="1082"/>
      <c r="AC78" s="1082"/>
      <c r="AD78" s="1082"/>
      <c r="AE78" s="1089"/>
      <c r="AF78" s="4094"/>
      <c r="AG78" s="4095"/>
      <c r="AH78" s="4095"/>
      <c r="AI78" s="4094"/>
      <c r="AJ78" s="4095"/>
      <c r="AK78" s="4095"/>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4117"/>
      <c r="G79" s="1097"/>
      <c r="H79" s="1097"/>
      <c r="I79" s="4115" t="s">
        <v>1320</v>
      </c>
      <c r="J79" s="4115"/>
      <c r="K79" s="4115"/>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1321</v>
      </c>
    </row>
    <row r="83" spans="1:58" s="1555" customFormat="1" ht="11.25" customHeight="1">
      <c r="A83" s="1071"/>
      <c r="B83" s="1071"/>
      <c r="C83" s="1071"/>
      <c r="D83" s="1065"/>
      <c r="E83" s="1075"/>
      <c r="F83" s="1748"/>
      <c r="G83" s="1749"/>
      <c r="H83" s="1749"/>
      <c r="I83" s="1683"/>
      <c r="J83" s="1683"/>
      <c r="K83" s="1750"/>
      <c r="L83" s="1683"/>
      <c r="M83" s="1749"/>
      <c r="N83" s="4142"/>
      <c r="O83" s="4097">
        <v>1</v>
      </c>
      <c r="P83" s="4098" t="s">
        <v>55</v>
      </c>
      <c r="Q83" s="4010" t="s">
        <v>24</v>
      </c>
      <c r="R83" s="4010" t="s">
        <v>24</v>
      </c>
      <c r="S83" s="4010" t="s">
        <v>24</v>
      </c>
      <c r="T83" s="4010" t="s">
        <v>24</v>
      </c>
      <c r="U83" s="4010" t="s">
        <v>24</v>
      </c>
      <c r="V83" s="4010" t="s">
        <v>24</v>
      </c>
      <c r="W83" s="4010" t="s">
        <v>24</v>
      </c>
      <c r="X83" s="4010" t="s">
        <v>24</v>
      </c>
      <c r="Y83" s="4010"/>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4142"/>
      <c r="O84" s="4097"/>
      <c r="P84" s="4099"/>
      <c r="Q84" s="4010"/>
      <c r="R84" s="4010"/>
      <c r="S84" s="4101"/>
      <c r="T84" s="4010"/>
      <c r="U84" s="4010"/>
      <c r="V84" s="4010"/>
      <c r="W84" s="4010"/>
      <c r="X84" s="4010"/>
      <c r="Y84" s="4010"/>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4142"/>
      <c r="O85" s="4097"/>
      <c r="P85" s="4100"/>
      <c r="Q85" s="4010"/>
      <c r="R85" s="4010"/>
      <c r="S85" s="4101"/>
      <c r="T85" s="4010"/>
      <c r="U85" s="4010"/>
      <c r="V85" s="4010"/>
      <c r="W85" s="4010"/>
      <c r="X85" s="4010"/>
      <c r="Y85" s="4010"/>
      <c r="Z85" s="1081"/>
      <c r="AA85" s="1082"/>
      <c r="AB85" s="1155" t="s">
        <v>1318</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1322</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1323</v>
      </c>
    </row>
    <row r="93" spans="1:58" s="1555" customFormat="1" ht="11.25" customHeight="1">
      <c r="A93" s="1071"/>
      <c r="B93" s="1071"/>
      <c r="C93" s="1071"/>
      <c r="D93" s="1065"/>
      <c r="E93" s="1075"/>
      <c r="F93" s="1748"/>
      <c r="G93" s="1749"/>
      <c r="H93" s="4028" t="s">
        <v>129</v>
      </c>
      <c r="I93" s="4102"/>
      <c r="J93" s="4091"/>
      <c r="K93" s="4103"/>
      <c r="L93" s="4095" t="s">
        <v>55</v>
      </c>
      <c r="M93" s="3760"/>
      <c r="N93" s="1084"/>
      <c r="O93" s="1083" t="s">
        <v>407</v>
      </c>
      <c r="P93" s="1084"/>
      <c r="Q93" s="1084"/>
      <c r="R93" s="1084"/>
      <c r="S93" s="1084"/>
      <c r="T93" s="1084"/>
      <c r="U93" s="1084"/>
      <c r="V93" s="1084"/>
      <c r="W93" s="1084"/>
      <c r="X93" s="1084"/>
      <c r="Y93" s="1084"/>
      <c r="Z93" s="1084"/>
      <c r="AA93" s="1084"/>
      <c r="AB93" s="1084"/>
      <c r="AC93" s="1084"/>
      <c r="AD93" s="1084"/>
      <c r="AE93" s="1084"/>
      <c r="AF93" s="4094"/>
      <c r="AG93" s="4095"/>
      <c r="AH93" s="4095"/>
      <c r="AI93" s="4094"/>
      <c r="AJ93" s="4095"/>
      <c r="AK93" s="4095"/>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4028"/>
      <c r="I94" s="4102"/>
      <c r="J94" s="4091"/>
      <c r="K94" s="4103"/>
      <c r="L94" s="4095"/>
      <c r="M94" s="3760"/>
      <c r="N94" s="4096"/>
      <c r="O94" s="4097">
        <v>1</v>
      </c>
      <c r="P94" s="4098" t="s">
        <v>55</v>
      </c>
      <c r="Q94" s="4010" t="s">
        <v>24</v>
      </c>
      <c r="R94" s="4010" t="s">
        <v>24</v>
      </c>
      <c r="S94" s="4010" t="s">
        <v>24</v>
      </c>
      <c r="T94" s="4010" t="s">
        <v>24</v>
      </c>
      <c r="U94" s="4010" t="s">
        <v>24</v>
      </c>
      <c r="V94" s="4010" t="s">
        <v>24</v>
      </c>
      <c r="W94" s="4010" t="s">
        <v>24</v>
      </c>
      <c r="X94" s="4010" t="s">
        <v>24</v>
      </c>
      <c r="Y94" s="4010"/>
      <c r="Z94" s="1081"/>
      <c r="AA94" s="1082"/>
      <c r="AB94" s="1082"/>
      <c r="AC94" s="1086"/>
      <c r="AD94" s="1086"/>
      <c r="AE94" s="1087"/>
      <c r="AF94" s="4094"/>
      <c r="AG94" s="4095"/>
      <c r="AH94" s="4095"/>
      <c r="AI94" s="4094"/>
      <c r="AJ94" s="4095"/>
      <c r="AK94" s="4095"/>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4028"/>
      <c r="I95" s="4102"/>
      <c r="J95" s="4091"/>
      <c r="K95" s="4103"/>
      <c r="L95" s="4095"/>
      <c r="M95" s="3760"/>
      <c r="N95" s="4096"/>
      <c r="O95" s="4097"/>
      <c r="P95" s="4099"/>
      <c r="Q95" s="4010"/>
      <c r="R95" s="4010"/>
      <c r="S95" s="4101"/>
      <c r="T95" s="4010"/>
      <c r="U95" s="4010"/>
      <c r="V95" s="4010"/>
      <c r="W95" s="4010"/>
      <c r="X95" s="4010"/>
      <c r="Y95" s="4010"/>
      <c r="Z95" s="1747"/>
      <c r="AA95" s="1714">
        <v>1</v>
      </c>
      <c r="AB95" s="1085"/>
      <c r="AC95" s="1074"/>
      <c r="AD95" s="1085">
        <f>AB95</f>
        <v>0</v>
      </c>
      <c r="AE95" s="1074"/>
      <c r="AF95" s="4094"/>
      <c r="AG95" s="4095"/>
      <c r="AH95" s="4095"/>
      <c r="AI95" s="4094"/>
      <c r="AJ95" s="4095"/>
      <c r="AK95" s="4095"/>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4028"/>
      <c r="I96" s="4102"/>
      <c r="J96" s="4091"/>
      <c r="K96" s="4103"/>
      <c r="L96" s="4095"/>
      <c r="M96" s="3760"/>
      <c r="N96" s="4096"/>
      <c r="O96" s="4097"/>
      <c r="P96" s="4100"/>
      <c r="Q96" s="4010"/>
      <c r="R96" s="4010"/>
      <c r="S96" s="4101"/>
      <c r="T96" s="4010"/>
      <c r="U96" s="4010"/>
      <c r="V96" s="4010"/>
      <c r="W96" s="4010"/>
      <c r="X96" s="4010"/>
      <c r="Y96" s="4010"/>
      <c r="Z96" s="1081"/>
      <c r="AA96" s="1082"/>
      <c r="AB96" s="1155" t="s">
        <v>1318</v>
      </c>
      <c r="AC96" s="1086"/>
      <c r="AD96" s="1086"/>
      <c r="AE96" s="1088"/>
      <c r="AF96" s="4094"/>
      <c r="AG96" s="4095"/>
      <c r="AH96" s="4095"/>
      <c r="AI96" s="4094"/>
      <c r="AJ96" s="4095"/>
      <c r="AK96" s="4095"/>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4028"/>
      <c r="I97" s="4102"/>
      <c r="J97" s="4091"/>
      <c r="K97" s="4103"/>
      <c r="L97" s="4095"/>
      <c r="M97" s="3760"/>
      <c r="N97" s="1082"/>
      <c r="O97" s="1082"/>
      <c r="P97" s="1073" t="s">
        <v>1319</v>
      </c>
      <c r="Q97" s="1082"/>
      <c r="R97" s="1082"/>
      <c r="S97" s="1082"/>
      <c r="T97" s="1082"/>
      <c r="U97" s="1082"/>
      <c r="V97" s="1082"/>
      <c r="W97" s="1082"/>
      <c r="X97" s="1082"/>
      <c r="Y97" s="1082"/>
      <c r="Z97" s="1082"/>
      <c r="AA97" s="1082"/>
      <c r="AB97" s="1082"/>
      <c r="AC97" s="1082"/>
      <c r="AD97" s="1082"/>
      <c r="AE97" s="1089"/>
      <c r="AF97" s="4094"/>
      <c r="AG97" s="4095"/>
      <c r="AH97" s="4095"/>
      <c r="AI97" s="4094"/>
      <c r="AJ97" s="4095"/>
      <c r="AK97" s="4095"/>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1324</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1325</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1326</v>
      </c>
    </row>
    <row r="107" spans="1:184" s="1827" customFormat="1" ht="15" customHeight="1">
      <c r="A107" s="542"/>
      <c r="B107"/>
      <c r="C107"/>
      <c r="D107" s="4139" t="s">
        <v>129</v>
      </c>
      <c r="E107" s="3991" t="s">
        <v>125</v>
      </c>
      <c r="F107" s="3992"/>
      <c r="G107" s="3993"/>
      <c r="H107" s="3997" t="str">
        <f>IF(A107="","",INDEX(DIFFERENTIATION_UNMERGE_VD,MATCH(A107,DIFFERENTIATION_ID_DIFF,0)))</f>
        <v/>
      </c>
      <c r="I107" s="3997"/>
      <c r="J107" s="3997"/>
      <c r="K107" s="3997"/>
      <c r="L107" s="3997"/>
      <c r="M107" s="3997"/>
      <c r="N107" s="3997"/>
      <c r="O107" s="3997"/>
      <c r="P107" s="3997"/>
      <c r="Q107" s="3997"/>
      <c r="R107" s="3997"/>
      <c r="S107" s="636"/>
      <c r="T107" s="633"/>
      <c r="U107" s="543"/>
      <c r="V107" s="543"/>
      <c r="W107" s="544"/>
      <c r="X107" s="544"/>
      <c r="Y107" s="544"/>
      <c r="Z107" s="544"/>
      <c r="AA107" s="545"/>
      <c r="AB107" s="546"/>
      <c r="AC107" s="3989"/>
      <c r="AD107" s="547"/>
      <c r="AE107" s="548" t="s">
        <v>24</v>
      </c>
      <c r="AF107" s="548"/>
      <c r="AG107" s="549" t="s">
        <v>633</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7" customFormat="1" ht="15" customHeight="1">
      <c r="A108" s="542"/>
      <c r="B108"/>
      <c r="C108"/>
      <c r="D108" s="4140"/>
      <c r="E108" s="3991" t="s">
        <v>588</v>
      </c>
      <c r="F108" s="3992"/>
      <c r="G108" s="3993"/>
      <c r="H108" s="3997" t="str">
        <f>IF(A107="","",INDEX(DIFFERENTIATION_UNMERGE_AREA,MATCH(A107,DIFFERENTIATION_ID_DIFF,0)))</f>
        <v/>
      </c>
      <c r="I108" s="3997"/>
      <c r="J108" s="3997"/>
      <c r="K108" s="3997"/>
      <c r="L108" s="3997"/>
      <c r="M108" s="3997"/>
      <c r="N108" s="3997"/>
      <c r="O108" s="3997"/>
      <c r="P108" s="3997"/>
      <c r="Q108" s="3997"/>
      <c r="R108" s="3997"/>
      <c r="S108" s="636"/>
      <c r="T108" s="633"/>
      <c r="U108" s="543"/>
      <c r="V108" s="543"/>
      <c r="W108" s="544"/>
      <c r="X108" s="544"/>
      <c r="Y108" s="544"/>
      <c r="Z108" s="544"/>
      <c r="AA108" s="545"/>
      <c r="AB108" s="546"/>
      <c r="AC108" s="3989"/>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7" customFormat="1" ht="15" customHeight="1">
      <c r="A109" s="542"/>
      <c r="B109"/>
      <c r="C109"/>
      <c r="D109" s="4140"/>
      <c r="E109" s="3991" t="s">
        <v>589</v>
      </c>
      <c r="F109" s="3992"/>
      <c r="G109" s="3993"/>
      <c r="H109" s="3997" t="str">
        <f>IF(A107="","",INDEX(DIFFERENTIATION_UNMERGE_SYSTEM,MATCH(A107,DIFFERENTIATION_ID_DIFF,0)))</f>
        <v/>
      </c>
      <c r="I109" s="3997"/>
      <c r="J109" s="3997"/>
      <c r="K109" s="3997"/>
      <c r="L109" s="3997"/>
      <c r="M109" s="3997"/>
      <c r="N109" s="3997"/>
      <c r="O109" s="3997"/>
      <c r="P109" s="3997"/>
      <c r="Q109" s="3997"/>
      <c r="R109" s="3997"/>
      <c r="S109" s="636"/>
      <c r="T109" s="633"/>
      <c r="U109" s="543"/>
      <c r="V109" s="543"/>
      <c r="W109" s="544"/>
      <c r="X109" s="544"/>
      <c r="Y109" s="544"/>
      <c r="Z109" s="544"/>
      <c r="AA109" s="545"/>
      <c r="AB109" s="546"/>
      <c r="AC109" s="3989"/>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7" customFormat="1" ht="24.75" customHeight="1">
      <c r="A110" s="1726"/>
      <c r="B110" s="1065"/>
      <c r="C110" s="341"/>
      <c r="D110" s="4140"/>
      <c r="E110" s="3990" t="s">
        <v>634</v>
      </c>
      <c r="F110" s="3990"/>
      <c r="G110" s="3990"/>
      <c r="H110" s="3990"/>
      <c r="I110" s="3990"/>
      <c r="J110" s="3990"/>
      <c r="K110" s="3990"/>
      <c r="L110" s="3990"/>
      <c r="M110" s="3990"/>
      <c r="N110" s="3990"/>
      <c r="O110" s="3990"/>
      <c r="P110" s="3990"/>
      <c r="Q110" s="481">
        <f>SUMIF(T111:T112,"i",Q111:Q112)</f>
        <v>0</v>
      </c>
      <c r="R110" s="928"/>
      <c r="S110" s="1718" t="s">
        <v>635</v>
      </c>
      <c r="T110" s="634" t="s">
        <v>636</v>
      </c>
      <c r="U110" s="3907">
        <v>1</v>
      </c>
      <c r="V110" s="3907" t="s">
        <v>599</v>
      </c>
      <c r="W110" s="1065"/>
      <c r="X110" s="1065"/>
      <c r="Y110" s="1065"/>
      <c r="Z110" s="1065"/>
      <c r="AA110" s="1556"/>
      <c r="AB110" s="1065"/>
      <c r="AC110" s="3989"/>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7" customFormat="1" ht="11.25" hidden="1" customHeight="1">
      <c r="A111" s="1713"/>
      <c r="B111" s="1556"/>
      <c r="C111" s="1556"/>
      <c r="D111" s="4140"/>
      <c r="E111" s="553"/>
      <c r="F111" s="553">
        <v>0</v>
      </c>
      <c r="G111" s="553"/>
      <c r="H111" s="553"/>
      <c r="I111" s="553"/>
      <c r="J111" s="553"/>
      <c r="K111" s="553"/>
      <c r="L111" s="553"/>
      <c r="M111" s="553"/>
      <c r="N111" s="553"/>
      <c r="O111" s="553"/>
      <c r="P111" s="553"/>
      <c r="Q111" s="553"/>
      <c r="R111" s="553"/>
      <c r="S111" s="554"/>
      <c r="T111" s="635"/>
      <c r="U111" s="3907"/>
      <c r="V111" s="3907"/>
      <c r="W111" s="1556"/>
      <c r="X111" s="1556"/>
      <c r="Y111" s="1556"/>
      <c r="Z111" s="1556"/>
      <c r="AA111" s="1556"/>
      <c r="AB111" s="1065"/>
      <c r="AC111" s="3989"/>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7" customFormat="1" ht="11.25" customHeight="1">
      <c r="A112" s="1726"/>
      <c r="B112" s="1065"/>
      <c r="C112" s="341"/>
      <c r="D112" s="4140"/>
      <c r="E112" s="567" t="s">
        <v>24</v>
      </c>
      <c r="F112" s="1073" t="s">
        <v>24</v>
      </c>
      <c r="G112" s="1073" t="s">
        <v>1327</v>
      </c>
      <c r="H112" s="569" t="s">
        <v>24</v>
      </c>
      <c r="I112" s="569"/>
      <c r="J112" s="569"/>
      <c r="K112" s="569"/>
      <c r="L112" s="569"/>
      <c r="M112" s="569"/>
      <c r="N112" s="569"/>
      <c r="O112" s="569"/>
      <c r="P112" s="569"/>
      <c r="Q112" s="569"/>
      <c r="R112" s="570"/>
      <c r="S112" s="571"/>
      <c r="T112" s="635"/>
      <c r="U112" s="3907"/>
      <c r="V112" s="3907"/>
      <c r="W112" s="1065"/>
      <c r="X112" s="1065"/>
      <c r="Y112" s="1065"/>
      <c r="Z112" s="1065"/>
      <c r="AA112" s="1556"/>
      <c r="AB112" s="1065"/>
      <c r="AC112" s="3989"/>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7" customFormat="1" ht="24.75" customHeight="1">
      <c r="A113" s="1726"/>
      <c r="B113" s="1065"/>
      <c r="C113" s="341"/>
      <c r="D113" s="4140"/>
      <c r="E113" s="3990" t="s">
        <v>637</v>
      </c>
      <c r="F113" s="3990"/>
      <c r="G113" s="3990"/>
      <c r="H113" s="3990"/>
      <c r="I113" s="3990"/>
      <c r="J113" s="3990"/>
      <c r="K113" s="3990"/>
      <c r="L113" s="3990"/>
      <c r="M113" s="3990"/>
      <c r="N113" s="3990"/>
      <c r="O113" s="3990"/>
      <c r="P113" s="3990"/>
      <c r="Q113" s="481">
        <f>SUMIF(T114:T115,"i",Q114:Q115)</f>
        <v>0</v>
      </c>
      <c r="R113" s="928"/>
      <c r="S113" s="1718" t="s">
        <v>638</v>
      </c>
      <c r="T113" s="634" t="s">
        <v>636</v>
      </c>
      <c r="U113" s="3907">
        <v>1</v>
      </c>
      <c r="V113" s="3907" t="s">
        <v>599</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7" customFormat="1" ht="11.25" hidden="1" customHeight="1">
      <c r="A114" s="1713"/>
      <c r="B114" s="1556"/>
      <c r="C114" s="1556"/>
      <c r="D114" s="4140"/>
      <c r="E114" s="553"/>
      <c r="F114" s="553">
        <v>0</v>
      </c>
      <c r="G114" s="553"/>
      <c r="H114" s="553"/>
      <c r="I114" s="553"/>
      <c r="J114" s="553"/>
      <c r="K114" s="553"/>
      <c r="L114" s="553"/>
      <c r="M114" s="553"/>
      <c r="N114" s="553"/>
      <c r="O114" s="553"/>
      <c r="P114" s="553"/>
      <c r="Q114" s="553"/>
      <c r="R114" s="553"/>
      <c r="S114" s="554"/>
      <c r="T114" s="635"/>
      <c r="U114" s="3907"/>
      <c r="V114" s="3907"/>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7" customFormat="1" ht="11.25" customHeight="1">
      <c r="A115" s="1726"/>
      <c r="B115" s="1065"/>
      <c r="C115" s="341"/>
      <c r="D115" s="4141"/>
      <c r="E115" s="567" t="s">
        <v>24</v>
      </c>
      <c r="F115" s="1073" t="s">
        <v>24</v>
      </c>
      <c r="G115" s="1073" t="s">
        <v>1327</v>
      </c>
      <c r="H115" s="569" t="s">
        <v>24</v>
      </c>
      <c r="I115" s="569"/>
      <c r="J115" s="569"/>
      <c r="K115" s="569"/>
      <c r="L115" s="569"/>
      <c r="M115" s="569"/>
      <c r="N115" s="569"/>
      <c r="O115" s="569"/>
      <c r="P115" s="569"/>
      <c r="Q115" s="569"/>
      <c r="R115" s="570"/>
      <c r="S115" s="571"/>
      <c r="T115" s="635"/>
      <c r="U115" s="3907"/>
      <c r="V115" s="3907"/>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1328</v>
      </c>
    </row>
    <row r="119" spans="1:83" s="1827" customFormat="1" ht="15" customHeight="1">
      <c r="A119" s="542"/>
      <c r="B119"/>
      <c r="C119"/>
      <c r="D119" s="4139" t="s">
        <v>129</v>
      </c>
      <c r="E119" s="3991" t="s">
        <v>125</v>
      </c>
      <c r="F119" s="3992"/>
      <c r="G119" s="3993"/>
      <c r="H119" s="3997" t="str">
        <f>IF(A119="","",INDEX(DIFFERENTIATION_UNMERGE_VD,MATCH(A119,DIFFERENTIATION_ID_DIFF,0)))</f>
        <v/>
      </c>
      <c r="I119" s="3997"/>
      <c r="J119" s="3997"/>
      <c r="K119" s="3997"/>
      <c r="L119" s="3997"/>
      <c r="M119" s="3997"/>
      <c r="N119" s="3997"/>
      <c r="O119" s="3997"/>
      <c r="P119" s="3997"/>
      <c r="Q119" s="3997"/>
      <c r="R119" s="3997"/>
      <c r="S119" s="636"/>
      <c r="T119" s="633"/>
      <c r="U119" s="543"/>
      <c r="V119" s="543"/>
      <c r="W119" s="544"/>
      <c r="X119" s="544"/>
      <c r="Y119" s="544"/>
      <c r="Z119" s="544"/>
      <c r="AA119" s="545"/>
      <c r="AB119" s="546"/>
      <c r="AC119" s="3989"/>
      <c r="AD119" s="547"/>
      <c r="AE119" s="548" t="s">
        <v>24</v>
      </c>
      <c r="AF119" s="548"/>
      <c r="AG119" s="549" t="s">
        <v>633</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7" customFormat="1" ht="15" customHeight="1">
      <c r="A120" s="542"/>
      <c r="B120"/>
      <c r="C120"/>
      <c r="D120" s="4140"/>
      <c r="E120" s="3991" t="s">
        <v>588</v>
      </c>
      <c r="F120" s="3992"/>
      <c r="G120" s="3993"/>
      <c r="H120" s="3997" t="str">
        <f>IF(A119="","",INDEX(DIFFERENTIATION_UNMERGE_AREA,MATCH(A119,DIFFERENTIATION_ID_DIFF,0)))</f>
        <v/>
      </c>
      <c r="I120" s="3997"/>
      <c r="J120" s="3997"/>
      <c r="K120" s="3997"/>
      <c r="L120" s="3997"/>
      <c r="M120" s="3997"/>
      <c r="N120" s="3997"/>
      <c r="O120" s="3997"/>
      <c r="P120" s="3997"/>
      <c r="Q120" s="3997"/>
      <c r="R120" s="3997"/>
      <c r="S120" s="636"/>
      <c r="T120" s="633"/>
      <c r="U120" s="543"/>
      <c r="V120" s="543"/>
      <c r="W120" s="544"/>
      <c r="X120" s="544"/>
      <c r="Y120" s="544"/>
      <c r="Z120" s="544"/>
      <c r="AA120" s="545"/>
      <c r="AB120" s="546"/>
      <c r="AC120" s="3989"/>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7" customFormat="1" ht="15" customHeight="1">
      <c r="A121" s="542"/>
      <c r="B121"/>
      <c r="C121"/>
      <c r="D121" s="4140"/>
      <c r="E121" s="3991" t="s">
        <v>589</v>
      </c>
      <c r="F121" s="3992"/>
      <c r="G121" s="3993"/>
      <c r="H121" s="3997" t="str">
        <f>IF(A119="","",INDEX(DIFFERENTIATION_UNMERGE_SYSTEM,MATCH(A119,DIFFERENTIATION_ID_DIFF,0)))</f>
        <v/>
      </c>
      <c r="I121" s="3997"/>
      <c r="J121" s="3997"/>
      <c r="K121" s="3997"/>
      <c r="L121" s="3997"/>
      <c r="M121" s="3997"/>
      <c r="N121" s="3997"/>
      <c r="O121" s="3997"/>
      <c r="P121" s="3997"/>
      <c r="Q121" s="3997"/>
      <c r="R121" s="3997"/>
      <c r="S121" s="636"/>
      <c r="T121" s="633"/>
      <c r="U121" s="543"/>
      <c r="V121" s="543"/>
      <c r="W121" s="544"/>
      <c r="X121" s="544"/>
      <c r="Y121" s="544"/>
      <c r="Z121" s="544"/>
      <c r="AA121" s="545"/>
      <c r="AB121" s="546"/>
      <c r="AC121" s="3989"/>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7" customFormat="1" ht="24.75" customHeight="1">
      <c r="A122" s="1726"/>
      <c r="B122" s="1065"/>
      <c r="C122" s="341"/>
      <c r="D122" s="4140"/>
      <c r="E122" s="3990" t="s">
        <v>634</v>
      </c>
      <c r="F122" s="3990"/>
      <c r="G122" s="3990"/>
      <c r="H122" s="3990"/>
      <c r="I122" s="3990"/>
      <c r="J122" s="3990"/>
      <c r="K122" s="3990"/>
      <c r="L122" s="3990"/>
      <c r="M122" s="3990"/>
      <c r="N122" s="3990"/>
      <c r="O122" s="3990"/>
      <c r="P122" s="3990"/>
      <c r="Q122" s="481">
        <f>SUMIF(T123:T124,"i",Q123:Q124)</f>
        <v>0</v>
      </c>
      <c r="R122" s="928"/>
      <c r="S122" s="1718" t="s">
        <v>635</v>
      </c>
      <c r="T122" s="634" t="s">
        <v>636</v>
      </c>
      <c r="U122" s="3907">
        <v>1</v>
      </c>
      <c r="V122" s="3907" t="s">
        <v>599</v>
      </c>
      <c r="W122" s="1065"/>
      <c r="X122" s="1065"/>
      <c r="Y122" s="1065"/>
      <c r="Z122" s="1065"/>
      <c r="AA122" s="1556"/>
      <c r="AB122" s="1065"/>
      <c r="AC122" s="3989"/>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7" customFormat="1" ht="11.25" hidden="1" customHeight="1">
      <c r="A123" s="1713"/>
      <c r="B123" s="1556"/>
      <c r="C123" s="1556"/>
      <c r="D123" s="4140"/>
      <c r="E123" s="553"/>
      <c r="F123" s="553">
        <v>0</v>
      </c>
      <c r="G123" s="553"/>
      <c r="H123" s="553"/>
      <c r="I123" s="553"/>
      <c r="J123" s="553"/>
      <c r="K123" s="553"/>
      <c r="L123" s="553"/>
      <c r="M123" s="553"/>
      <c r="N123" s="553"/>
      <c r="O123" s="553"/>
      <c r="P123" s="553"/>
      <c r="Q123" s="553"/>
      <c r="R123" s="553"/>
      <c r="S123" s="554"/>
      <c r="T123" s="635"/>
      <c r="U123" s="3907"/>
      <c r="V123" s="3907"/>
      <c r="W123" s="1556"/>
      <c r="X123" s="1556"/>
      <c r="Y123" s="1556"/>
      <c r="Z123" s="1556"/>
      <c r="AA123" s="1556"/>
      <c r="AB123" s="1065"/>
      <c r="AC123" s="3989"/>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7" customFormat="1" ht="11.25" customHeight="1">
      <c r="A124" s="1726"/>
      <c r="B124" s="1065"/>
      <c r="C124" s="341"/>
      <c r="D124" s="4140"/>
      <c r="E124" s="567" t="s">
        <v>24</v>
      </c>
      <c r="F124" s="1073" t="s">
        <v>24</v>
      </c>
      <c r="G124" s="1073" t="s">
        <v>1327</v>
      </c>
      <c r="H124" s="569" t="s">
        <v>24</v>
      </c>
      <c r="I124" s="569"/>
      <c r="J124" s="569"/>
      <c r="K124" s="569"/>
      <c r="L124" s="569"/>
      <c r="M124" s="569"/>
      <c r="N124" s="569"/>
      <c r="O124" s="569"/>
      <c r="P124" s="569"/>
      <c r="Q124" s="569"/>
      <c r="R124" s="570"/>
      <c r="S124" s="571"/>
      <c r="T124" s="635"/>
      <c r="U124" s="3907"/>
      <c r="V124" s="3907"/>
      <c r="W124" s="1065"/>
      <c r="X124" s="1065"/>
      <c r="Y124" s="1065"/>
      <c r="Z124" s="1065"/>
      <c r="AA124" s="1556"/>
      <c r="AB124" s="1065"/>
      <c r="AC124" s="3989"/>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4140"/>
      <c r="E125" s="950"/>
      <c r="F125" s="950"/>
      <c r="G125" s="950"/>
      <c r="H125" s="950"/>
      <c r="I125" s="950"/>
      <c r="J125" s="950"/>
      <c r="K125" s="950"/>
      <c r="L125" s="950"/>
      <c r="M125" s="950"/>
      <c r="N125" s="950"/>
      <c r="O125" s="950"/>
      <c r="P125" s="950"/>
      <c r="Q125" s="951"/>
      <c r="R125" s="952"/>
      <c r="S125" s="953"/>
      <c r="T125" s="634" t="s">
        <v>636</v>
      </c>
      <c r="U125" s="3907">
        <v>1</v>
      </c>
      <c r="V125" s="3907" t="s">
        <v>599</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4140"/>
      <c r="E126" s="553"/>
      <c r="F126" s="553"/>
      <c r="G126" s="553"/>
      <c r="H126" s="553"/>
      <c r="I126" s="553"/>
      <c r="J126" s="553"/>
      <c r="K126" s="553"/>
      <c r="L126" s="553"/>
      <c r="M126" s="553"/>
      <c r="N126" s="553"/>
      <c r="O126" s="553"/>
      <c r="P126" s="553"/>
      <c r="Q126" s="553"/>
      <c r="R126" s="553"/>
      <c r="S126" s="554"/>
      <c r="T126" s="635"/>
      <c r="U126" s="3907"/>
      <c r="V126" s="3907"/>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4141"/>
      <c r="E127" s="954"/>
      <c r="F127" s="955"/>
      <c r="G127" s="955"/>
      <c r="H127" s="956"/>
      <c r="I127" s="956"/>
      <c r="J127" s="956"/>
      <c r="K127" s="956"/>
      <c r="L127" s="956"/>
      <c r="M127" s="956"/>
      <c r="N127" s="956"/>
      <c r="O127" s="956"/>
      <c r="P127" s="956"/>
      <c r="Q127" s="956"/>
      <c r="R127" s="857"/>
      <c r="S127" s="957"/>
      <c r="T127" s="635"/>
      <c r="U127" s="3907"/>
      <c r="V127" s="3907"/>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1329</v>
      </c>
    </row>
    <row r="131" spans="1:29" s="1827" customFormat="1" ht="45" customHeight="1">
      <c r="A131" s="1726"/>
      <c r="B131" s="1065"/>
      <c r="C131" s="341"/>
      <c r="D131"/>
      <c r="E131" s="4132"/>
      <c r="F131" s="3760" t="s">
        <v>129</v>
      </c>
      <c r="G131" s="4135" t="s">
        <v>24</v>
      </c>
      <c r="H131" s="204"/>
      <c r="I131" s="555" t="s">
        <v>129</v>
      </c>
      <c r="J131" s="1727" t="s">
        <v>1330</v>
      </c>
      <c r="K131" s="556" t="s">
        <v>570</v>
      </c>
      <c r="L131" s="3881" t="s">
        <v>570</v>
      </c>
      <c r="M131" s="3806"/>
      <c r="N131" s="556" t="s">
        <v>570</v>
      </c>
      <c r="O131" s="556" t="s">
        <v>570</v>
      </c>
      <c r="P131" s="556" t="s">
        <v>570</v>
      </c>
      <c r="Q131" s="557">
        <f>SUM(Q132:Q134)</f>
        <v>0</v>
      </c>
      <c r="R131" s="557">
        <f>IF(R128=0,0,(Q128/R128)*100)</f>
        <v>0</v>
      </c>
      <c r="S131" s="3842"/>
      <c r="T131" s="634" t="s">
        <v>636</v>
      </c>
      <c r="U131"/>
      <c r="V131"/>
      <c r="AC131"/>
    </row>
    <row r="132" spans="1:29" s="1827" customFormat="1" ht="11.25" customHeight="1">
      <c r="A132" s="1726"/>
      <c r="B132" s="1065"/>
      <c r="C132" s="341"/>
      <c r="D132"/>
      <c r="E132" s="4133"/>
      <c r="F132" s="3760"/>
      <c r="G132" s="4135"/>
      <c r="H132" s="3778"/>
      <c r="I132" s="4028" t="s">
        <v>960</v>
      </c>
      <c r="J132" s="4137"/>
      <c r="K132" s="4138"/>
      <c r="L132" s="558"/>
      <c r="M132" s="559" t="s">
        <v>129</v>
      </c>
      <c r="N132" s="1715"/>
      <c r="O132" s="560"/>
      <c r="P132" s="561"/>
      <c r="Q132" s="560"/>
      <c r="R132" s="562">
        <v>0</v>
      </c>
      <c r="S132" s="3842"/>
      <c r="T132" s="634"/>
      <c r="U132"/>
      <c r="V132"/>
      <c r="AC132"/>
    </row>
    <row r="133" spans="1:29" s="1827" customFormat="1" ht="11.25" customHeight="1">
      <c r="A133" s="1726"/>
      <c r="B133" s="1065"/>
      <c r="C133" s="341"/>
      <c r="D133"/>
      <c r="E133" s="4133"/>
      <c r="F133" s="3760"/>
      <c r="G133" s="4135"/>
      <c r="H133" s="3778"/>
      <c r="I133" s="4028"/>
      <c r="J133" s="4137"/>
      <c r="K133" s="4093"/>
      <c r="L133" s="563"/>
      <c r="M133" s="564"/>
      <c r="N133" s="565" t="s">
        <v>1331</v>
      </c>
      <c r="O133" s="565"/>
      <c r="P133" s="565"/>
      <c r="Q133" s="565"/>
      <c r="R133" s="566"/>
      <c r="S133" s="3842"/>
      <c r="T133" s="634"/>
      <c r="U133"/>
      <c r="V133"/>
      <c r="AC133"/>
    </row>
    <row r="134" spans="1:29" s="1827" customFormat="1" ht="11.25" customHeight="1">
      <c r="A134" s="1726"/>
      <c r="B134" s="1065"/>
      <c r="C134" s="341"/>
      <c r="D134"/>
      <c r="E134" s="4134"/>
      <c r="F134" s="3760"/>
      <c r="G134" s="4136"/>
      <c r="H134" s="563" t="s">
        <v>24</v>
      </c>
      <c r="I134" s="564"/>
      <c r="J134" s="565" t="s">
        <v>1332</v>
      </c>
      <c r="K134" s="565"/>
      <c r="L134" s="565"/>
      <c r="M134" s="565"/>
      <c r="N134" s="565"/>
      <c r="O134" s="565"/>
      <c r="P134" s="565"/>
      <c r="Q134" s="565"/>
      <c r="R134" s="566"/>
      <c r="S134" s="3842"/>
      <c r="T134" s="634"/>
      <c r="U134"/>
      <c r="V134"/>
      <c r="AC134"/>
    </row>
    <row r="139" spans="1:29" s="1827" customFormat="1" ht="11.25" customHeight="1">
      <c r="A139" s="1726"/>
      <c r="B139" s="1065"/>
      <c r="C139" s="341"/>
      <c r="D139"/>
      <c r="E139" s="1749"/>
      <c r="F139" s="1749"/>
      <c r="G139" s="1749"/>
      <c r="H139" s="3778"/>
      <c r="I139" s="4028" t="s">
        <v>960</v>
      </c>
      <c r="J139" s="4137"/>
      <c r="K139" s="4138"/>
      <c r="L139" s="558"/>
      <c r="M139" s="559" t="s">
        <v>129</v>
      </c>
      <c r="N139" s="1715"/>
      <c r="O139" s="560"/>
      <c r="P139" s="561"/>
      <c r="Q139" s="560"/>
      <c r="R139" s="562">
        <v>0</v>
      </c>
      <c r="S139"/>
      <c r="T139" s="634"/>
      <c r="U139"/>
      <c r="V139"/>
      <c r="AC139"/>
    </row>
    <row r="140" spans="1:29" s="1827" customFormat="1" ht="11.25" customHeight="1">
      <c r="A140" s="1726"/>
      <c r="B140" s="1065"/>
      <c r="C140" s="341"/>
      <c r="D140"/>
      <c r="E140" s="1749"/>
      <c r="F140" s="1749"/>
      <c r="G140" s="1749"/>
      <c r="H140" s="3778"/>
      <c r="I140" s="4028"/>
      <c r="J140" s="4137"/>
      <c r="K140" s="4093"/>
      <c r="L140" s="563"/>
      <c r="M140" s="564"/>
      <c r="N140" s="565" t="s">
        <v>1331</v>
      </c>
      <c r="O140" s="565"/>
      <c r="P140" s="565"/>
      <c r="Q140" s="565"/>
      <c r="R140" s="566"/>
      <c r="S140"/>
      <c r="T140" s="634"/>
      <c r="U140"/>
      <c r="V140"/>
      <c r="AC140"/>
    </row>
    <row r="142" spans="1:29" s="1827" customFormat="1" ht="11.25" customHeight="1">
      <c r="A142" s="1726"/>
      <c r="B142" s="1065"/>
      <c r="C142" s="341"/>
      <c r="D142"/>
      <c r="E142" s="1755"/>
      <c r="F142"/>
      <c r="G142"/>
      <c r="H142" s="1756"/>
      <c r="I142" s="1749"/>
      <c r="J142" s="1750"/>
      <c r="K142" s="1750"/>
      <c r="L142" s="558"/>
      <c r="M142" s="559" t="s">
        <v>129</v>
      </c>
      <c r="N142" s="1715"/>
      <c r="O142" s="560"/>
      <c r="P142" s="561"/>
      <c r="Q142" s="560"/>
      <c r="R142" s="562">
        <v>0</v>
      </c>
      <c r="S142"/>
      <c r="T142" s="634"/>
      <c r="U142"/>
      <c r="V142"/>
      <c r="AC142"/>
    </row>
    <row r="144" spans="1:29" s="1735" customFormat="1" ht="17.25" customHeight="1">
      <c r="A144" s="1735" t="s">
        <v>1333</v>
      </c>
    </row>
    <row r="145" spans="1:43" ht="17.25" customHeight="1">
      <c r="G145" s="1757"/>
      <c r="H145" s="1757"/>
      <c r="I145" s="1757"/>
      <c r="M145"/>
    </row>
    <row r="146" spans="1:43" s="1771" customFormat="1" ht="17.25" customHeight="1">
      <c r="A146" s="1758"/>
      <c r="C146" s="1760"/>
      <c r="D146" s="3831"/>
      <c r="E146" s="3794"/>
      <c r="F146" s="3796"/>
      <c r="G146" s="3810"/>
      <c r="H146" s="3831"/>
      <c r="I146" s="3831">
        <v>1</v>
      </c>
      <c r="J146" s="3830"/>
      <c r="K146" s="3833" t="s">
        <v>60</v>
      </c>
      <c r="L146" s="3760"/>
      <c r="M146" s="3760" t="s">
        <v>129</v>
      </c>
      <c r="N146" s="3835" t="str">
        <f>IF(Z146="","",INDEX(TERRITORY_MR_LIST,MATCH(Z146,TERRITORY_LIST_ID,0)))</f>
        <v/>
      </c>
      <c r="O146" s="3833" t="s">
        <v>60</v>
      </c>
      <c r="P146" s="3760"/>
      <c r="Q146" s="3760" t="s">
        <v>129</v>
      </c>
      <c r="R146" s="4093" t="s">
        <v>24</v>
      </c>
      <c r="S146" s="3759" t="s">
        <v>60</v>
      </c>
      <c r="T146" s="1731"/>
      <c r="U146" s="1731" t="s">
        <v>129</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3831"/>
      <c r="E147" s="3794"/>
      <c r="F147" s="3797"/>
      <c r="G147" s="3810"/>
      <c r="H147" s="3831"/>
      <c r="I147" s="3831"/>
      <c r="J147" s="3830"/>
      <c r="K147" s="3834"/>
      <c r="L147" s="3760"/>
      <c r="M147" s="3760"/>
      <c r="N147" s="3835"/>
      <c r="O147" s="3834"/>
      <c r="P147" s="3760"/>
      <c r="Q147" s="3760"/>
      <c r="R147" s="4093"/>
      <c r="S147" s="3759"/>
      <c r="T147" s="236"/>
      <c r="U147" s="237"/>
      <c r="V147" s="237" t="s">
        <v>445</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3793"/>
      <c r="E148" s="3795"/>
      <c r="F148" s="3797"/>
      <c r="G148" s="3811"/>
      <c r="H148" s="3793"/>
      <c r="I148" s="3793"/>
      <c r="J148" s="3832"/>
      <c r="K148" s="3834"/>
      <c r="L148" s="3793"/>
      <c r="M148" s="3793"/>
      <c r="N148" s="3836"/>
      <c r="O148" s="3764"/>
      <c r="P148" s="236"/>
      <c r="Q148" s="237"/>
      <c r="R148" s="237" t="s">
        <v>240</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3793"/>
      <c r="E149" s="3795"/>
      <c r="F149" s="3797"/>
      <c r="G149" s="3811"/>
      <c r="H149" s="3793"/>
      <c r="I149" s="3793"/>
      <c r="J149" s="3832"/>
      <c r="K149" s="3764"/>
      <c r="L149" s="236"/>
      <c r="M149" s="237"/>
      <c r="N149" s="237" t="s">
        <v>241</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3793"/>
      <c r="E150" s="3795"/>
      <c r="F150" s="3798"/>
      <c r="G150" s="3811"/>
      <c r="H150" s="236"/>
      <c r="I150" s="237"/>
      <c r="J150" s="237" t="s">
        <v>262</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3831"/>
      <c r="I152" s="3831">
        <v>1</v>
      </c>
      <c r="J152" s="3830"/>
      <c r="K152" s="3833" t="s">
        <v>60</v>
      </c>
      <c r="L152" s="3760"/>
      <c r="M152" s="3760" t="s">
        <v>129</v>
      </c>
      <c r="N152" s="3835" t="str">
        <f>IF(Z152="","",INDEX(TERRITORY_MR_LIST,MATCH(Z152,TERRITORY_LIST_ID,0)))</f>
        <v/>
      </c>
      <c r="O152" s="3833" t="s">
        <v>60</v>
      </c>
      <c r="P152" s="3760"/>
      <c r="Q152" s="3760" t="s">
        <v>129</v>
      </c>
      <c r="R152" s="4093" t="s">
        <v>24</v>
      </c>
      <c r="S152" s="3759" t="s">
        <v>60</v>
      </c>
      <c r="T152" s="1731"/>
      <c r="U152" s="1731" t="s">
        <v>129</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3831"/>
      <c r="I153" s="3831"/>
      <c r="J153" s="3830"/>
      <c r="K153" s="3834"/>
      <c r="L153" s="3760"/>
      <c r="M153" s="3760"/>
      <c r="N153" s="3835"/>
      <c r="O153" s="3834"/>
      <c r="P153" s="3760"/>
      <c r="Q153" s="3760"/>
      <c r="R153" s="4093"/>
      <c r="S153" s="3759"/>
      <c r="T153" s="236"/>
      <c r="U153" s="237"/>
      <c r="V153" s="237" t="s">
        <v>445</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3793"/>
      <c r="I154" s="3793"/>
      <c r="J154" s="3832"/>
      <c r="K154" s="3834"/>
      <c r="L154" s="3793"/>
      <c r="M154" s="3793"/>
      <c r="N154" s="3836"/>
      <c r="O154" s="3764"/>
      <c r="P154" s="236"/>
      <c r="Q154" s="237"/>
      <c r="R154" s="237" t="s">
        <v>240</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3793"/>
      <c r="I155" s="3793"/>
      <c r="J155" s="3832"/>
      <c r="K155" s="3764"/>
      <c r="L155" s="236"/>
      <c r="M155" s="237"/>
      <c r="N155" s="237" t="s">
        <v>241</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3760"/>
      <c r="M157" s="3760" t="s">
        <v>129</v>
      </c>
      <c r="N157" s="3835" t="str">
        <f>IF(Z157="","",INDEX(TERRITORY_MR_LIST,MATCH(Z157,TERRITORY_LIST_ID,0)))</f>
        <v/>
      </c>
      <c r="O157" s="3833" t="s">
        <v>60</v>
      </c>
      <c r="P157" s="3760"/>
      <c r="Q157" s="3760" t="s">
        <v>129</v>
      </c>
      <c r="R157" s="4093" t="s">
        <v>24</v>
      </c>
      <c r="S157" s="3759" t="s">
        <v>60</v>
      </c>
      <c r="T157" s="1731"/>
      <c r="U157" s="1731" t="s">
        <v>129</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3760"/>
      <c r="M158" s="3760"/>
      <c r="N158" s="3835"/>
      <c r="O158" s="3834"/>
      <c r="P158" s="3760"/>
      <c r="Q158" s="3760"/>
      <c r="R158" s="4093"/>
      <c r="S158" s="3759"/>
      <c r="T158" s="236"/>
      <c r="U158" s="237"/>
      <c r="V158" s="237" t="s">
        <v>445</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3793"/>
      <c r="M159" s="3793"/>
      <c r="N159" s="3836"/>
      <c r="O159" s="3764"/>
      <c r="P159" s="236"/>
      <c r="Q159" s="237"/>
      <c r="R159" s="237" t="s">
        <v>240</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3760"/>
      <c r="Q161" s="3760" t="s">
        <v>129</v>
      </c>
      <c r="R161" s="4093" t="s">
        <v>24</v>
      </c>
      <c r="S161" s="3759" t="s">
        <v>60</v>
      </c>
      <c r="T161" s="1731"/>
      <c r="U161" s="1731" t="s">
        <v>129</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3760"/>
      <c r="Q162" s="3760"/>
      <c r="R162" s="4093"/>
      <c r="S162" s="3759"/>
      <c r="T162" s="236"/>
      <c r="U162" s="237"/>
      <c r="V162" s="237" t="s">
        <v>445</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129</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1334</v>
      </c>
    </row>
    <row r="167" spans="1:43" ht="17.25" customHeight="1">
      <c r="G167" s="1757"/>
      <c r="H167" s="1757"/>
      <c r="I167" s="1757"/>
      <c r="M167"/>
    </row>
    <row r="168" spans="1:43" s="1771" customFormat="1" ht="17.25" customHeight="1">
      <c r="A168" s="1758"/>
      <c r="C168" s="1760"/>
      <c r="D168" s="3831"/>
      <c r="E168" s="3794"/>
      <c r="F168" s="3796"/>
      <c r="G168" s="3810"/>
      <c r="H168" s="3831"/>
      <c r="I168" s="3831">
        <v>1</v>
      </c>
      <c r="J168" s="3830"/>
      <c r="K168" s="3833" t="s">
        <v>60</v>
      </c>
      <c r="L168" s="3760"/>
      <c r="M168" s="3760" t="s">
        <v>129</v>
      </c>
      <c r="N168" s="3835" t="str">
        <f>IF(Z168="","",INDEX(TERRITORY_MR_LIST,MATCH(Z168,TERRITORY_LIST_ID,0)))</f>
        <v/>
      </c>
      <c r="O168" s="3833" t="s">
        <v>60</v>
      </c>
      <c r="P168" s="3760"/>
      <c r="Q168" s="3760" t="s">
        <v>129</v>
      </c>
      <c r="R168" s="4093" t="s">
        <v>24</v>
      </c>
      <c r="S168" s="3829" t="s">
        <v>55</v>
      </c>
      <c r="T168" s="1722"/>
      <c r="U168" s="1722" t="s">
        <v>129</v>
      </c>
      <c r="V168" s="1354"/>
      <c r="W168" s="3830"/>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3831"/>
      <c r="E169" s="3794"/>
      <c r="F169" s="3797"/>
      <c r="G169" s="3810"/>
      <c r="H169" s="3831"/>
      <c r="I169" s="3831"/>
      <c r="J169" s="3830"/>
      <c r="K169" s="3834"/>
      <c r="L169" s="3760"/>
      <c r="M169" s="3760"/>
      <c r="N169" s="3835"/>
      <c r="O169" s="3834"/>
      <c r="P169" s="3760"/>
      <c r="Q169" s="3760"/>
      <c r="R169" s="4093"/>
      <c r="S169" s="3829"/>
      <c r="T169" s="1355"/>
      <c r="U169" s="1356"/>
      <c r="V169" s="1356"/>
      <c r="W169" s="3830"/>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3793"/>
      <c r="E170" s="3795"/>
      <c r="F170" s="3797"/>
      <c r="G170" s="3811"/>
      <c r="H170" s="3793"/>
      <c r="I170" s="3793"/>
      <c r="J170" s="3832"/>
      <c r="K170" s="3834"/>
      <c r="L170" s="3793"/>
      <c r="M170" s="3793"/>
      <c r="N170" s="3836"/>
      <c r="O170" s="3764"/>
      <c r="P170" s="236"/>
      <c r="Q170" s="237"/>
      <c r="R170" s="237" t="s">
        <v>240</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3793"/>
      <c r="E171" s="3795"/>
      <c r="F171" s="3797"/>
      <c r="G171" s="3811"/>
      <c r="H171" s="3793"/>
      <c r="I171" s="3793"/>
      <c r="J171" s="3832"/>
      <c r="K171" s="3764"/>
      <c r="L171" s="236"/>
      <c r="M171" s="237"/>
      <c r="N171" s="237" t="s">
        <v>241</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3793"/>
      <c r="E172" s="3795"/>
      <c r="F172" s="3798"/>
      <c r="G172" s="3811"/>
      <c r="H172" s="236"/>
      <c r="I172" s="237"/>
      <c r="J172" s="237" t="s">
        <v>262</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3831"/>
      <c r="I174" s="3831">
        <v>1</v>
      </c>
      <c r="J174" s="3830"/>
      <c r="K174" s="3833" t="s">
        <v>60</v>
      </c>
      <c r="L174" s="3760"/>
      <c r="M174" s="3760" t="s">
        <v>129</v>
      </c>
      <c r="N174" s="3835" t="str">
        <f>IF(Z174="","",INDEX(TERRITORY_MR_LIST,MATCH(Z174,TERRITORY_LIST_ID,0)))</f>
        <v/>
      </c>
      <c r="O174" s="3833" t="s">
        <v>60</v>
      </c>
      <c r="P174" s="3760"/>
      <c r="Q174" s="3760" t="s">
        <v>129</v>
      </c>
      <c r="R174" s="4093" t="s">
        <v>24</v>
      </c>
      <c r="S174" s="3829" t="s">
        <v>55</v>
      </c>
      <c r="T174" s="1722"/>
      <c r="U174" s="1722" t="s">
        <v>129</v>
      </c>
      <c r="V174" s="1354"/>
      <c r="W174" s="3830"/>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3831"/>
      <c r="I175" s="3831"/>
      <c r="J175" s="3830"/>
      <c r="K175" s="3834"/>
      <c r="L175" s="3760"/>
      <c r="M175" s="3760"/>
      <c r="N175" s="3835"/>
      <c r="O175" s="3834"/>
      <c r="P175" s="3760"/>
      <c r="Q175" s="3760"/>
      <c r="R175" s="4093"/>
      <c r="S175" s="3829"/>
      <c r="T175" s="1355"/>
      <c r="U175" s="1356"/>
      <c r="V175" s="1356"/>
      <c r="W175" s="3830"/>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3793"/>
      <c r="I176" s="3793"/>
      <c r="J176" s="3832"/>
      <c r="K176" s="3834"/>
      <c r="L176" s="3793"/>
      <c r="M176" s="3793"/>
      <c r="N176" s="3836"/>
      <c r="O176" s="3764"/>
      <c r="P176" s="236"/>
      <c r="Q176" s="237"/>
      <c r="R176" s="237" t="s">
        <v>240</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3793"/>
      <c r="I177" s="3793"/>
      <c r="J177" s="3832"/>
      <c r="K177" s="3764"/>
      <c r="L177" s="236"/>
      <c r="M177" s="237"/>
      <c r="N177" s="237" t="s">
        <v>241</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3760"/>
      <c r="M179" s="3760" t="s">
        <v>129</v>
      </c>
      <c r="N179" s="3835" t="str">
        <f>IF(Z179="","",INDEX(TERRITORY_MR_LIST,MATCH(Z179,TERRITORY_LIST_ID,0)))</f>
        <v/>
      </c>
      <c r="O179" s="3833" t="s">
        <v>60</v>
      </c>
      <c r="P179" s="3760"/>
      <c r="Q179" s="3760" t="s">
        <v>129</v>
      </c>
      <c r="R179" s="4093" t="s">
        <v>24</v>
      </c>
      <c r="S179" s="3829" t="s">
        <v>55</v>
      </c>
      <c r="T179" s="1722"/>
      <c r="U179" s="1722" t="s">
        <v>129</v>
      </c>
      <c r="V179" s="1354"/>
      <c r="W179" s="3830"/>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3760"/>
      <c r="M180" s="3760"/>
      <c r="N180" s="3835"/>
      <c r="O180" s="3834"/>
      <c r="P180" s="3760"/>
      <c r="Q180" s="3760"/>
      <c r="R180" s="4093"/>
      <c r="S180" s="3829"/>
      <c r="T180" s="1355"/>
      <c r="U180" s="1356"/>
      <c r="V180" s="1356"/>
      <c r="W180" s="3830"/>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3793"/>
      <c r="M181" s="3793"/>
      <c r="N181" s="3836"/>
      <c r="O181" s="3764"/>
      <c r="P181" s="236"/>
      <c r="Q181" s="237"/>
      <c r="R181" s="237" t="s">
        <v>240</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3760"/>
      <c r="Q183" s="3760" t="s">
        <v>129</v>
      </c>
      <c r="R183" s="4093" t="s">
        <v>24</v>
      </c>
      <c r="S183" s="3829" t="s">
        <v>55</v>
      </c>
      <c r="T183" s="1722"/>
      <c r="U183" s="1722" t="s">
        <v>129</v>
      </c>
      <c r="V183" s="1354"/>
      <c r="W183" s="3830"/>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3760"/>
      <c r="Q184" s="3760"/>
      <c r="R184" s="4093"/>
      <c r="S184" s="3829"/>
      <c r="T184" s="1355"/>
      <c r="U184" s="1356"/>
      <c r="V184" s="1356"/>
      <c r="W184" s="3830"/>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3831"/>
      <c r="E186" s="3842"/>
      <c r="F186" s="3842"/>
      <c r="G186" s="3778"/>
      <c r="H186" s="3799"/>
      <c r="I186" s="3801"/>
      <c r="J186" s="3803"/>
      <c r="K186" s="3786"/>
      <c r="L186" s="3786"/>
      <c r="M186" s="3786"/>
      <c r="N186" s="3788"/>
      <c r="O186" s="3786"/>
      <c r="P186" s="3786"/>
      <c r="Q186" s="3786"/>
      <c r="R186" s="3791"/>
      <c r="S186" s="3786"/>
      <c r="T186" s="1703"/>
      <c r="U186" s="1703"/>
      <c r="V186" s="1770"/>
      <c r="W186" s="1220"/>
    </row>
    <row r="187" spans="1:43" ht="16.5" customHeight="1">
      <c r="A187" s="1758"/>
      <c r="B187" s="1759"/>
      <c r="C187" s="1763"/>
      <c r="D187" s="3831"/>
      <c r="E187" s="3842"/>
      <c r="F187" s="3842"/>
      <c r="G187" s="3778"/>
      <c r="H187" s="3800"/>
      <c r="I187" s="3802"/>
      <c r="J187" s="3804"/>
      <c r="K187" s="3787"/>
      <c r="L187" s="3787"/>
      <c r="M187" s="3787"/>
      <c r="N187" s="3789"/>
      <c r="O187" s="3787"/>
      <c r="P187" s="3787"/>
      <c r="Q187" s="3787"/>
      <c r="R187" s="3790"/>
      <c r="S187" s="3787"/>
      <c r="T187" s="1221"/>
      <c r="U187" s="1221"/>
      <c r="V187" s="1221"/>
      <c r="W187" s="1222"/>
    </row>
    <row r="188" spans="1:43" ht="17.25" customHeight="1">
      <c r="A188" s="1758"/>
      <c r="B188" s="1759"/>
      <c r="C188" s="1763"/>
      <c r="D188" s="3831"/>
      <c r="E188" s="3842"/>
      <c r="F188" s="3842"/>
      <c r="G188" s="3778"/>
      <c r="H188" s="3800"/>
      <c r="I188" s="3802"/>
      <c r="J188" s="3805"/>
      <c r="K188" s="3787"/>
      <c r="L188" s="3787"/>
      <c r="M188" s="3787"/>
      <c r="N188" s="3790"/>
      <c r="O188" s="3787"/>
      <c r="P188" s="1706"/>
      <c r="Q188" s="1221"/>
      <c r="R188" s="1221"/>
      <c r="S188" s="1771"/>
      <c r="T188" s="1771"/>
      <c r="U188" s="1771"/>
      <c r="V188" s="1771"/>
      <c r="W188" s="1222"/>
    </row>
    <row r="189" spans="1:43" ht="17.25" customHeight="1">
      <c r="A189" s="1758"/>
      <c r="B189" s="1759"/>
      <c r="C189" s="1763"/>
      <c r="D189" s="3831"/>
      <c r="E189" s="3842"/>
      <c r="F189" s="3842"/>
      <c r="G189" s="3778"/>
      <c r="H189" s="3800"/>
      <c r="I189" s="3802"/>
      <c r="J189" s="3805"/>
      <c r="K189" s="3787"/>
      <c r="L189" s="1221"/>
      <c r="M189" s="1221"/>
      <c r="N189" s="1221"/>
      <c r="O189" s="1221"/>
      <c r="P189" s="1221"/>
      <c r="Q189" s="1221"/>
      <c r="R189" s="1221"/>
      <c r="S189" s="1771"/>
      <c r="T189" s="1771"/>
      <c r="U189" s="1771"/>
      <c r="V189" s="1771"/>
      <c r="W189" s="1222"/>
    </row>
    <row r="190" spans="1:43" ht="17.25" customHeight="1">
      <c r="A190" s="1758"/>
      <c r="B190" s="1759"/>
      <c r="C190" s="1763"/>
      <c r="D190" s="3831"/>
      <c r="E190" s="3842"/>
      <c r="F190" s="3842"/>
      <c r="G190" s="3778"/>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1335</v>
      </c>
    </row>
    <row r="193" spans="1:63" ht="17.25" customHeight="1">
      <c r="G193" s="1757"/>
      <c r="H193" s="1757"/>
      <c r="I193" s="1757"/>
      <c r="M193"/>
    </row>
    <row r="194" spans="1:63" s="1827" customFormat="1" ht="15" customHeight="1">
      <c r="D194" s="4109"/>
      <c r="E194" s="3857"/>
      <c r="F194" s="3857"/>
      <c r="G194" s="3833"/>
      <c r="H194" s="1489"/>
      <c r="I194" s="4113">
        <v>1</v>
      </c>
      <c r="J194" s="3830"/>
      <c r="K194" s="1503"/>
      <c r="L194" s="3833" t="s">
        <v>60</v>
      </c>
      <c r="M194" s="3833" t="s">
        <v>60</v>
      </c>
      <c r="N194" s="1489"/>
      <c r="O194" s="3760" t="s">
        <v>129</v>
      </c>
      <c r="P194" s="4103"/>
      <c r="Q194" s="1504"/>
      <c r="R194" s="3833" t="s">
        <v>60</v>
      </c>
      <c r="S194" s="3833" t="s">
        <v>60</v>
      </c>
      <c r="T194" s="1773"/>
      <c r="U194" s="3760" t="s">
        <v>129</v>
      </c>
      <c r="V194" s="4110" t="str">
        <f>IF(AK194="","",INDEX(TERRITORY_MR_LIST,MATCH(AK194,TERRITORY_LIST_ID,0)))</f>
        <v/>
      </c>
      <c r="W194" s="1505"/>
      <c r="X194" s="3833" t="s">
        <v>60</v>
      </c>
      <c r="Y194" s="3833" t="s">
        <v>55</v>
      </c>
      <c r="Z194" s="1489"/>
      <c r="AA194" s="3760" t="s">
        <v>129</v>
      </c>
      <c r="AB194" s="4112"/>
      <c r="AC194" s="1506"/>
      <c r="AD194" s="3833" t="s">
        <v>60</v>
      </c>
      <c r="AE194" s="3833" t="s">
        <v>55</v>
      </c>
      <c r="AF194" s="1487"/>
      <c r="AG194" s="1731" t="s">
        <v>129</v>
      </c>
      <c r="AH194" s="1497"/>
      <c r="AI194" s="1721"/>
    </row>
    <row r="195" spans="1:63" s="1827" customFormat="1" ht="15" customHeight="1">
      <c r="D195" s="4109"/>
      <c r="E195" s="3857"/>
      <c r="F195" s="3857"/>
      <c r="G195" s="3834"/>
      <c r="H195" s="1489"/>
      <c r="I195" s="4113"/>
      <c r="J195" s="3830"/>
      <c r="K195" s="1488"/>
      <c r="L195" s="3834"/>
      <c r="M195" s="3834"/>
      <c r="N195" s="1489"/>
      <c r="O195" s="3760"/>
      <c r="P195" s="4103"/>
      <c r="Q195" s="1485"/>
      <c r="R195" s="3834"/>
      <c r="S195" s="3834"/>
      <c r="T195" s="1773"/>
      <c r="U195" s="3760"/>
      <c r="V195" s="4111"/>
      <c r="W195" s="1486"/>
      <c r="X195" s="3834"/>
      <c r="Y195" s="3834"/>
      <c r="Z195" s="1489"/>
      <c r="AA195" s="3760"/>
      <c r="AB195" s="4087"/>
      <c r="AC195" s="1490"/>
      <c r="AD195" s="3764"/>
      <c r="AE195" s="3764"/>
      <c r="AF195" s="1491"/>
      <c r="AG195" s="1492"/>
      <c r="AH195" s="4104" t="s">
        <v>1336</v>
      </c>
      <c r="AI195" s="4105"/>
    </row>
    <row r="196" spans="1:63" s="1827" customFormat="1" ht="15" customHeight="1">
      <c r="D196" s="4109"/>
      <c r="E196" s="3857"/>
      <c r="F196" s="3857"/>
      <c r="G196" s="3834"/>
      <c r="H196" s="1489"/>
      <c r="I196" s="4113"/>
      <c r="J196" s="3830"/>
      <c r="K196" s="1488"/>
      <c r="L196" s="3834"/>
      <c r="M196" s="3834"/>
      <c r="N196" s="1489"/>
      <c r="O196" s="3760"/>
      <c r="P196" s="4103"/>
      <c r="Q196" s="1485"/>
      <c r="R196" s="3834"/>
      <c r="S196" s="3834"/>
      <c r="T196" s="1773"/>
      <c r="U196" s="3760"/>
      <c r="V196" s="4111"/>
      <c r="W196" s="1486"/>
      <c r="X196" s="3834"/>
      <c r="Y196" s="3834"/>
      <c r="Z196" s="1527"/>
      <c r="AA196" s="1494"/>
      <c r="AB196" s="4106" t="s">
        <v>1337</v>
      </c>
      <c r="AC196" s="4106"/>
      <c r="AD196" s="4106"/>
      <c r="AE196" s="4106"/>
      <c r="AF196" s="4106"/>
      <c r="AG196" s="4106"/>
      <c r="AH196" s="4106"/>
      <c r="AI196" s="4107"/>
    </row>
    <row r="197" spans="1:63" s="1827" customFormat="1" ht="15" customHeight="1">
      <c r="D197" s="4109"/>
      <c r="E197" s="3857"/>
      <c r="F197" s="3857"/>
      <c r="G197" s="3834"/>
      <c r="H197" s="1489"/>
      <c r="I197" s="4113"/>
      <c r="J197" s="3830"/>
      <c r="K197" s="1488"/>
      <c r="L197" s="3834"/>
      <c r="M197" s="3834"/>
      <c r="N197" s="1489"/>
      <c r="O197" s="3760"/>
      <c r="P197" s="4108"/>
      <c r="Q197" s="1485"/>
      <c r="R197" s="3834"/>
      <c r="S197" s="3834"/>
      <c r="T197" s="1774"/>
      <c r="U197" s="1528"/>
      <c r="V197" s="4104" t="s">
        <v>123</v>
      </c>
      <c r="W197" s="4104"/>
      <c r="X197" s="4104"/>
      <c r="Y197" s="4104"/>
      <c r="Z197" s="4104"/>
      <c r="AA197" s="4104"/>
      <c r="AB197" s="4104"/>
      <c r="AC197" s="4104"/>
      <c r="AD197" s="4104"/>
      <c r="AE197" s="4104"/>
      <c r="AF197" s="4104"/>
      <c r="AG197" s="4104"/>
      <c r="AH197" s="4104"/>
      <c r="AI197" s="4105"/>
    </row>
    <row r="198" spans="1:63" s="1827" customFormat="1" ht="11.25" customHeight="1">
      <c r="D198" s="4109"/>
      <c r="E198" s="3857"/>
      <c r="F198" s="3857"/>
      <c r="G198" s="3834"/>
      <c r="H198" s="1493"/>
      <c r="I198" s="4113"/>
      <c r="J198" s="4114"/>
      <c r="K198" s="1488"/>
      <c r="L198" s="3834"/>
      <c r="M198" s="3834"/>
      <c r="N198" s="1493"/>
      <c r="O198" s="1494"/>
      <c r="P198" s="4104" t="s">
        <v>1338</v>
      </c>
      <c r="Q198" s="4104"/>
      <c r="R198" s="4104"/>
      <c r="S198" s="4104"/>
      <c r="T198" s="4104"/>
      <c r="U198" s="4104"/>
      <c r="V198" s="4104"/>
      <c r="W198" s="4104"/>
      <c r="X198" s="4104"/>
      <c r="Y198" s="4104"/>
      <c r="Z198" s="4104"/>
      <c r="AA198" s="4104"/>
      <c r="AB198" s="4104"/>
      <c r="AC198" s="4104"/>
      <c r="AD198" s="4104"/>
      <c r="AE198" s="4104"/>
      <c r="AF198" s="4104"/>
      <c r="AG198" s="4104"/>
      <c r="AH198" s="4104"/>
      <c r="AI198" s="4105"/>
    </row>
    <row r="199" spans="1:63" s="1479" customFormat="1" ht="11.25" customHeight="1">
      <c r="D199" s="4109"/>
      <c r="E199" s="3857"/>
      <c r="F199" s="3857"/>
      <c r="G199" s="3764"/>
      <c r="H199" s="1495"/>
      <c r="I199" s="1496"/>
      <c r="J199" s="4104" t="s">
        <v>262</v>
      </c>
      <c r="K199" s="4104"/>
      <c r="L199" s="4104"/>
      <c r="M199" s="4104"/>
      <c r="N199" s="4104"/>
      <c r="O199" s="4104"/>
      <c r="P199" s="4104"/>
      <c r="Q199" s="4104"/>
      <c r="R199" s="4104"/>
      <c r="S199" s="4104"/>
      <c r="T199" s="4104"/>
      <c r="U199" s="4104"/>
      <c r="V199" s="4104"/>
      <c r="W199" s="4104"/>
      <c r="X199" s="4104"/>
      <c r="Y199" s="4104"/>
      <c r="Z199" s="4104"/>
      <c r="AA199" s="4104"/>
      <c r="AB199" s="4104"/>
      <c r="AC199" s="4104"/>
      <c r="AD199" s="4104"/>
      <c r="AE199" s="4104"/>
      <c r="AF199" s="4104"/>
      <c r="AG199" s="4104"/>
      <c r="AH199" s="4104"/>
      <c r="AI199" s="4105"/>
      <c r="BK199"/>
    </row>
    <row r="200" spans="1:63" ht="17.25" customHeight="1">
      <c r="G200" s="1757"/>
      <c r="I200" s="1757"/>
      <c r="J200" s="1757"/>
      <c r="N200"/>
    </row>
    <row r="201" spans="1:63" s="1827" customFormat="1" ht="15" customHeight="1">
      <c r="D201" s="4109"/>
      <c r="E201" s="3857"/>
      <c r="F201" s="3857"/>
      <c r="G201" s="3842"/>
      <c r="H201" s="1523"/>
      <c r="I201" s="3844"/>
      <c r="J201" s="3803"/>
      <c r="K201" s="1705"/>
      <c r="L201" s="3786"/>
      <c r="M201" s="3786"/>
      <c r="N201" s="1508"/>
      <c r="O201" s="3786"/>
      <c r="P201" s="3803"/>
      <c r="Q201" s="1709"/>
      <c r="R201" s="3786"/>
      <c r="S201" s="3786"/>
      <c r="T201" s="1775"/>
      <c r="U201" s="3786"/>
      <c r="V201" s="3803"/>
      <c r="W201" s="1511"/>
      <c r="X201" s="3786"/>
      <c r="Y201" s="3786"/>
      <c r="Z201" s="1508"/>
      <c r="AA201" s="3786"/>
      <c r="AB201" s="3803"/>
      <c r="AC201" s="1512"/>
      <c r="AD201" s="3786"/>
      <c r="AE201" s="3786"/>
      <c r="AF201" s="1703"/>
      <c r="AG201" s="1703"/>
      <c r="AH201" s="1513"/>
      <c r="AI201" s="1220"/>
    </row>
    <row r="202" spans="1:63" s="1827" customFormat="1" ht="15" customHeight="1">
      <c r="D202" s="4109"/>
      <c r="E202" s="3857"/>
      <c r="F202" s="3857"/>
      <c r="G202" s="3842"/>
      <c r="H202" s="1524"/>
      <c r="I202" s="3845"/>
      <c r="J202" s="3804"/>
      <c r="K202" s="1531"/>
      <c r="L202" s="3787"/>
      <c r="M202" s="3787"/>
      <c r="N202" s="1514"/>
      <c r="O202" s="3787"/>
      <c r="P202" s="3804"/>
      <c r="Q202" s="1710"/>
      <c r="R202" s="3787"/>
      <c r="S202" s="3787"/>
      <c r="T202" s="1776"/>
      <c r="U202" s="3787"/>
      <c r="V202" s="3804"/>
      <c r="W202" s="1517"/>
      <c r="X202" s="3787"/>
      <c r="Y202" s="3787"/>
      <c r="Z202" s="1514"/>
      <c r="AA202" s="3787"/>
      <c r="AB202" s="3804"/>
      <c r="AC202" s="1518"/>
      <c r="AD202" s="3787"/>
      <c r="AE202" s="3787"/>
      <c r="AF202" s="1708"/>
      <c r="AG202" s="1708"/>
      <c r="AH202" s="3840"/>
      <c r="AI202" s="3841"/>
    </row>
    <row r="203" spans="1:63" s="1827" customFormat="1" ht="15" customHeight="1">
      <c r="D203" s="4109"/>
      <c r="E203" s="3857"/>
      <c r="F203" s="3857"/>
      <c r="G203" s="3842"/>
      <c r="H203" s="1524"/>
      <c r="I203" s="3845"/>
      <c r="J203" s="3804"/>
      <c r="K203" s="1531"/>
      <c r="L203" s="3787"/>
      <c r="M203" s="3787"/>
      <c r="N203" s="1514"/>
      <c r="O203" s="3787"/>
      <c r="P203" s="3804"/>
      <c r="Q203" s="1710"/>
      <c r="R203" s="3787"/>
      <c r="S203" s="3787"/>
      <c r="T203" s="1776"/>
      <c r="U203" s="3787"/>
      <c r="V203" s="3804"/>
      <c r="W203" s="1517"/>
      <c r="X203" s="3787"/>
      <c r="Y203" s="3787"/>
      <c r="Z203" s="1706"/>
      <c r="AA203" s="1708"/>
      <c r="AB203" s="3840"/>
      <c r="AC203" s="3840"/>
      <c r="AD203" s="3840"/>
      <c r="AE203" s="3840"/>
      <c r="AF203" s="3840"/>
      <c r="AG203" s="3840"/>
      <c r="AH203" s="3840"/>
      <c r="AI203" s="3841"/>
    </row>
    <row r="204" spans="1:63" s="1827" customFormat="1" ht="15" customHeight="1">
      <c r="D204" s="4109"/>
      <c r="E204" s="3857"/>
      <c r="F204" s="3857"/>
      <c r="G204" s="3842"/>
      <c r="H204" s="1524"/>
      <c r="I204" s="3845"/>
      <c r="J204" s="3804"/>
      <c r="K204" s="1531"/>
      <c r="L204" s="3787"/>
      <c r="M204" s="3787"/>
      <c r="N204" s="1514"/>
      <c r="O204" s="3787"/>
      <c r="P204" s="3804"/>
      <c r="Q204" s="1710"/>
      <c r="R204" s="3787"/>
      <c r="S204" s="3787"/>
      <c r="T204" s="1777"/>
      <c r="U204" s="1521"/>
      <c r="V204" s="3840"/>
      <c r="W204" s="3840"/>
      <c r="X204" s="3840"/>
      <c r="Y204" s="3840"/>
      <c r="Z204" s="3840"/>
      <c r="AA204" s="3840"/>
      <c r="AB204" s="3840"/>
      <c r="AC204" s="3840"/>
      <c r="AD204" s="3840"/>
      <c r="AE204" s="3840"/>
      <c r="AF204" s="3840"/>
      <c r="AG204" s="3840"/>
      <c r="AH204" s="3840"/>
      <c r="AI204" s="3841"/>
    </row>
    <row r="205" spans="1:63" s="1827" customFormat="1" ht="11.25" customHeight="1">
      <c r="D205" s="4109"/>
      <c r="E205" s="3857"/>
      <c r="F205" s="3857"/>
      <c r="G205" s="3842"/>
      <c r="H205" s="1525"/>
      <c r="I205" s="3845"/>
      <c r="J205" s="3804"/>
      <c r="K205" s="1531"/>
      <c r="L205" s="3787"/>
      <c r="M205" s="3787"/>
      <c r="N205" s="1708"/>
      <c r="O205" s="1708"/>
      <c r="P205" s="3840"/>
      <c r="Q205" s="3840"/>
      <c r="R205" s="3840"/>
      <c r="S205" s="3840"/>
      <c r="T205" s="3840"/>
      <c r="U205" s="3840"/>
      <c r="V205" s="3840"/>
      <c r="W205" s="3840"/>
      <c r="X205" s="3840"/>
      <c r="Y205" s="3840"/>
      <c r="Z205" s="3840"/>
      <c r="AA205" s="3840"/>
      <c r="AB205" s="3840"/>
      <c r="AC205" s="3840"/>
      <c r="AD205" s="3840"/>
      <c r="AE205" s="3840"/>
      <c r="AF205" s="3840"/>
      <c r="AG205" s="3840"/>
      <c r="AH205" s="3840"/>
      <c r="AI205" s="3841"/>
    </row>
    <row r="206" spans="1:63" s="1479" customFormat="1" ht="11.25" customHeight="1">
      <c r="D206" s="4109"/>
      <c r="E206" s="3857"/>
      <c r="F206" s="3857"/>
      <c r="G206" s="3847"/>
      <c r="H206" s="1522"/>
      <c r="I206" s="1526"/>
      <c r="J206" s="3848"/>
      <c r="K206" s="3848"/>
      <c r="L206" s="3848"/>
      <c r="M206" s="3848"/>
      <c r="N206" s="3848"/>
      <c r="O206" s="3848"/>
      <c r="P206" s="3848"/>
      <c r="Q206" s="3848"/>
      <c r="R206" s="3848"/>
      <c r="S206" s="3848"/>
      <c r="T206" s="3848"/>
      <c r="U206" s="3848"/>
      <c r="V206" s="3848"/>
      <c r="W206" s="3848"/>
      <c r="X206" s="3848"/>
      <c r="Y206" s="3848"/>
      <c r="Z206" s="3848"/>
      <c r="AA206" s="3848"/>
      <c r="AB206" s="3848"/>
      <c r="AC206" s="3848"/>
      <c r="AD206" s="3848"/>
      <c r="AE206" s="3848"/>
      <c r="AF206" s="3848"/>
      <c r="AG206" s="3848"/>
      <c r="AH206" s="3848"/>
      <c r="AI206" s="3849"/>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7" customWidth="1"/>
    <col min="3" max="3" width="9.140625" style="1827"/>
    <col min="4" max="4" width="26.5703125" style="1827"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1339</v>
      </c>
      <c r="B1" s="977" t="s">
        <v>1340</v>
      </c>
      <c r="C1" s="977" t="s">
        <v>1341</v>
      </c>
      <c r="D1" s="977" t="s">
        <v>1342</v>
      </c>
      <c r="E1" s="977" t="s">
        <v>1343</v>
      </c>
      <c r="F1" s="977" t="s">
        <v>1344</v>
      </c>
      <c r="G1" s="977" t="s">
        <v>1345</v>
      </c>
      <c r="H1" s="977" t="s">
        <v>1346</v>
      </c>
      <c r="I1" s="977" t="s">
        <v>1347</v>
      </c>
      <c r="J1" s="977" t="s">
        <v>1348</v>
      </c>
      <c r="K1" s="977" t="s">
        <v>1349</v>
      </c>
      <c r="L1" s="977" t="s">
        <v>1350</v>
      </c>
      <c r="M1" s="977"/>
      <c r="N1" s="977" t="s">
        <v>1351</v>
      </c>
      <c r="O1" s="977" t="s">
        <v>1352</v>
      </c>
      <c r="P1" s="977" t="s">
        <v>1353</v>
      </c>
      <c r="Q1" s="977" t="s">
        <v>1354</v>
      </c>
      <c r="R1" s="977" t="s">
        <v>1355</v>
      </c>
      <c r="S1" s="977" t="s">
        <v>1356</v>
      </c>
      <c r="T1" s="977" t="s">
        <v>1357</v>
      </c>
      <c r="U1" s="977" t="s">
        <v>1358</v>
      </c>
      <c r="V1" s="977"/>
      <c r="W1" s="711" t="s">
        <v>1359</v>
      </c>
      <c r="X1" s="977" t="s">
        <v>1360</v>
      </c>
      <c r="Y1" s="977" t="s">
        <v>1361</v>
      </c>
      <c r="Z1" s="977"/>
      <c r="AA1" s="977" t="s">
        <v>1362</v>
      </c>
      <c r="AB1" s="977"/>
      <c r="AC1" s="977" t="s">
        <v>1363</v>
      </c>
      <c r="AD1" s="977"/>
      <c r="AF1" s="977" t="s">
        <v>1364</v>
      </c>
      <c r="AH1" s="977" t="s">
        <v>1365</v>
      </c>
      <c r="AI1" s="977" t="s">
        <v>1366</v>
      </c>
      <c r="AK1" s="977" t="s">
        <v>1367</v>
      </c>
      <c r="AM1" s="977" t="s">
        <v>1368</v>
      </c>
      <c r="AP1" s="977" t="s">
        <v>1369</v>
      </c>
      <c r="AQ1" s="977" t="s">
        <v>1370</v>
      </c>
      <c r="AS1" s="977" t="s">
        <v>1371</v>
      </c>
      <c r="AU1" s="977" t="s">
        <v>1372</v>
      </c>
      <c r="AW1" s="977" t="s">
        <v>1373</v>
      </c>
      <c r="AX1" s="977" t="s">
        <v>1374</v>
      </c>
      <c r="AZ1" s="1057" t="s">
        <v>1375</v>
      </c>
      <c r="BB1" s="977" t="s">
        <v>1376</v>
      </c>
      <c r="BC1" s="977"/>
      <c r="BE1" s="977" t="s">
        <v>1377</v>
      </c>
      <c r="BF1" s="977" t="s">
        <v>1378</v>
      </c>
      <c r="BH1" s="979" t="s">
        <v>746</v>
      </c>
      <c r="BI1" s="980"/>
      <c r="BJ1" s="981" t="s">
        <v>1379</v>
      </c>
      <c r="BK1" s="980"/>
      <c r="BL1" s="982" t="s">
        <v>844</v>
      </c>
      <c r="BM1" s="980"/>
      <c r="BN1" s="983" t="s">
        <v>1380</v>
      </c>
    </row>
    <row r="2" spans="1:79" ht="11.25" customHeight="1">
      <c r="A2" s="984" t="s">
        <v>1381</v>
      </c>
      <c r="B2" s="985">
        <v>2000</v>
      </c>
      <c r="C2" s="985">
        <v>2022</v>
      </c>
      <c r="D2" s="985" t="s">
        <v>60</v>
      </c>
      <c r="E2" s="986" t="s">
        <v>1382</v>
      </c>
      <c r="F2" s="986" t="s">
        <v>1383</v>
      </c>
      <c r="G2" s="986" t="s">
        <v>1384</v>
      </c>
      <c r="H2" s="987" t="s">
        <v>53</v>
      </c>
      <c r="I2" s="986" t="s">
        <v>129</v>
      </c>
      <c r="J2" s="986" t="s">
        <v>1385</v>
      </c>
      <c r="K2" s="988" t="s">
        <v>1386</v>
      </c>
      <c r="L2" s="989"/>
      <c r="M2" s="988">
        <v>1</v>
      </c>
      <c r="N2" s="1067" t="s">
        <v>1387</v>
      </c>
      <c r="O2" s="987" t="s">
        <v>1388</v>
      </c>
      <c r="P2" s="990" t="s">
        <v>33</v>
      </c>
      <c r="Q2" s="991" t="s">
        <v>1389</v>
      </c>
      <c r="R2" s="64" t="s">
        <v>1390</v>
      </c>
      <c r="S2" s="64" t="s">
        <v>1391</v>
      </c>
      <c r="T2" s="992" t="s">
        <v>1392</v>
      </c>
      <c r="U2" s="989" t="s">
        <v>1393</v>
      </c>
      <c r="V2" s="993">
        <v>1</v>
      </c>
      <c r="W2" s="994"/>
      <c r="X2" s="994" t="s">
        <v>1394</v>
      </c>
      <c r="Y2" s="985" t="s">
        <v>1395</v>
      </c>
      <c r="Z2" s="995"/>
      <c r="AA2" s="985" t="s">
        <v>1396</v>
      </c>
      <c r="AB2" s="996" t="s">
        <v>1396</v>
      </c>
      <c r="AC2" s="985" t="s">
        <v>1397</v>
      </c>
      <c r="AD2" s="996" t="s">
        <v>1397</v>
      </c>
      <c r="AF2" s="987" t="s">
        <v>1393</v>
      </c>
      <c r="AH2" s="986" t="s">
        <v>1398</v>
      </c>
      <c r="AI2" s="986" t="s">
        <v>1398</v>
      </c>
      <c r="AK2" s="986" t="s">
        <v>1399</v>
      </c>
      <c r="AM2" s="986" t="s">
        <v>1400</v>
      </c>
      <c r="AP2" s="997" t="s">
        <v>1394</v>
      </c>
      <c r="AQ2" s="998" t="s">
        <v>1394</v>
      </c>
      <c r="AS2" s="985" t="s">
        <v>1401</v>
      </c>
      <c r="AU2" s="1028" t="s">
        <v>1402</v>
      </c>
      <c r="AW2" s="1028" t="s">
        <v>1403</v>
      </c>
      <c r="AX2" s="1028" t="s">
        <v>1403</v>
      </c>
      <c r="AZ2" s="1028" t="s">
        <v>1404</v>
      </c>
      <c r="BB2" s="1028" t="s">
        <v>1405</v>
      </c>
      <c r="BC2" s="1028" t="s">
        <v>1406</v>
      </c>
      <c r="BE2" s="1028">
        <v>2000</v>
      </c>
      <c r="BF2" s="1028" t="s">
        <v>1407</v>
      </c>
    </row>
    <row r="3" spans="1:79" ht="11.25" customHeight="1">
      <c r="A3" s="984" t="s">
        <v>1408</v>
      </c>
      <c r="B3" s="985">
        <v>2001</v>
      </c>
      <c r="C3" s="985">
        <v>2023</v>
      </c>
      <c r="D3" s="985" t="s">
        <v>55</v>
      </c>
      <c r="E3" s="986" t="s">
        <v>1409</v>
      </c>
      <c r="F3" s="986" t="s">
        <v>1410</v>
      </c>
      <c r="G3" s="986" t="s">
        <v>1411</v>
      </c>
      <c r="H3" s="987" t="s">
        <v>1412</v>
      </c>
      <c r="I3" s="986" t="s">
        <v>102</v>
      </c>
      <c r="J3" s="986" t="s">
        <v>580</v>
      </c>
      <c r="K3" s="988" t="s">
        <v>1413</v>
      </c>
      <c r="L3" s="989">
        <f>IFERROR(MATCH(K3,OFFER_METHOD,0),0)</f>
        <v>0</v>
      </c>
      <c r="M3" s="988">
        <v>2</v>
      </c>
      <c r="N3" s="1067" t="s">
        <v>1414</v>
      </c>
      <c r="O3" s="987" t="s">
        <v>1415</v>
      </c>
      <c r="P3" s="990" t="s">
        <v>1416</v>
      </c>
      <c r="Q3" s="991" t="s">
        <v>1417</v>
      </c>
      <c r="R3" s="64" t="s">
        <v>1418</v>
      </c>
      <c r="S3" s="64" t="s">
        <v>1419</v>
      </c>
      <c r="T3" s="992" t="s">
        <v>1420</v>
      </c>
      <c r="U3" s="989" t="s">
        <v>1421</v>
      </c>
      <c r="V3" s="993">
        <v>2</v>
      </c>
      <c r="W3" s="994"/>
      <c r="X3" s="994" t="s">
        <v>1422</v>
      </c>
      <c r="Y3" s="985" t="s">
        <v>1395</v>
      </c>
      <c r="Z3" s="995"/>
      <c r="AA3" s="985" t="s">
        <v>1423</v>
      </c>
      <c r="AB3" s="996" t="s">
        <v>1423</v>
      </c>
      <c r="AC3" s="985" t="s">
        <v>1424</v>
      </c>
      <c r="AD3" s="996" t="s">
        <v>1424</v>
      </c>
      <c r="AF3" s="987" t="s">
        <v>1421</v>
      </c>
      <c r="AH3" s="986" t="s">
        <v>1425</v>
      </c>
      <c r="AI3" s="986" t="s">
        <v>1426</v>
      </c>
      <c r="AK3" s="986" t="s">
        <v>1427</v>
      </c>
      <c r="AM3" s="986" t="s">
        <v>1428</v>
      </c>
      <c r="AP3" s="997" t="s">
        <v>1429</v>
      </c>
      <c r="AQ3" s="998" t="s">
        <v>1429</v>
      </c>
      <c r="AS3" s="985" t="s">
        <v>1430</v>
      </c>
      <c r="AU3" s="1028" t="s">
        <v>1431</v>
      </c>
      <c r="AW3" s="1028" t="s">
        <v>1432</v>
      </c>
      <c r="AX3" s="1028" t="s">
        <v>1432</v>
      </c>
      <c r="AZ3" s="1028" t="s">
        <v>1433</v>
      </c>
      <c r="BB3" s="1028" t="s">
        <v>1434</v>
      </c>
      <c r="BC3" s="1028" t="s">
        <v>1406</v>
      </c>
      <c r="BE3" s="1028">
        <v>2001</v>
      </c>
      <c r="BF3" s="1028" t="s">
        <v>1435</v>
      </c>
      <c r="BH3" s="977" t="s">
        <v>1436</v>
      </c>
      <c r="BJ3" s="977" t="s">
        <v>1437</v>
      </c>
      <c r="BL3" s="977" t="s">
        <v>1438</v>
      </c>
      <c r="BN3" s="977" t="s">
        <v>1439</v>
      </c>
      <c r="BR3" s="977" t="s">
        <v>1440</v>
      </c>
      <c r="BS3" s="1348"/>
      <c r="BT3" s="980"/>
      <c r="BU3" s="977" t="s">
        <v>1441</v>
      </c>
      <c r="BV3" s="980"/>
      <c r="BW3"/>
      <c r="BX3" s="1611" t="s">
        <v>1442</v>
      </c>
      <c r="CA3" s="977" t="s">
        <v>1443</v>
      </c>
    </row>
    <row r="4" spans="1:79" ht="11.25" customHeight="1">
      <c r="A4" s="984" t="s">
        <v>1444</v>
      </c>
      <c r="B4" s="985">
        <v>2002</v>
      </c>
      <c r="C4" s="985">
        <v>2024</v>
      </c>
      <c r="E4" s="986" t="s">
        <v>1445</v>
      </c>
      <c r="F4" s="986" t="s">
        <v>1446</v>
      </c>
      <c r="H4" s="987" t="s">
        <v>1447</v>
      </c>
      <c r="I4" s="986" t="s">
        <v>88</v>
      </c>
      <c r="J4" s="986" t="s">
        <v>1448</v>
      </c>
      <c r="K4" s="988" t="s">
        <v>1449</v>
      </c>
      <c r="L4" s="989">
        <f>IFERROR(MATCH(K4,OFFER_METHOD,0),0)</f>
        <v>0</v>
      </c>
      <c r="M4" s="988">
        <v>3</v>
      </c>
      <c r="N4" s="1067" t="s">
        <v>1450</v>
      </c>
      <c r="O4" s="986" t="s">
        <v>1451</v>
      </c>
      <c r="Q4" s="991" t="s">
        <v>1452</v>
      </c>
      <c r="R4" s="64" t="s">
        <v>1453</v>
      </c>
      <c r="S4" s="64" t="s">
        <v>1454</v>
      </c>
      <c r="T4" s="992" t="s">
        <v>1455</v>
      </c>
      <c r="U4" s="989" t="s">
        <v>1456</v>
      </c>
      <c r="V4" s="993">
        <v>3</v>
      </c>
      <c r="W4" s="994"/>
      <c r="X4" s="994" t="s">
        <v>1457</v>
      </c>
      <c r="Y4" s="985" t="s">
        <v>1395</v>
      </c>
      <c r="Z4" s="1000"/>
      <c r="AC4" s="985" t="s">
        <v>1458</v>
      </c>
      <c r="AD4" s="996" t="s">
        <v>1458</v>
      </c>
      <c r="AF4" s="987" t="s">
        <v>1456</v>
      </c>
      <c r="AH4" s="987" t="s">
        <v>1459</v>
      </c>
      <c r="AK4" s="986" t="s">
        <v>1460</v>
      </c>
      <c r="AM4" s="986" t="s">
        <v>1461</v>
      </c>
      <c r="AP4" s="997" t="s">
        <v>1422</v>
      </c>
      <c r="AQ4" s="998" t="s">
        <v>1422</v>
      </c>
      <c r="AS4" s="985" t="s">
        <v>1462</v>
      </c>
      <c r="AU4" s="1028" t="s">
        <v>1463</v>
      </c>
      <c r="AW4" s="1028" t="s">
        <v>1464</v>
      </c>
      <c r="AX4" s="1028" t="s">
        <v>1464</v>
      </c>
      <c r="AZ4" s="1028" t="s">
        <v>1465</v>
      </c>
      <c r="BB4" s="1028" t="s">
        <v>1466</v>
      </c>
      <c r="BC4" s="1028" t="s">
        <v>1467</v>
      </c>
      <c r="BE4" s="1028">
        <v>2002</v>
      </c>
      <c r="BF4" s="1028" t="s">
        <v>1468</v>
      </c>
      <c r="BH4" s="978" t="s">
        <v>1469</v>
      </c>
      <c r="BJ4" s="978" t="s">
        <v>1469</v>
      </c>
      <c r="BL4" s="978" t="s">
        <v>1469</v>
      </c>
      <c r="BN4" s="978" t="s">
        <v>1469</v>
      </c>
      <c r="BQ4" s="1352" t="s">
        <v>1470</v>
      </c>
      <c r="BR4" s="1064" t="s">
        <v>1471</v>
      </c>
      <c r="BS4" s="189"/>
      <c r="BT4" s="1352" t="s">
        <v>1472</v>
      </c>
      <c r="BU4" s="1064" t="s">
        <v>1473</v>
      </c>
      <c r="BV4" s="980"/>
      <c r="BW4" s="1616" t="s">
        <v>1474</v>
      </c>
      <c r="BX4" s="1610" t="s">
        <v>1475</v>
      </c>
      <c r="BZ4" s="1352" t="s">
        <v>1476</v>
      </c>
      <c r="CA4" s="1064" t="s">
        <v>1477</v>
      </c>
    </row>
    <row r="5" spans="1:79" ht="11.25" customHeight="1">
      <c r="A5" s="984" t="s">
        <v>1478</v>
      </c>
      <c r="B5" s="985">
        <v>2003</v>
      </c>
      <c r="C5" s="985">
        <v>2025</v>
      </c>
      <c r="E5" s="986" t="s">
        <v>1479</v>
      </c>
      <c r="F5" s="986" t="s">
        <v>1480</v>
      </c>
      <c r="H5" s="987" t="s">
        <v>1481</v>
      </c>
      <c r="I5" s="986" t="s">
        <v>89</v>
      </c>
      <c r="K5" s="988" t="s">
        <v>1482</v>
      </c>
      <c r="L5" s="989">
        <f>IFERROR(MATCH(K5,OFFER_METHOD,0),0)</f>
        <v>0</v>
      </c>
      <c r="M5" s="988">
        <v>4</v>
      </c>
      <c r="N5" s="1001" t="s">
        <v>1483</v>
      </c>
      <c r="O5" s="986" t="s">
        <v>1484</v>
      </c>
      <c r="Q5" s="991" t="s">
        <v>1485</v>
      </c>
      <c r="R5" s="64" t="s">
        <v>527</v>
      </c>
      <c r="T5" s="987" t="s">
        <v>1486</v>
      </c>
      <c r="U5" s="989" t="s">
        <v>1487</v>
      </c>
      <c r="V5" s="993">
        <v>4</v>
      </c>
      <c r="W5" s="994"/>
      <c r="X5" s="994" t="s">
        <v>184</v>
      </c>
      <c r="Y5" s="985" t="s">
        <v>1488</v>
      </c>
      <c r="Z5" s="1000">
        <v>1</v>
      </c>
      <c r="AF5" s="987" t="s">
        <v>1489</v>
      </c>
      <c r="AH5" s="986" t="s">
        <v>1490</v>
      </c>
      <c r="AK5" s="986" t="s">
        <v>1491</v>
      </c>
      <c r="AM5" s="986" t="s">
        <v>1492</v>
      </c>
      <c r="AP5" s="997" t="s">
        <v>184</v>
      </c>
      <c r="AQ5" s="998" t="s">
        <v>184</v>
      </c>
      <c r="AU5" s="1028" t="s">
        <v>1493</v>
      </c>
      <c r="AW5" s="1028" t="s">
        <v>1494</v>
      </c>
      <c r="AX5" s="1028" t="s">
        <v>1494</v>
      </c>
      <c r="AZ5" s="1028" t="s">
        <v>1495</v>
      </c>
      <c r="BB5" s="1028" t="s">
        <v>1496</v>
      </c>
      <c r="BC5" s="1028" t="s">
        <v>1497</v>
      </c>
      <c r="BE5" s="1028">
        <v>2003</v>
      </c>
      <c r="BF5" s="1028" t="s">
        <v>1498</v>
      </c>
      <c r="BH5" s="978" t="s">
        <v>1499</v>
      </c>
      <c r="BJ5" s="978" t="s">
        <v>1499</v>
      </c>
      <c r="BL5" s="978" t="s">
        <v>1499</v>
      </c>
      <c r="BN5" s="978" t="s">
        <v>1500</v>
      </c>
      <c r="BQ5" s="1206">
        <v>4213775</v>
      </c>
      <c r="BR5" s="978" t="s">
        <v>1394</v>
      </c>
      <c r="BS5" s="1349"/>
      <c r="BT5" s="1206">
        <v>64236871</v>
      </c>
      <c r="BU5" s="978" t="s">
        <v>233</v>
      </c>
      <c r="BV5" s="980"/>
      <c r="BW5" s="1614">
        <v>4213767</v>
      </c>
      <c r="BX5" s="1612" t="s">
        <v>1501</v>
      </c>
      <c r="BZ5" s="1206">
        <v>64237509</v>
      </c>
      <c r="CA5" s="1219" t="s">
        <v>1502</v>
      </c>
    </row>
    <row r="6" spans="1:79" ht="11.25" customHeight="1">
      <c r="A6" s="984" t="s">
        <v>1503</v>
      </c>
      <c r="B6" s="985">
        <v>2004</v>
      </c>
      <c r="C6" s="985">
        <v>2026</v>
      </c>
      <c r="E6" s="986" t="s">
        <v>1504</v>
      </c>
      <c r="F6" s="1002"/>
      <c r="H6" s="987" t="s">
        <v>1505</v>
      </c>
      <c r="I6" s="986" t="s">
        <v>117</v>
      </c>
      <c r="J6" s="977" t="s">
        <v>1506</v>
      </c>
      <c r="L6" s="989">
        <f>SUM(kind_of_control_method_filter)</f>
        <v>0</v>
      </c>
      <c r="N6" s="1001" t="s">
        <v>1507</v>
      </c>
      <c r="O6" s="986" t="s">
        <v>1508</v>
      </c>
      <c r="R6" s="64" t="s">
        <v>1389</v>
      </c>
      <c r="T6" s="987" t="s">
        <v>1509</v>
      </c>
      <c r="U6" s="989" t="s">
        <v>1489</v>
      </c>
      <c r="V6" s="993">
        <v>5</v>
      </c>
      <c r="W6" s="994"/>
      <c r="X6" s="985" t="s">
        <v>190</v>
      </c>
      <c r="Y6" s="985" t="s">
        <v>1510</v>
      </c>
      <c r="Z6" s="1000"/>
      <c r="AA6" s="1003"/>
      <c r="AH6" s="986" t="s">
        <v>1511</v>
      </c>
      <c r="AK6" s="986" t="s">
        <v>1512</v>
      </c>
      <c r="AM6" s="986" t="s">
        <v>1513</v>
      </c>
      <c r="AP6" s="997" t="s">
        <v>190</v>
      </c>
      <c r="AQ6" s="998" t="s">
        <v>190</v>
      </c>
      <c r="AU6" s="1028" t="s">
        <v>1514</v>
      </c>
      <c r="AW6" s="1028" t="s">
        <v>1515</v>
      </c>
      <c r="AX6" s="1028" t="s">
        <v>1515</v>
      </c>
      <c r="BB6" s="1028" t="s">
        <v>1516</v>
      </c>
      <c r="BC6" s="1028" t="s">
        <v>1497</v>
      </c>
      <c r="BE6" s="1028">
        <v>2004</v>
      </c>
      <c r="BF6" s="1028" t="s">
        <v>1517</v>
      </c>
      <c r="BH6" s="978" t="s">
        <v>1518</v>
      </c>
      <c r="BJ6" s="978" t="s">
        <v>1519</v>
      </c>
      <c r="BL6" s="978" t="s">
        <v>1519</v>
      </c>
      <c r="BN6" s="978" t="s">
        <v>1520</v>
      </c>
      <c r="BQ6" s="1206">
        <v>4213784</v>
      </c>
      <c r="BR6" s="1219" t="s">
        <v>1429</v>
      </c>
      <c r="BS6" s="1350"/>
      <c r="BT6" s="1206">
        <v>64236872</v>
      </c>
      <c r="BU6" s="978" t="s">
        <v>263</v>
      </c>
      <c r="BV6" s="980"/>
      <c r="BW6" s="1614">
        <v>4213768</v>
      </c>
      <c r="BX6" s="1612" t="s">
        <v>283</v>
      </c>
      <c r="BZ6" s="1206">
        <v>64237510</v>
      </c>
      <c r="CA6" s="978" t="s">
        <v>1521</v>
      </c>
    </row>
    <row r="7" spans="1:79" ht="11.25" customHeight="1">
      <c r="A7" s="984" t="s">
        <v>1522</v>
      </c>
      <c r="B7" s="985">
        <v>2005</v>
      </c>
      <c r="E7" s="986" t="s">
        <v>1523</v>
      </c>
      <c r="F7" s="1002"/>
      <c r="H7" s="987" t="s">
        <v>1524</v>
      </c>
      <c r="I7" s="986" t="s">
        <v>90</v>
      </c>
      <c r="J7" s="986" t="s">
        <v>1525</v>
      </c>
      <c r="N7" s="1005" t="s">
        <v>1526</v>
      </c>
      <c r="O7" s="986" t="s">
        <v>1527</v>
      </c>
      <c r="U7" s="989" t="s">
        <v>55</v>
      </c>
      <c r="V7" s="294" t="s">
        <v>90</v>
      </c>
      <c r="W7" s="994"/>
      <c r="X7" s="985" t="s">
        <v>196</v>
      </c>
      <c r="Y7" s="985" t="s">
        <v>1488</v>
      </c>
      <c r="Z7" s="1000"/>
      <c r="AA7" s="1003"/>
      <c r="AH7" s="986" t="s">
        <v>1528</v>
      </c>
      <c r="AK7" s="986" t="s">
        <v>1529</v>
      </c>
      <c r="AM7" s="986" t="s">
        <v>1530</v>
      </c>
      <c r="AP7" s="997" t="s">
        <v>196</v>
      </c>
      <c r="AQ7" s="998" t="s">
        <v>196</v>
      </c>
      <c r="AU7" s="1028" t="s">
        <v>1531</v>
      </c>
      <c r="AW7" s="1028" t="s">
        <v>1532</v>
      </c>
      <c r="AX7" s="1028" t="s">
        <v>1532</v>
      </c>
      <c r="AZ7" s="977" t="s">
        <v>1533</v>
      </c>
      <c r="BB7" s="1028" t="s">
        <v>1534</v>
      </c>
      <c r="BC7" s="1028" t="s">
        <v>1497</v>
      </c>
      <c r="BE7" s="1028">
        <v>2005</v>
      </c>
      <c r="BF7" s="1028" t="s">
        <v>1535</v>
      </c>
      <c r="BH7" s="978" t="s">
        <v>1536</v>
      </c>
      <c r="BJ7" s="978" t="s">
        <v>1518</v>
      </c>
      <c r="BL7" s="978" t="s">
        <v>1518</v>
      </c>
      <c r="BN7" s="978" t="s">
        <v>1537</v>
      </c>
      <c r="BQ7" s="1206">
        <v>4213781</v>
      </c>
      <c r="BR7" s="978" t="s">
        <v>1422</v>
      </c>
      <c r="BS7" s="1349"/>
      <c r="BT7" s="1206">
        <v>64236873</v>
      </c>
      <c r="BU7" s="978" t="s">
        <v>268</v>
      </c>
      <c r="BV7" s="980"/>
      <c r="BW7" s="1614">
        <v>4213769</v>
      </c>
      <c r="BX7" s="1612" t="s">
        <v>1538</v>
      </c>
      <c r="BZ7" s="1206">
        <v>64237511</v>
      </c>
      <c r="CA7" s="978" t="s">
        <v>298</v>
      </c>
    </row>
    <row r="8" spans="1:79" ht="11.25" customHeight="1">
      <c r="A8" s="984" t="s">
        <v>1539</v>
      </c>
      <c r="B8" s="985">
        <v>2006</v>
      </c>
      <c r="E8" s="986" t="s">
        <v>1540</v>
      </c>
      <c r="F8" s="1002"/>
      <c r="I8" s="986" t="s">
        <v>91</v>
      </c>
      <c r="J8" s="986" t="s">
        <v>1541</v>
      </c>
      <c r="N8" s="1068" t="s">
        <v>1542</v>
      </c>
      <c r="O8" s="986" t="s">
        <v>1543</v>
      </c>
      <c r="V8" s="294" t="s">
        <v>91</v>
      </c>
      <c r="W8" s="994"/>
      <c r="X8" s="985" t="s">
        <v>202</v>
      </c>
      <c r="Y8" s="985" t="s">
        <v>1488</v>
      </c>
      <c r="Z8" s="1000"/>
      <c r="AA8" s="1003"/>
      <c r="AK8" s="986" t="s">
        <v>1544</v>
      </c>
      <c r="AP8" s="997" t="s">
        <v>202</v>
      </c>
      <c r="AQ8" s="998" t="s">
        <v>202</v>
      </c>
      <c r="AU8" s="1028" t="s">
        <v>1545</v>
      </c>
      <c r="AW8" s="1028" t="s">
        <v>1546</v>
      </c>
      <c r="AX8" s="1028" t="s">
        <v>1546</v>
      </c>
      <c r="AZ8" s="1028" t="s">
        <v>1547</v>
      </c>
      <c r="BB8" s="1028" t="s">
        <v>1548</v>
      </c>
      <c r="BC8" s="1028" t="s">
        <v>1497</v>
      </c>
      <c r="BE8" s="1028">
        <v>2006</v>
      </c>
      <c r="BF8" s="1028" t="s">
        <v>1549</v>
      </c>
      <c r="BH8" s="978" t="s">
        <v>1550</v>
      </c>
      <c r="BJ8" s="978" t="s">
        <v>1551</v>
      </c>
      <c r="BL8" s="978" t="s">
        <v>1551</v>
      </c>
      <c r="BN8" s="978" t="s">
        <v>1552</v>
      </c>
      <c r="BQ8" s="1206">
        <v>4213776</v>
      </c>
      <c r="BR8" s="978" t="s">
        <v>184</v>
      </c>
      <c r="BS8" s="1349"/>
      <c r="BT8" s="1206">
        <v>64236874</v>
      </c>
      <c r="BU8" s="1219" t="s">
        <v>1553</v>
      </c>
      <c r="BV8" s="980"/>
      <c r="BW8" s="1614">
        <v>4213770</v>
      </c>
      <c r="BX8" s="1615" t="s">
        <v>1554</v>
      </c>
      <c r="BZ8" s="1206">
        <v>64237512</v>
      </c>
      <c r="CA8" s="978" t="s">
        <v>293</v>
      </c>
    </row>
    <row r="9" spans="1:79" ht="11.25" customHeight="1">
      <c r="A9" s="984" t="s">
        <v>1555</v>
      </c>
      <c r="B9" s="985">
        <v>2007</v>
      </c>
      <c r="E9" s="986" t="s">
        <v>1556</v>
      </c>
      <c r="F9" s="1002"/>
      <c r="G9" s="977" t="s">
        <v>1557</v>
      </c>
      <c r="H9" s="977" t="s">
        <v>1558</v>
      </c>
      <c r="I9" s="986" t="s">
        <v>130</v>
      </c>
      <c r="O9" s="986" t="s">
        <v>1559</v>
      </c>
      <c r="V9" s="294" t="s">
        <v>130</v>
      </c>
      <c r="W9" s="994"/>
      <c r="X9" s="985" t="s">
        <v>208</v>
      </c>
      <c r="Y9" s="985" t="s">
        <v>1395</v>
      </c>
      <c r="Z9" s="1000">
        <v>1</v>
      </c>
      <c r="AA9" s="1003"/>
      <c r="AK9" s="986" t="s">
        <v>1560</v>
      </c>
      <c r="AP9" s="997" t="s">
        <v>1561</v>
      </c>
      <c r="AQ9" s="998" t="s">
        <v>1561</v>
      </c>
      <c r="AW9" s="1028" t="s">
        <v>1562</v>
      </c>
      <c r="AX9" s="1028" t="s">
        <v>1562</v>
      </c>
      <c r="AZ9" s="1028" t="s">
        <v>1563</v>
      </c>
      <c r="BB9" s="1028" t="s">
        <v>1564</v>
      </c>
      <c r="BC9" s="1028" t="s">
        <v>1497</v>
      </c>
      <c r="BE9" s="1028">
        <v>2007</v>
      </c>
      <c r="BF9" s="1028" t="s">
        <v>1565</v>
      </c>
      <c r="BH9" s="978" t="s">
        <v>1566</v>
      </c>
      <c r="BJ9" s="978" t="s">
        <v>1567</v>
      </c>
      <c r="BL9" s="978" t="s">
        <v>1567</v>
      </c>
      <c r="BN9" s="978" t="s">
        <v>1568</v>
      </c>
      <c r="BQ9" s="1206">
        <v>4213777</v>
      </c>
      <c r="BR9" s="978" t="s">
        <v>190</v>
      </c>
      <c r="BS9" s="1349"/>
      <c r="BT9" s="1206">
        <v>64236875</v>
      </c>
      <c r="BU9" s="978" t="s">
        <v>273</v>
      </c>
      <c r="BV9" s="980"/>
      <c r="BW9"/>
      <c r="BX9"/>
    </row>
    <row r="10" spans="1:79" ht="11.25" customHeight="1">
      <c r="A10" s="984" t="s">
        <v>1569</v>
      </c>
      <c r="B10" s="985">
        <v>2008</v>
      </c>
      <c r="E10" s="986" t="s">
        <v>1570</v>
      </c>
      <c r="F10" s="1002"/>
      <c r="G10" s="986" t="s">
        <v>1571</v>
      </c>
      <c r="H10" s="986" t="s">
        <v>1572</v>
      </c>
      <c r="I10" s="986" t="s">
        <v>166</v>
      </c>
      <c r="J10" s="977" t="s">
        <v>1573</v>
      </c>
      <c r="K10" s="977" t="s">
        <v>1574</v>
      </c>
      <c r="O10" s="986" t="s">
        <v>1575</v>
      </c>
      <c r="V10" s="295" t="s">
        <v>166</v>
      </c>
      <c r="W10" s="1006"/>
      <c r="X10" s="1006" t="s">
        <v>1576</v>
      </c>
      <c r="Y10" s="1007" t="s">
        <v>1577</v>
      </c>
      <c r="Z10" s="1000"/>
      <c r="AP10" s="997" t="s">
        <v>1576</v>
      </c>
      <c r="AQ10" s="998" t="s">
        <v>1576</v>
      </c>
      <c r="AW10" s="1028" t="s">
        <v>1578</v>
      </c>
      <c r="AX10" s="1028" t="s">
        <v>1578</v>
      </c>
      <c r="AZ10" s="1028" t="s">
        <v>1579</v>
      </c>
      <c r="BB10" s="1028" t="s">
        <v>1580</v>
      </c>
      <c r="BC10" s="1028" t="s">
        <v>1497</v>
      </c>
      <c r="BE10" s="1028">
        <v>2008</v>
      </c>
      <c r="BF10" s="1028" t="s">
        <v>1581</v>
      </c>
      <c r="BH10" s="978" t="s">
        <v>1582</v>
      </c>
      <c r="BJ10" s="978" t="s">
        <v>1583</v>
      </c>
      <c r="BL10" s="978" t="s">
        <v>1583</v>
      </c>
      <c r="BN10" s="978" t="s">
        <v>1584</v>
      </c>
      <c r="BQ10" s="1206">
        <v>4213778</v>
      </c>
      <c r="BR10" s="978" t="s">
        <v>196</v>
      </c>
      <c r="BS10" s="1349"/>
      <c r="BT10" s="1206">
        <v>64236876</v>
      </c>
      <c r="BU10" s="978" t="s">
        <v>228</v>
      </c>
      <c r="BV10" s="980"/>
      <c r="BW10"/>
      <c r="BX10"/>
    </row>
    <row r="11" spans="1:79" ht="11.25" customHeight="1">
      <c r="A11" s="984" t="s">
        <v>1585</v>
      </c>
      <c r="B11" s="985">
        <v>2009</v>
      </c>
      <c r="E11" s="986" t="s">
        <v>1586</v>
      </c>
      <c r="F11" s="1002"/>
      <c r="G11" s="986" t="s">
        <v>1587</v>
      </c>
      <c r="H11" s="986" t="s">
        <v>1588</v>
      </c>
      <c r="I11" s="986" t="s">
        <v>167</v>
      </c>
      <c r="J11" s="987" t="s">
        <v>1589</v>
      </c>
      <c r="K11" s="1008" t="s">
        <v>1590</v>
      </c>
      <c r="O11" s="987" t="s">
        <v>1591</v>
      </c>
      <c r="V11" s="294" t="s">
        <v>167</v>
      </c>
      <c r="W11" s="190"/>
      <c r="X11" s="994" t="s">
        <v>1561</v>
      </c>
      <c r="Y11" s="985" t="s">
        <v>1592</v>
      </c>
      <c r="Z11" s="1000"/>
      <c r="AP11" s="997" t="s">
        <v>208</v>
      </c>
      <c r="AQ11" s="999" t="s">
        <v>208</v>
      </c>
      <c r="AW11" s="1028" t="s">
        <v>1593</v>
      </c>
      <c r="AX11" s="1028" t="s">
        <v>1593</v>
      </c>
      <c r="AZ11" s="1028" t="s">
        <v>1594</v>
      </c>
      <c r="BB11" s="1028" t="s">
        <v>1595</v>
      </c>
      <c r="BC11" s="1028" t="s">
        <v>1497</v>
      </c>
      <c r="BE11" s="1028">
        <v>2009</v>
      </c>
      <c r="BF11" s="1028" t="s">
        <v>1596</v>
      </c>
      <c r="BH11" s="978" t="s">
        <v>1597</v>
      </c>
      <c r="BJ11" s="978" t="s">
        <v>1566</v>
      </c>
      <c r="BL11" s="978" t="s">
        <v>1566</v>
      </c>
      <c r="BN11" s="978" t="s">
        <v>1598</v>
      </c>
      <c r="BQ11" s="1206">
        <v>4213780</v>
      </c>
      <c r="BR11" s="978" t="s">
        <v>202</v>
      </c>
      <c r="BS11" s="1349"/>
      <c r="BW11"/>
      <c r="BX11"/>
    </row>
    <row r="12" spans="1:79" ht="11.25" customHeight="1">
      <c r="A12" s="984" t="s">
        <v>1599</v>
      </c>
      <c r="B12" s="985">
        <v>2010</v>
      </c>
      <c r="E12" s="986" t="s">
        <v>1600</v>
      </c>
      <c r="F12" s="1002"/>
      <c r="G12" s="986" t="s">
        <v>1588</v>
      </c>
      <c r="I12" s="986" t="s">
        <v>168</v>
      </c>
      <c r="J12" s="987" t="s">
        <v>1601</v>
      </c>
      <c r="K12" s="1008" t="s">
        <v>1602</v>
      </c>
      <c r="O12" s="987" t="s">
        <v>1389</v>
      </c>
      <c r="V12" s="294" t="s">
        <v>168</v>
      </c>
      <c r="W12" s="999"/>
      <c r="X12" s="994" t="s">
        <v>1603</v>
      </c>
      <c r="Y12" s="985" t="s">
        <v>1395</v>
      </c>
      <c r="AP12" s="997"/>
      <c r="AW12" s="1028" t="s">
        <v>167</v>
      </c>
      <c r="AX12" s="1028" t="s">
        <v>167</v>
      </c>
      <c r="AZ12" s="1028" t="s">
        <v>1604</v>
      </c>
      <c r="BB12" s="1028" t="s">
        <v>1605</v>
      </c>
      <c r="BC12" s="1028" t="s">
        <v>1497</v>
      </c>
      <c r="BE12" s="1028">
        <v>2010</v>
      </c>
      <c r="BF12" s="1028" t="s">
        <v>1606</v>
      </c>
      <c r="BH12" s="978" t="s">
        <v>1607</v>
      </c>
      <c r="BJ12" s="978" t="s">
        <v>1608</v>
      </c>
      <c r="BL12" s="978" t="s">
        <v>1608</v>
      </c>
      <c r="BN12" s="978" t="s">
        <v>1609</v>
      </c>
      <c r="BQ12" s="1206">
        <v>4213779</v>
      </c>
      <c r="BR12" s="978" t="s">
        <v>1561</v>
      </c>
      <c r="BS12" s="1349"/>
      <c r="BT12" s="980"/>
      <c r="BU12" s="980"/>
      <c r="BV12" s="980"/>
      <c r="BW12"/>
      <c r="BX12"/>
    </row>
    <row r="13" spans="1:79" ht="11.25" customHeight="1">
      <c r="A13" s="984" t="s">
        <v>1610</v>
      </c>
      <c r="B13" s="985">
        <v>2011</v>
      </c>
      <c r="E13" s="986" t="s">
        <v>1611</v>
      </c>
      <c r="F13" s="1002"/>
      <c r="I13" s="986" t="s">
        <v>169</v>
      </c>
      <c r="K13" s="1008" t="s">
        <v>1560</v>
      </c>
      <c r="V13" s="294" t="s">
        <v>169</v>
      </c>
      <c r="W13" s="999"/>
      <c r="X13" s="999"/>
      <c r="Y13" s="999"/>
      <c r="AW13" s="1028" t="s">
        <v>168</v>
      </c>
      <c r="AX13" s="1028" t="s">
        <v>168</v>
      </c>
      <c r="BB13" s="1028" t="s">
        <v>1612</v>
      </c>
      <c r="BC13" s="1028" t="s">
        <v>1613</v>
      </c>
      <c r="BE13" s="1028">
        <v>2011</v>
      </c>
      <c r="BF13" s="1028" t="s">
        <v>1614</v>
      </c>
      <c r="BH13" s="978" t="s">
        <v>1615</v>
      </c>
      <c r="BJ13" s="978" t="s">
        <v>1597</v>
      </c>
      <c r="BL13" s="978" t="s">
        <v>1597</v>
      </c>
      <c r="BN13" s="978" t="s">
        <v>1616</v>
      </c>
      <c r="BQ13" s="1206">
        <v>4213783</v>
      </c>
      <c r="BR13" s="978" t="s">
        <v>1576</v>
      </c>
      <c r="BS13" s="1349"/>
      <c r="BT13" s="980"/>
      <c r="BU13" s="980"/>
      <c r="BV13" s="980"/>
      <c r="BW13" s="1613"/>
      <c r="BX13"/>
    </row>
    <row r="14" spans="1:79" ht="11.25" customHeight="1">
      <c r="A14" s="984" t="s">
        <v>1617</v>
      </c>
      <c r="B14" s="985">
        <v>2012</v>
      </c>
      <c r="I14" s="986" t="s">
        <v>170</v>
      </c>
      <c r="J14" s="977" t="s">
        <v>1618</v>
      </c>
      <c r="N14" s="977" t="s">
        <v>1619</v>
      </c>
      <c r="V14" s="993">
        <v>13</v>
      </c>
      <c r="W14" s="994"/>
      <c r="X14" s="994" t="s">
        <v>1429</v>
      </c>
      <c r="Y14" s="985" t="s">
        <v>1395</v>
      </c>
      <c r="AW14" s="1028" t="s">
        <v>169</v>
      </c>
      <c r="AX14" s="1028" t="s">
        <v>169</v>
      </c>
      <c r="AZ14" s="977" t="s">
        <v>1620</v>
      </c>
      <c r="BB14" s="1028" t="s">
        <v>1621</v>
      </c>
      <c r="BC14" s="1028" t="s">
        <v>1613</v>
      </c>
      <c r="BE14" s="1028">
        <v>2012</v>
      </c>
      <c r="BH14" s="978" t="s">
        <v>1537</v>
      </c>
      <c r="BJ14" s="1126" t="s">
        <v>1622</v>
      </c>
      <c r="BL14" s="1126" t="s">
        <v>1622</v>
      </c>
      <c r="BN14" s="978" t="s">
        <v>1623</v>
      </c>
      <c r="BQ14" s="1206">
        <v>4213782</v>
      </c>
      <c r="BR14" s="978" t="s">
        <v>208</v>
      </c>
      <c r="BS14" s="1349"/>
      <c r="BT14" s="980"/>
      <c r="BU14" s="980"/>
      <c r="BV14" s="980"/>
      <c r="BW14" s="1613"/>
      <c r="BX14"/>
    </row>
    <row r="15" spans="1:79" ht="19.5" customHeight="1">
      <c r="A15" s="984" t="s">
        <v>1624</v>
      </c>
      <c r="B15" s="985">
        <v>2013</v>
      </c>
      <c r="E15" s="1617" t="s">
        <v>1625</v>
      </c>
      <c r="G15" s="977" t="s">
        <v>1626</v>
      </c>
      <c r="H15" s="977" t="s">
        <v>1627</v>
      </c>
      <c r="I15" s="988" t="s">
        <v>171</v>
      </c>
      <c r="J15" s="999" t="s">
        <v>607</v>
      </c>
      <c r="N15" s="1063" t="s">
        <v>1628</v>
      </c>
      <c r="X15" s="997"/>
      <c r="AW15" s="1028" t="s">
        <v>170</v>
      </c>
      <c r="AX15" s="1028" t="s">
        <v>170</v>
      </c>
      <c r="AZ15" s="1028" t="s">
        <v>1547</v>
      </c>
      <c r="BB15" s="1028" t="s">
        <v>1629</v>
      </c>
      <c r="BC15" s="1028" t="s">
        <v>1613</v>
      </c>
      <c r="BE15" s="1028">
        <v>2013</v>
      </c>
      <c r="BH15" s="978" t="s">
        <v>1552</v>
      </c>
      <c r="BJ15" s="1126" t="s">
        <v>1630</v>
      </c>
      <c r="BL15" s="1126" t="s">
        <v>1630</v>
      </c>
      <c r="BN15" s="978" t="s">
        <v>1631</v>
      </c>
      <c r="BR15" s="980"/>
      <c r="BS15" s="1351"/>
      <c r="BT15" s="980"/>
      <c r="BU15" s="980"/>
      <c r="BV15" s="980"/>
      <c r="BW15" s="1613"/>
      <c r="BX15"/>
    </row>
    <row r="16" spans="1:79" ht="21" customHeight="1">
      <c r="A16" s="1789" t="s">
        <v>1632</v>
      </c>
      <c r="B16" s="985">
        <v>2014</v>
      </c>
      <c r="E16" s="1618" t="s">
        <v>1633</v>
      </c>
      <c r="G16" s="986" t="s">
        <v>1634</v>
      </c>
      <c r="H16" s="986" t="s">
        <v>1635</v>
      </c>
      <c r="I16" s="988" t="s">
        <v>1636</v>
      </c>
      <c r="J16" s="999" t="s">
        <v>580</v>
      </c>
      <c r="N16" s="1063" t="s">
        <v>1637</v>
      </c>
      <c r="AW16" s="1028" t="s">
        <v>171</v>
      </c>
      <c r="AX16" s="1028" t="s">
        <v>171</v>
      </c>
      <c r="AZ16" s="1028" t="s">
        <v>1563</v>
      </c>
      <c r="BB16" s="1028" t="s">
        <v>1638</v>
      </c>
      <c r="BC16" s="1028" t="s">
        <v>1613</v>
      </c>
      <c r="BE16" s="1028">
        <v>2014</v>
      </c>
      <c r="BH16" s="978" t="s">
        <v>1568</v>
      </c>
      <c r="BJ16" s="1126" t="s">
        <v>1639</v>
      </c>
      <c r="BL16" s="1126" t="s">
        <v>1639</v>
      </c>
      <c r="BN16" s="978" t="s">
        <v>1640</v>
      </c>
      <c r="BR16" s="980"/>
      <c r="BS16" s="1351"/>
      <c r="BT16" s="980"/>
      <c r="BU16" s="980"/>
      <c r="BV16" s="980"/>
      <c r="BW16" s="1613"/>
      <c r="BX16"/>
    </row>
    <row r="17" spans="1:82" ht="21" customHeight="1">
      <c r="A17" s="984" t="s">
        <v>1641</v>
      </c>
      <c r="B17" s="985">
        <v>2015</v>
      </c>
      <c r="G17" s="986" t="s">
        <v>1588</v>
      </c>
      <c r="H17" s="986" t="s">
        <v>1588</v>
      </c>
      <c r="I17" s="986" t="s">
        <v>1642</v>
      </c>
      <c r="N17" s="1063" t="s">
        <v>1643</v>
      </c>
      <c r="X17" s="997"/>
      <c r="AW17" s="1028" t="s">
        <v>1636</v>
      </c>
      <c r="AX17" s="1028" t="s">
        <v>1636</v>
      </c>
      <c r="AZ17" s="1028" t="s">
        <v>1644</v>
      </c>
      <c r="BB17" s="1028" t="s">
        <v>1645</v>
      </c>
      <c r="BC17" s="1028" t="s">
        <v>1497</v>
      </c>
      <c r="BE17" s="1028">
        <v>2015</v>
      </c>
      <c r="BH17" s="978" t="s">
        <v>1584</v>
      </c>
      <c r="BJ17" s="1126" t="s">
        <v>1646</v>
      </c>
      <c r="BL17" s="1126" t="s">
        <v>1646</v>
      </c>
      <c r="BN17" s="978" t="s">
        <v>1647</v>
      </c>
      <c r="BR17" s="977" t="s">
        <v>1440</v>
      </c>
      <c r="BS17" s="1348"/>
      <c r="BU17" s="977" t="s">
        <v>1648</v>
      </c>
      <c r="BV17" s="980"/>
      <c r="BW17"/>
      <c r="BX17" s="1611" t="s">
        <v>1649</v>
      </c>
      <c r="CA17" s="977" t="s">
        <v>1650</v>
      </c>
      <c r="CD17" s="977" t="s">
        <v>1651</v>
      </c>
    </row>
    <row r="18" spans="1:82" ht="21" customHeight="1">
      <c r="A18" s="984" t="s">
        <v>1652</v>
      </c>
      <c r="B18" s="985">
        <v>2016</v>
      </c>
      <c r="I18" s="986" t="s">
        <v>1653</v>
      </c>
      <c r="N18" s="1063" t="s">
        <v>1654</v>
      </c>
      <c r="X18" s="997"/>
      <c r="AW18" s="1028" t="s">
        <v>1642</v>
      </c>
      <c r="AX18" s="1028" t="s">
        <v>1642</v>
      </c>
      <c r="BB18" s="1028" t="s">
        <v>1655</v>
      </c>
      <c r="BC18" s="1028" t="s">
        <v>1497</v>
      </c>
      <c r="BE18" s="1028">
        <v>2016</v>
      </c>
      <c r="BH18" s="978" t="s">
        <v>1598</v>
      </c>
      <c r="BJ18" s="1126" t="s">
        <v>1656</v>
      </c>
      <c r="BL18" s="1126" t="s">
        <v>1656</v>
      </c>
      <c r="BN18" s="978" t="s">
        <v>1657</v>
      </c>
      <c r="BQ18" s="1352" t="s">
        <v>1470</v>
      </c>
      <c r="BR18" s="1064" t="s">
        <v>1471</v>
      </c>
      <c r="BS18" s="189"/>
      <c r="BT18" s="1352" t="s">
        <v>1658</v>
      </c>
      <c r="BU18" s="1064" t="s">
        <v>1659</v>
      </c>
      <c r="BV18" s="980"/>
      <c r="BW18" s="1616" t="s">
        <v>1660</v>
      </c>
      <c r="BX18" s="1610" t="s">
        <v>1661</v>
      </c>
      <c r="BZ18" s="1352" t="s">
        <v>1662</v>
      </c>
      <c r="CA18" s="1064" t="s">
        <v>1663</v>
      </c>
      <c r="CC18" s="1352" t="s">
        <v>1664</v>
      </c>
      <c r="CD18" s="1064" t="s">
        <v>1665</v>
      </c>
    </row>
    <row r="19" spans="1:82" ht="21" customHeight="1">
      <c r="A19" s="1789" t="s">
        <v>1666</v>
      </c>
      <c r="B19" s="985">
        <v>2017</v>
      </c>
      <c r="I19" s="986" t="s">
        <v>1667</v>
      </c>
      <c r="N19" s="1063" t="s">
        <v>1668</v>
      </c>
      <c r="X19" s="997"/>
      <c r="AW19" s="1028" t="s">
        <v>1653</v>
      </c>
      <c r="AX19" s="1028" t="s">
        <v>1653</v>
      </c>
      <c r="AZ19" s="977" t="s">
        <v>1669</v>
      </c>
      <c r="BB19" s="1028" t="s">
        <v>1670</v>
      </c>
      <c r="BC19" s="1028" t="s">
        <v>1497</v>
      </c>
      <c r="BE19" s="1028">
        <v>2017</v>
      </c>
      <c r="BH19" s="978" t="s">
        <v>1671</v>
      </c>
      <c r="BJ19" s="1126" t="s">
        <v>1672</v>
      </c>
      <c r="BL19" s="1126" t="s">
        <v>1672</v>
      </c>
      <c r="BQ19" s="1206">
        <v>4190064</v>
      </c>
      <c r="BR19" s="978" t="s">
        <v>1673</v>
      </c>
      <c r="BS19" s="1349"/>
      <c r="BT19" s="1206">
        <v>4189671</v>
      </c>
      <c r="BU19" s="978" t="s">
        <v>1674</v>
      </c>
      <c r="BV19" s="980"/>
      <c r="BW19" s="1614">
        <v>4189706</v>
      </c>
      <c r="BX19" s="1612" t="s">
        <v>1675</v>
      </c>
      <c r="BZ19" s="1206">
        <v>4189714</v>
      </c>
      <c r="CA19" s="978" t="s">
        <v>1676</v>
      </c>
      <c r="CC19" s="1206">
        <v>4189708</v>
      </c>
      <c r="CD19" s="978" t="s">
        <v>1677</v>
      </c>
    </row>
    <row r="20" spans="1:82" ht="21" customHeight="1">
      <c r="A20" s="984" t="s">
        <v>1678</v>
      </c>
      <c r="B20" s="985">
        <v>2018</v>
      </c>
      <c r="I20" s="986" t="s">
        <v>1679</v>
      </c>
      <c r="N20" s="1063" t="s">
        <v>1680</v>
      </c>
      <c r="AW20" s="1028" t="s">
        <v>1667</v>
      </c>
      <c r="AX20" s="1028" t="s">
        <v>1667</v>
      </c>
      <c r="AZ20" s="1028" t="s">
        <v>1681</v>
      </c>
      <c r="BB20" s="1028" t="s">
        <v>1682</v>
      </c>
      <c r="BC20" s="1028" t="s">
        <v>1613</v>
      </c>
      <c r="BE20" s="1028">
        <v>2018</v>
      </c>
      <c r="BH20" s="978" t="s">
        <v>1609</v>
      </c>
      <c r="BJ20" s="978" t="s">
        <v>1537</v>
      </c>
      <c r="BL20" s="978" t="s">
        <v>1537</v>
      </c>
      <c r="BQ20" s="1206">
        <v>4190065</v>
      </c>
      <c r="BR20" s="978" t="s">
        <v>1683</v>
      </c>
      <c r="BS20" s="1349"/>
      <c r="BT20" s="1206">
        <v>4189672</v>
      </c>
      <c r="BU20" s="978" t="s">
        <v>1684</v>
      </c>
      <c r="BV20" s="980"/>
      <c r="BW20" s="1614">
        <v>4189705</v>
      </c>
      <c r="BX20" s="1612" t="s">
        <v>1685</v>
      </c>
      <c r="BZ20" s="1206">
        <v>4189713</v>
      </c>
      <c r="CA20" s="978" t="s">
        <v>1685</v>
      </c>
      <c r="CC20" s="1206">
        <v>4189709</v>
      </c>
      <c r="CD20" s="978" t="s">
        <v>1686</v>
      </c>
    </row>
    <row r="21" spans="1:82" ht="21" customHeight="1">
      <c r="A21" s="984" t="s">
        <v>1687</v>
      </c>
      <c r="B21" s="985">
        <v>2019</v>
      </c>
      <c r="I21" s="986" t="s">
        <v>1688</v>
      </c>
      <c r="N21" s="1063" t="s">
        <v>1689</v>
      </c>
      <c r="AW21" s="1028" t="s">
        <v>1679</v>
      </c>
      <c r="AX21" s="1028" t="s">
        <v>1679</v>
      </c>
      <c r="AZ21" s="1028" t="s">
        <v>1690</v>
      </c>
      <c r="BB21" s="1028" t="s">
        <v>1691</v>
      </c>
      <c r="BC21" s="1028" t="s">
        <v>1497</v>
      </c>
      <c r="BE21" s="1028">
        <v>2019</v>
      </c>
      <c r="BH21" s="978" t="s">
        <v>1616</v>
      </c>
      <c r="BJ21" s="978" t="s">
        <v>1552</v>
      </c>
      <c r="BL21" s="978" t="s">
        <v>1552</v>
      </c>
      <c r="BQ21" s="1206">
        <v>4190066</v>
      </c>
      <c r="BR21" s="978" t="s">
        <v>1692</v>
      </c>
      <c r="BS21" s="1349"/>
      <c r="BT21" s="1206">
        <v>4189673</v>
      </c>
      <c r="BU21" s="978" t="s">
        <v>1693</v>
      </c>
      <c r="BV21" s="980"/>
      <c r="BW21" s="1614">
        <v>4189707</v>
      </c>
      <c r="BX21" s="1612" t="s">
        <v>1694</v>
      </c>
      <c r="BZ21" s="1206">
        <v>4189712</v>
      </c>
      <c r="CA21" s="978" t="s">
        <v>1695</v>
      </c>
      <c r="CC21" s="1206">
        <v>4189710</v>
      </c>
      <c r="CD21" s="978" t="s">
        <v>1696</v>
      </c>
    </row>
    <row r="22" spans="1:82" ht="21" customHeight="1">
      <c r="A22" s="984" t="s">
        <v>1697</v>
      </c>
      <c r="B22" s="985">
        <v>2020</v>
      </c>
      <c r="N22" s="1063" t="s">
        <v>1698</v>
      </c>
      <c r="AW22" s="1028" t="s">
        <v>1688</v>
      </c>
      <c r="AX22" s="1028" t="s">
        <v>1688</v>
      </c>
      <c r="AZ22" s="1028" t="s">
        <v>1699</v>
      </c>
      <c r="BB22" s="1028" t="s">
        <v>1700</v>
      </c>
      <c r="BC22" s="1028" t="s">
        <v>1497</v>
      </c>
      <c r="BE22" s="1028">
        <v>2020</v>
      </c>
      <c r="BH22" s="978" t="s">
        <v>1623</v>
      </c>
      <c r="BJ22" s="978" t="s">
        <v>1568</v>
      </c>
      <c r="BL22" s="978" t="s">
        <v>1568</v>
      </c>
      <c r="BQ22" s="1206">
        <v>4190067</v>
      </c>
      <c r="BR22" s="978" t="s">
        <v>1701</v>
      </c>
      <c r="BS22" s="1349"/>
      <c r="BT22" s="1206">
        <v>4189674</v>
      </c>
      <c r="BU22" s="978" t="s">
        <v>1702</v>
      </c>
      <c r="BV22" s="980"/>
      <c r="BW22" s="980"/>
      <c r="CC22" s="1206">
        <v>4189711</v>
      </c>
      <c r="CD22" s="978" t="s">
        <v>322</v>
      </c>
    </row>
    <row r="23" spans="1:82" ht="21" customHeight="1">
      <c r="A23" s="984" t="s">
        <v>1703</v>
      </c>
      <c r="B23" s="985">
        <v>2021</v>
      </c>
      <c r="AW23" s="1028" t="s">
        <v>1704</v>
      </c>
      <c r="AX23" s="1028" t="s">
        <v>1704</v>
      </c>
      <c r="AZ23" s="1028" t="s">
        <v>1705</v>
      </c>
      <c r="BB23" s="1028" t="s">
        <v>1706</v>
      </c>
      <c r="BC23" s="1028" t="s">
        <v>1406</v>
      </c>
      <c r="BE23" s="1028">
        <v>2021</v>
      </c>
      <c r="BH23" s="978" t="s">
        <v>1631</v>
      </c>
      <c r="BJ23" s="978" t="s">
        <v>1584</v>
      </c>
      <c r="BL23" s="978" t="s">
        <v>1584</v>
      </c>
      <c r="BQ23" s="1206">
        <v>4190068</v>
      </c>
      <c r="BR23" s="978" t="s">
        <v>1707</v>
      </c>
      <c r="BS23" s="1349"/>
      <c r="BT23" s="1206">
        <v>4189675</v>
      </c>
      <c r="BU23" s="978" t="s">
        <v>1708</v>
      </c>
      <c r="BV23" s="980"/>
      <c r="BW23" s="980"/>
      <c r="CC23" s="1206">
        <v>5110778</v>
      </c>
      <c r="CD23" s="978" t="s">
        <v>1709</v>
      </c>
    </row>
    <row r="24" spans="1:82" ht="21" customHeight="1">
      <c r="A24" s="984" t="s">
        <v>1710</v>
      </c>
      <c r="B24" s="985">
        <v>2022</v>
      </c>
      <c r="AW24" s="1028" t="s">
        <v>1711</v>
      </c>
      <c r="AX24" s="1028" t="s">
        <v>1711</v>
      </c>
      <c r="AZ24" s="1028" t="s">
        <v>1712</v>
      </c>
      <c r="BB24" s="1028" t="s">
        <v>1713</v>
      </c>
      <c r="BC24" s="1028" t="s">
        <v>1714</v>
      </c>
      <c r="BE24" s="1028">
        <v>2022</v>
      </c>
      <c r="BH24" s="978" t="s">
        <v>1640</v>
      </c>
      <c r="BJ24" s="978" t="s">
        <v>1598</v>
      </c>
      <c r="BL24" s="978" t="s">
        <v>1598</v>
      </c>
      <c r="BQ24" s="1206">
        <v>4190069</v>
      </c>
      <c r="BR24" s="978" t="s">
        <v>1715</v>
      </c>
      <c r="BS24" s="1349"/>
      <c r="BT24" s="1206">
        <v>4189676</v>
      </c>
      <c r="BU24" s="978" t="s">
        <v>1716</v>
      </c>
      <c r="BV24" s="980"/>
      <c r="BW24" s="980"/>
      <c r="CC24" s="1206">
        <v>25575374</v>
      </c>
      <c r="CD24" s="978" t="s">
        <v>1717</v>
      </c>
    </row>
    <row r="25" spans="1:82" ht="11.25" customHeight="1">
      <c r="A25" s="984" t="s">
        <v>1718</v>
      </c>
      <c r="B25" s="985">
        <v>2023</v>
      </c>
      <c r="AW25" s="1028" t="s">
        <v>1719</v>
      </c>
      <c r="AX25" s="1028" t="s">
        <v>1719</v>
      </c>
      <c r="AZ25" s="1028" t="s">
        <v>1720</v>
      </c>
      <c r="BB25" s="1028" t="s">
        <v>1721</v>
      </c>
      <c r="BC25" s="1028" t="s">
        <v>1714</v>
      </c>
      <c r="BE25" s="1028">
        <v>2023</v>
      </c>
      <c r="BH25" s="978" t="s">
        <v>1647</v>
      </c>
      <c r="BJ25" s="978" t="s">
        <v>1671</v>
      </c>
      <c r="BL25" s="978" t="s">
        <v>1671</v>
      </c>
      <c r="BQ25" s="1206">
        <v>4190070</v>
      </c>
      <c r="BR25" s="978" t="s">
        <v>1722</v>
      </c>
      <c r="BS25" s="1349"/>
      <c r="BT25" s="1206">
        <v>4189677</v>
      </c>
      <c r="BU25" s="978" t="s">
        <v>1723</v>
      </c>
      <c r="BV25" s="980"/>
      <c r="BW25" s="980"/>
    </row>
    <row r="26" spans="1:82" ht="11.25" customHeight="1">
      <c r="A26" s="984" t="s">
        <v>1724</v>
      </c>
      <c r="B26" s="985">
        <v>2024</v>
      </c>
      <c r="J26" s="1650" t="s">
        <v>1725</v>
      </c>
      <c r="AX26" s="1028" t="s">
        <v>1726</v>
      </c>
      <c r="AZ26" s="1028" t="s">
        <v>1591</v>
      </c>
      <c r="BB26" s="1028" t="s">
        <v>1727</v>
      </c>
      <c r="BC26" s="1028" t="s">
        <v>1714</v>
      </c>
      <c r="BE26" s="1028">
        <v>2024</v>
      </c>
      <c r="BH26" s="978" t="s">
        <v>1657</v>
      </c>
      <c r="BJ26" s="978" t="s">
        <v>1609</v>
      </c>
      <c r="BL26" s="978" t="s">
        <v>1609</v>
      </c>
      <c r="BQ26" s="1206">
        <v>4190071</v>
      </c>
      <c r="BR26" s="978" t="s">
        <v>1728</v>
      </c>
      <c r="BS26" s="1349"/>
      <c r="BV26" s="980"/>
      <c r="BW26" s="980"/>
    </row>
    <row r="27" spans="1:82" ht="11.25" customHeight="1">
      <c r="A27" s="984" t="s">
        <v>1729</v>
      </c>
      <c r="B27" s="985">
        <v>2025</v>
      </c>
      <c r="J27" s="94" t="s">
        <v>103</v>
      </c>
      <c r="AX27" s="1028" t="s">
        <v>1730</v>
      </c>
      <c r="BB27" s="1028" t="s">
        <v>1731</v>
      </c>
      <c r="BC27" s="1028" t="s">
        <v>1714</v>
      </c>
      <c r="BE27" s="1028">
        <v>2025</v>
      </c>
      <c r="BH27" s="980" t="s">
        <v>24</v>
      </c>
      <c r="BJ27" s="978" t="s">
        <v>1616</v>
      </c>
      <c r="BL27" s="978" t="s">
        <v>1616</v>
      </c>
      <c r="BN27" s="980" t="s">
        <v>24</v>
      </c>
      <c r="BQ27" s="1206">
        <v>4190072</v>
      </c>
      <c r="BR27" s="978" t="s">
        <v>1732</v>
      </c>
      <c r="BS27" s="1349"/>
      <c r="BV27" s="980"/>
      <c r="BW27" s="980"/>
    </row>
    <row r="28" spans="1:82" ht="11.25" customHeight="1">
      <c r="A28" s="984" t="s">
        <v>1733</v>
      </c>
      <c r="D28" s="1009"/>
      <c r="E28" s="1010"/>
      <c r="F28" s="1010"/>
      <c r="H28" s="1011" t="s">
        <v>1734</v>
      </c>
      <c r="AX28" s="1028" t="s">
        <v>1735</v>
      </c>
      <c r="AZ28" s="977" t="s">
        <v>1736</v>
      </c>
      <c r="BB28" s="1028" t="s">
        <v>1737</v>
      </c>
      <c r="BC28" s="1028" t="s">
        <v>1738</v>
      </c>
      <c r="BE28" s="1028">
        <v>2026</v>
      </c>
      <c r="BH28" s="980" t="s">
        <v>24</v>
      </c>
      <c r="BJ28" s="978" t="s">
        <v>1623</v>
      </c>
      <c r="BL28" s="978" t="s">
        <v>1623</v>
      </c>
      <c r="BN28" s="980" t="s">
        <v>24</v>
      </c>
      <c r="BQ28" s="1206">
        <v>4190073</v>
      </c>
      <c r="BR28" s="978" t="s">
        <v>1739</v>
      </c>
      <c r="BS28" s="1349"/>
      <c r="BV28" s="980"/>
      <c r="BW28" s="980"/>
    </row>
    <row r="29" spans="1:82" ht="11.25" customHeight="1">
      <c r="A29" s="984" t="s">
        <v>1740</v>
      </c>
      <c r="D29" s="1012" t="s">
        <v>1741</v>
      </c>
      <c r="E29" s="1013">
        <f>IF(TEMPLATE_GROUP="","",INDEX(StartDateList,MATCH(TEMPLATE_GROUP,CodeTemplateList,0),1))</f>
        <v>45292.410879629628</v>
      </c>
      <c r="F29" s="1013">
        <f>IF(TEMPLATE_GROUP="","",INDEX(EndDateList,MATCH(TEMPLATE_GROUP,CodeTemplateList,0),1))</f>
        <v>47118.410937499997</v>
      </c>
      <c r="H29" s="1014" t="s">
        <v>1742</v>
      </c>
      <c r="AX29" s="1028" t="s">
        <v>1743</v>
      </c>
      <c r="AZ29" s="1028" t="s">
        <v>1390</v>
      </c>
      <c r="BB29" s="1028" t="s">
        <v>1591</v>
      </c>
      <c r="BC29" s="1000"/>
      <c r="BE29" s="1028">
        <v>2027</v>
      </c>
      <c r="BJ29" s="978" t="s">
        <v>1631</v>
      </c>
      <c r="BL29" s="978" t="s">
        <v>1631</v>
      </c>
    </row>
    <row r="30" spans="1:82" ht="11.25" customHeight="1">
      <c r="A30" s="984" t="s">
        <v>1744</v>
      </c>
      <c r="D30" s="1015"/>
      <c r="E30" s="1016"/>
      <c r="F30" s="1016"/>
      <c r="AX30" s="1028" t="s">
        <v>1745</v>
      </c>
      <c r="AZ30" s="1028" t="s">
        <v>1418</v>
      </c>
      <c r="BE30" s="1028">
        <v>2028</v>
      </c>
      <c r="BJ30" s="978" t="s">
        <v>1746</v>
      </c>
      <c r="BL30" s="978" t="s">
        <v>1746</v>
      </c>
    </row>
    <row r="31" spans="1:82" ht="12.75" customHeight="1">
      <c r="A31" s="984" t="s">
        <v>1747</v>
      </c>
      <c r="D31" s="1009"/>
      <c r="E31" s="1010"/>
      <c r="F31" s="1010"/>
      <c r="H31" s="1017"/>
      <c r="AX31" s="1028" t="s">
        <v>1748</v>
      </c>
      <c r="AZ31" s="1028" t="s">
        <v>525</v>
      </c>
      <c r="BE31" s="1028">
        <v>2029</v>
      </c>
      <c r="BJ31" s="978" t="s">
        <v>1749</v>
      </c>
      <c r="BL31" s="978" t="s">
        <v>1749</v>
      </c>
    </row>
    <row r="32" spans="1:82" ht="11.25" customHeight="1">
      <c r="A32" s="984" t="s">
        <v>1750</v>
      </c>
      <c r="D32" s="1012" t="s">
        <v>1751</v>
      </c>
      <c r="E32" s="1013">
        <f>IF(TEMPLATE_GROUP="","",INDEX(StartDateList,MATCH(TEMPLATE_GROUP,CodeTemplateList,0),1))</f>
        <v>45292.410879629628</v>
      </c>
      <c r="F32" s="1013">
        <f>IF(TEMPLATE_GROUP="","",INDEX(EndDateList,MATCH(TEMPLATE_GROUP,CodeTemplateList,0),1))</f>
        <v>47118.410937499997</v>
      </c>
      <c r="H32" s="1018" t="s">
        <v>1752</v>
      </c>
      <c r="O32" s="984" t="s">
        <v>1388</v>
      </c>
      <c r="AX32" s="1028" t="s">
        <v>1753</v>
      </c>
      <c r="AZ32" s="1028" t="s">
        <v>527</v>
      </c>
      <c r="BE32" s="1028">
        <v>2030</v>
      </c>
      <c r="BJ32" s="978" t="s">
        <v>1640</v>
      </c>
      <c r="BL32" s="978" t="s">
        <v>1640</v>
      </c>
    </row>
    <row r="33" spans="1:66" ht="11.25" customHeight="1">
      <c r="A33" s="984" t="s">
        <v>1754</v>
      </c>
      <c r="O33" s="984" t="s">
        <v>1415</v>
      </c>
      <c r="AX33" s="1028" t="s">
        <v>1755</v>
      </c>
      <c r="AZ33" s="1028" t="s">
        <v>1389</v>
      </c>
      <c r="BE33" s="1028">
        <v>2031</v>
      </c>
      <c r="BJ33" s="978" t="s">
        <v>1647</v>
      </c>
      <c r="BL33" s="978" t="s">
        <v>1647</v>
      </c>
    </row>
    <row r="34" spans="1:66" ht="11.25" customHeight="1">
      <c r="A34" s="984" t="s">
        <v>1756</v>
      </c>
      <c r="O34" s="984" t="s">
        <v>1451</v>
      </c>
      <c r="AX34" s="1028" t="s">
        <v>1757</v>
      </c>
      <c r="BE34" s="1028">
        <v>2032</v>
      </c>
      <c r="BJ34" s="978" t="s">
        <v>1657</v>
      </c>
      <c r="BL34" s="978" t="s">
        <v>1657</v>
      </c>
    </row>
    <row r="35" spans="1:66" ht="11.25" customHeight="1">
      <c r="A35" s="984" t="s">
        <v>1758</v>
      </c>
      <c r="O35" s="984" t="s">
        <v>1484</v>
      </c>
      <c r="AX35" s="1028" t="s">
        <v>1759</v>
      </c>
      <c r="AZ35" s="977" t="s">
        <v>1760</v>
      </c>
      <c r="BE35" s="1028">
        <v>2033</v>
      </c>
      <c r="BL35" s="978" t="s">
        <v>1761</v>
      </c>
    </row>
    <row r="36" spans="1:66" ht="11.25" customHeight="1">
      <c r="A36" s="1789" t="s">
        <v>1762</v>
      </c>
      <c r="D36" s="1019" t="s">
        <v>1763</v>
      </c>
      <c r="E36" s="1020" t="s">
        <v>792</v>
      </c>
      <c r="F36" s="1021" t="str">
        <f>INDEX(E37:E41,MATCH(TEMPLATE_SPHERE,F37:F41,0))</f>
        <v>холодного водоснабжения</v>
      </c>
      <c r="G36" s="1021" t="str">
        <f>INDEX(G37:G41,MATCH(TEMPLATE_SPHERE,F37:F41,0))</f>
        <v>холодное водоснабжение</v>
      </c>
      <c r="O36" s="984" t="s">
        <v>1508</v>
      </c>
      <c r="AX36" s="1028" t="s">
        <v>1764</v>
      </c>
      <c r="AZ36" s="1028" t="s">
        <v>1389</v>
      </c>
      <c r="BE36" s="1028">
        <v>2034</v>
      </c>
      <c r="BL36" s="978" t="s">
        <v>1765</v>
      </c>
    </row>
    <row r="37" spans="1:66" ht="11.25" customHeight="1">
      <c r="A37" s="984" t="s">
        <v>1766</v>
      </c>
      <c r="E37" s="336" t="s">
        <v>1767</v>
      </c>
      <c r="F37" s="1022" t="s">
        <v>746</v>
      </c>
      <c r="G37" s="336" t="s">
        <v>1768</v>
      </c>
      <c r="O37" s="984" t="s">
        <v>1527</v>
      </c>
      <c r="AX37" s="1028" t="s">
        <v>1769</v>
      </c>
      <c r="AZ37" s="1028" t="s">
        <v>1417</v>
      </c>
      <c r="BE37" s="1028">
        <v>2035</v>
      </c>
    </row>
    <row r="38" spans="1:66" ht="11.25" customHeight="1">
      <c r="A38" s="984" t="s">
        <v>1770</v>
      </c>
      <c r="E38" s="336" t="s">
        <v>1771</v>
      </c>
      <c r="F38" s="1023" t="s">
        <v>792</v>
      </c>
      <c r="G38" s="336" t="s">
        <v>1772</v>
      </c>
      <c r="O38" s="984" t="s">
        <v>1543</v>
      </c>
      <c r="AX38" s="1028" t="s">
        <v>1773</v>
      </c>
      <c r="AZ38" s="1028" t="s">
        <v>1452</v>
      </c>
      <c r="BE38" s="1028">
        <v>2036</v>
      </c>
      <c r="BH38" s="977" t="s">
        <v>1774</v>
      </c>
      <c r="BJ38" s="977" t="s">
        <v>1775</v>
      </c>
      <c r="BL38" s="977" t="s">
        <v>1776</v>
      </c>
      <c r="BN38" s="977" t="s">
        <v>1777</v>
      </c>
    </row>
    <row r="39" spans="1:66" ht="11.25" customHeight="1">
      <c r="A39" s="984" t="s">
        <v>1778</v>
      </c>
      <c r="E39" s="336" t="s">
        <v>1779</v>
      </c>
      <c r="F39" s="1023" t="s">
        <v>844</v>
      </c>
      <c r="G39" s="336" t="s">
        <v>1780</v>
      </c>
      <c r="O39" s="984" t="s">
        <v>1559</v>
      </c>
      <c r="AX39" s="1028" t="s">
        <v>1781</v>
      </c>
      <c r="AZ39" s="1028" t="s">
        <v>1485</v>
      </c>
      <c r="BE39" s="1028">
        <v>2037</v>
      </c>
      <c r="BH39" s="978" t="s">
        <v>1782</v>
      </c>
      <c r="BJ39" s="1126" t="s">
        <v>1782</v>
      </c>
      <c r="BL39" s="1126" t="s">
        <v>1782</v>
      </c>
      <c r="BN39" s="978" t="s">
        <v>1783</v>
      </c>
    </row>
    <row r="40" spans="1:66" ht="11.25" customHeight="1">
      <c r="A40" s="984" t="s">
        <v>1784</v>
      </c>
      <c r="E40" s="336" t="s">
        <v>1785</v>
      </c>
      <c r="F40" s="1023" t="s">
        <v>830</v>
      </c>
      <c r="G40" s="336" t="s">
        <v>1786</v>
      </c>
      <c r="O40" s="984" t="s">
        <v>1575</v>
      </c>
      <c r="AX40" s="1028" t="s">
        <v>1787</v>
      </c>
      <c r="BE40" s="1028">
        <v>2038</v>
      </c>
      <c r="BH40" s="978" t="s">
        <v>1788</v>
      </c>
      <c r="BJ40" s="1126" t="s">
        <v>965</v>
      </c>
      <c r="BL40" s="1126" t="s">
        <v>965</v>
      </c>
      <c r="BN40" s="978" t="s">
        <v>999</v>
      </c>
    </row>
    <row r="41" spans="1:66" ht="11.25" customHeight="1">
      <c r="A41" s="984" t="s">
        <v>1789</v>
      </c>
      <c r="E41" s="336" t="s">
        <v>1790</v>
      </c>
      <c r="F41" s="1023" t="s">
        <v>1791</v>
      </c>
      <c r="G41" s="336" t="s">
        <v>1790</v>
      </c>
      <c r="O41" s="984" t="s">
        <v>1591</v>
      </c>
      <c r="AX41" s="1028" t="s">
        <v>1792</v>
      </c>
      <c r="AZ41" s="977" t="s">
        <v>1793</v>
      </c>
      <c r="BE41" s="1028">
        <v>2039</v>
      </c>
      <c r="BH41" s="978" t="s">
        <v>1794</v>
      </c>
      <c r="BJ41" s="1126" t="s">
        <v>961</v>
      </c>
      <c r="BL41" s="1126" t="s">
        <v>961</v>
      </c>
      <c r="BN41" s="978" t="s">
        <v>986</v>
      </c>
    </row>
    <row r="42" spans="1:66" ht="11.25" customHeight="1">
      <c r="A42" s="984" t="s">
        <v>1795</v>
      </c>
      <c r="AX42" s="1028" t="s">
        <v>1796</v>
      </c>
      <c r="AZ42" s="1028" t="s">
        <v>1388</v>
      </c>
      <c r="BE42" s="1028">
        <v>2040</v>
      </c>
      <c r="BH42" s="978" t="s">
        <v>983</v>
      </c>
      <c r="BJ42" s="1126" t="s">
        <v>963</v>
      </c>
      <c r="BL42" s="1126" t="s">
        <v>963</v>
      </c>
      <c r="BN42" s="978" t="s">
        <v>1797</v>
      </c>
    </row>
    <row r="43" spans="1:66" ht="11.25" customHeight="1">
      <c r="A43" s="984" t="s">
        <v>1798</v>
      </c>
      <c r="AX43" s="1028" t="s">
        <v>1799</v>
      </c>
      <c r="AZ43" s="1028" t="s">
        <v>1415</v>
      </c>
      <c r="BE43" s="1028">
        <v>2041</v>
      </c>
      <c r="BH43" s="978" t="s">
        <v>1800</v>
      </c>
      <c r="BJ43" s="1126" t="s">
        <v>1794</v>
      </c>
      <c r="BL43" s="1126" t="s">
        <v>1794</v>
      </c>
      <c r="BN43" s="978" t="s">
        <v>1801</v>
      </c>
    </row>
    <row r="44" spans="1:66" ht="11.25" customHeight="1">
      <c r="A44" s="984" t="s">
        <v>1802</v>
      </c>
      <c r="I44" s="713" t="s">
        <v>1803</v>
      </c>
      <c r="J44" s="999" t="s">
        <v>1804</v>
      </c>
      <c r="K44" s="999" t="s">
        <v>1805</v>
      </c>
      <c r="AX44" s="1028" t="s">
        <v>1806</v>
      </c>
      <c r="AZ44" s="1028" t="s">
        <v>1451</v>
      </c>
      <c r="BE44" s="1028">
        <v>2042</v>
      </c>
      <c r="BH44" s="978" t="s">
        <v>1807</v>
      </c>
      <c r="BJ44" s="1126" t="s">
        <v>983</v>
      </c>
      <c r="BL44" s="1126" t="s">
        <v>983</v>
      </c>
      <c r="BN44" s="978" t="s">
        <v>1808</v>
      </c>
    </row>
    <row r="45" spans="1:66" ht="11.25" customHeight="1">
      <c r="A45" s="984" t="s">
        <v>1809</v>
      </c>
      <c r="D45" s="1019" t="s">
        <v>1810</v>
      </c>
      <c r="E45" s="1020" t="s">
        <v>1811</v>
      </c>
      <c r="F45" s="711" t="s">
        <v>1812</v>
      </c>
      <c r="G45" s="710" t="s">
        <v>1813</v>
      </c>
      <c r="H45" s="713" t="s">
        <v>1814</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1815</v>
      </c>
      <c r="AZ45" s="1028" t="s">
        <v>1484</v>
      </c>
      <c r="BE45" s="1028">
        <v>2043</v>
      </c>
      <c r="BH45" s="978" t="s">
        <v>1816</v>
      </c>
      <c r="BJ45" s="1126" t="s">
        <v>977</v>
      </c>
      <c r="BL45" s="1126" t="s">
        <v>977</v>
      </c>
      <c r="BN45" s="978" t="s">
        <v>1817</v>
      </c>
    </row>
    <row r="46" spans="1:66" ht="11.25" customHeight="1">
      <c r="A46" s="984" t="s">
        <v>1818</v>
      </c>
      <c r="E46" s="336" t="s">
        <v>22</v>
      </c>
      <c r="F46" s="1022" t="s">
        <v>1819</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1820</v>
      </c>
      <c r="AZ46" s="1028" t="s">
        <v>1508</v>
      </c>
      <c r="BE46" s="1028">
        <v>2044</v>
      </c>
      <c r="BH46" s="978" t="s">
        <v>986</v>
      </c>
      <c r="BJ46" s="1126" t="s">
        <v>967</v>
      </c>
      <c r="BL46" s="1126" t="s">
        <v>967</v>
      </c>
      <c r="BN46" s="978" t="s">
        <v>1821</v>
      </c>
    </row>
    <row r="47" spans="1:66" ht="11.25" customHeight="1">
      <c r="A47" s="984" t="s">
        <v>1822</v>
      </c>
      <c r="E47" s="336" t="s">
        <v>29</v>
      </c>
      <c r="F47" s="1023" t="s">
        <v>1823</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1824</v>
      </c>
      <c r="AZ47" s="1028" t="s">
        <v>1527</v>
      </c>
      <c r="BE47" s="1028">
        <v>2045</v>
      </c>
      <c r="BH47" s="978" t="s">
        <v>1797</v>
      </c>
      <c r="BJ47" s="1126" t="s">
        <v>969</v>
      </c>
      <c r="BL47" s="1126" t="s">
        <v>969</v>
      </c>
      <c r="BN47" s="978" t="s">
        <v>1825</v>
      </c>
    </row>
    <row r="48" spans="1:66" ht="11.25" customHeight="1">
      <c r="A48" s="984" t="s">
        <v>1826</v>
      </c>
      <c r="E48" s="336" t="s">
        <v>1827</v>
      </c>
      <c r="F48" s="1023" t="s">
        <v>1828</v>
      </c>
      <c r="G48" s="1025" t="str">
        <f>IF(f_year="","","01.01."&amp;f_year)</f>
        <v/>
      </c>
      <c r="H48" s="1025" t="str">
        <f>IF(f_year="","","31.12."&amp;f_year)</f>
        <v/>
      </c>
      <c r="I48" s="1661" t="b">
        <f>IF(f_year="",TRUE,FALSE)</f>
        <v>1</v>
      </c>
      <c r="J48" s="1664" t="s">
        <v>1829</v>
      </c>
      <c r="K48" s="1665"/>
      <c r="AX48" s="1028" t="s">
        <v>1830</v>
      </c>
      <c r="AZ48" s="1028" t="s">
        <v>1543</v>
      </c>
      <c r="BE48" s="1028">
        <v>2046</v>
      </c>
      <c r="BH48" s="978" t="s">
        <v>1801</v>
      </c>
      <c r="BJ48" s="1126" t="s">
        <v>971</v>
      </c>
      <c r="BL48" s="1126" t="s">
        <v>971</v>
      </c>
      <c r="BN48" s="978" t="s">
        <v>1831</v>
      </c>
    </row>
    <row r="49" spans="1:64" ht="11.25" customHeight="1">
      <c r="A49" s="984" t="s">
        <v>1832</v>
      </c>
      <c r="E49" s="336" t="s">
        <v>1833</v>
      </c>
      <c r="F49" s="1023" t="s">
        <v>1834</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1835</v>
      </c>
      <c r="AZ49" s="1028" t="s">
        <v>1559</v>
      </c>
      <c r="BE49" s="1028">
        <v>2047</v>
      </c>
      <c r="BH49" s="978" t="s">
        <v>987</v>
      </c>
      <c r="BJ49" s="1126" t="s">
        <v>973</v>
      </c>
      <c r="BL49" s="1126" t="s">
        <v>973</v>
      </c>
    </row>
    <row r="50" spans="1:64" ht="11.25" customHeight="1">
      <c r="A50" s="984" t="s">
        <v>1836</v>
      </c>
      <c r="E50" s="336" t="s">
        <v>1837</v>
      </c>
      <c r="F50" s="1023" t="s">
        <v>957</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1838</v>
      </c>
      <c r="AZ50" s="1028" t="s">
        <v>1575</v>
      </c>
      <c r="BE50" s="1028">
        <v>2048</v>
      </c>
      <c r="BH50" s="978" t="s">
        <v>1808</v>
      </c>
      <c r="BJ50" s="1126" t="s">
        <v>975</v>
      </c>
      <c r="BL50" s="1126" t="s">
        <v>975</v>
      </c>
    </row>
    <row r="51" spans="1:64" ht="11.25" customHeight="1">
      <c r="A51" s="984" t="s">
        <v>1839</v>
      </c>
      <c r="E51" s="336" t="s">
        <v>1840</v>
      </c>
      <c r="F51" s="1023" t="s">
        <v>1841</v>
      </c>
      <c r="G51" s="1025">
        <f>IF(TITLE_PERIOD_START="","",TITLE_PERIOD_START)</f>
        <v>45292.410879629628</v>
      </c>
      <c r="H51" s="1025">
        <f>IF(TITLE_PERIOD_END="","",TITLE_PERIOD_END)</f>
        <v>47118.410937499997</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1842</v>
      </c>
      <c r="AZ51" s="1028" t="s">
        <v>1591</v>
      </c>
      <c r="BE51" s="1028">
        <v>2049</v>
      </c>
      <c r="BH51" s="978" t="s">
        <v>1817</v>
      </c>
      <c r="BJ51" s="1126" t="s">
        <v>1843</v>
      </c>
      <c r="BL51" s="1126" t="s">
        <v>1843</v>
      </c>
    </row>
    <row r="52" spans="1:64" ht="11.25" customHeight="1">
      <c r="A52" s="984" t="s">
        <v>1844</v>
      </c>
      <c r="E52" s="336" t="s">
        <v>1845</v>
      </c>
      <c r="F52" s="1023" t="s">
        <v>1811</v>
      </c>
      <c r="G52" s="1025">
        <f>IF(TITLE_PERIOD_START="","",TITLE_PERIOD_START)</f>
        <v>45292.410879629628</v>
      </c>
      <c r="H52" s="1025">
        <f>IF(TITLE_PERIOD_END="","",TITLE_PERIOD_END)</f>
        <v>47118.410937499997</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1846</v>
      </c>
      <c r="AZ52" s="1028" t="s">
        <v>1389</v>
      </c>
      <c r="BE52" s="1028">
        <v>2050</v>
      </c>
      <c r="BH52" s="978" t="s">
        <v>1821</v>
      </c>
      <c r="BJ52" s="1126" t="s">
        <v>986</v>
      </c>
      <c r="BL52" s="1126" t="s">
        <v>986</v>
      </c>
    </row>
    <row r="53" spans="1:64" ht="11.25" customHeight="1">
      <c r="A53" s="984" t="s">
        <v>1847</v>
      </c>
      <c r="E53" s="336" t="s">
        <v>1848</v>
      </c>
      <c r="F53" s="1023" t="s">
        <v>1848</v>
      </c>
      <c r="G53" s="1025" t="str">
        <f>IF(f_year="","","01.01."&amp;f_year)</f>
        <v/>
      </c>
      <c r="H53" s="1025" t="str">
        <f>IF(f_year="","","31.12."&amp;f_year)</f>
        <v/>
      </c>
      <c r="I53" s="1661" t="b">
        <f>IF(AND(f_year="",TITLE_DATE_FIL=""),TRUE,FALSE)</f>
        <v>1</v>
      </c>
      <c r="J53" s="1664" t="s">
        <v>1849</v>
      </c>
      <c r="K53" s="1665"/>
      <c r="AX53" s="1028" t="s">
        <v>1850</v>
      </c>
      <c r="BE53" s="1028">
        <v>2051</v>
      </c>
      <c r="BH53" s="978" t="s">
        <v>1825</v>
      </c>
      <c r="BJ53" s="1126" t="s">
        <v>1797</v>
      </c>
      <c r="BL53" s="1126" t="s">
        <v>1797</v>
      </c>
    </row>
    <row r="54" spans="1:64" ht="11.25" customHeight="1">
      <c r="A54" s="984" t="s">
        <v>1851</v>
      </c>
      <c r="AX54" s="1028" t="s">
        <v>1852</v>
      </c>
      <c r="AZ54" s="977" t="s">
        <v>1853</v>
      </c>
      <c r="BE54" s="1028">
        <v>2052</v>
      </c>
      <c r="BH54" s="978" t="s">
        <v>1831</v>
      </c>
      <c r="BJ54" s="1126" t="s">
        <v>1801</v>
      </c>
      <c r="BL54" s="1126" t="s">
        <v>1801</v>
      </c>
    </row>
    <row r="55" spans="1:64" ht="11.25" customHeight="1">
      <c r="A55" s="984" t="s">
        <v>1854</v>
      </c>
      <c r="AX55" s="1028" t="s">
        <v>1855</v>
      </c>
      <c r="AZ55" s="1028" t="s">
        <v>1391</v>
      </c>
      <c r="BE55" s="1028">
        <v>2053</v>
      </c>
      <c r="BH55" s="980" t="s">
        <v>24</v>
      </c>
      <c r="BJ55" s="1126" t="s">
        <v>987</v>
      </c>
      <c r="BL55" s="1126" t="s">
        <v>987</v>
      </c>
    </row>
    <row r="56" spans="1:64" ht="11.25" customHeight="1">
      <c r="A56" s="984" t="s">
        <v>1856</v>
      </c>
      <c r="D56" s="1027" t="s">
        <v>1857</v>
      </c>
      <c r="E56" s="1004">
        <v>59</v>
      </c>
      <c r="F56" s="984" t="s">
        <v>1858</v>
      </c>
      <c r="AX56" s="1028" t="s">
        <v>1859</v>
      </c>
      <c r="AZ56" s="1028" t="s">
        <v>1419</v>
      </c>
      <c r="BE56" s="1028">
        <v>2054</v>
      </c>
      <c r="BH56" s="980" t="s">
        <v>24</v>
      </c>
      <c r="BJ56" s="1126" t="s">
        <v>1808</v>
      </c>
      <c r="BL56" s="1126" t="s">
        <v>1808</v>
      </c>
    </row>
    <row r="57" spans="1:64" ht="11.25" customHeight="1">
      <c r="A57" s="984" t="s">
        <v>1860</v>
      </c>
      <c r="D57" s="1027" t="s">
        <v>1861</v>
      </c>
      <c r="E57" s="1004">
        <v>66</v>
      </c>
      <c r="F57" s="984" t="s">
        <v>1858</v>
      </c>
      <c r="AX57" s="1028" t="s">
        <v>1862</v>
      </c>
      <c r="AZ57" s="1028" t="s">
        <v>1454</v>
      </c>
      <c r="BE57" s="1028">
        <v>2055</v>
      </c>
      <c r="BJ57" s="1126" t="s">
        <v>1817</v>
      </c>
      <c r="BL57" s="1126" t="s">
        <v>1817</v>
      </c>
    </row>
    <row r="58" spans="1:64" ht="11.25" customHeight="1">
      <c r="A58" s="984" t="s">
        <v>1863</v>
      </c>
      <c r="D58" s="1027" t="s">
        <v>1864</v>
      </c>
      <c r="E58" s="1004">
        <v>44</v>
      </c>
      <c r="F58" s="984" t="s">
        <v>1858</v>
      </c>
      <c r="AX58" s="1028" t="s">
        <v>1865</v>
      </c>
      <c r="BE58" s="1028">
        <v>2056</v>
      </c>
      <c r="BJ58" s="1126" t="s">
        <v>1821</v>
      </c>
      <c r="BL58" s="1126" t="s">
        <v>1821</v>
      </c>
    </row>
    <row r="59" spans="1:64" ht="11.25" customHeight="1">
      <c r="A59" s="984" t="s">
        <v>1866</v>
      </c>
      <c r="D59" s="1027" t="s">
        <v>149</v>
      </c>
      <c r="E59" s="1004" t="s">
        <v>1688</v>
      </c>
      <c r="F59" s="984" t="s">
        <v>1867</v>
      </c>
      <c r="AX59" s="1028" t="s">
        <v>1868</v>
      </c>
      <c r="AZ59" s="977" t="s">
        <v>1869</v>
      </c>
      <c r="BE59" s="1028">
        <v>2057</v>
      </c>
      <c r="BJ59" s="1126" t="s">
        <v>1825</v>
      </c>
      <c r="BL59" s="1126" t="s">
        <v>1825</v>
      </c>
    </row>
    <row r="60" spans="1:64" ht="11.25" customHeight="1">
      <c r="A60" s="984" t="s">
        <v>1870</v>
      </c>
      <c r="D60" s="1027" t="s">
        <v>1871</v>
      </c>
      <c r="E60" s="1004" t="s">
        <v>1688</v>
      </c>
      <c r="F60" s="984" t="s">
        <v>1867</v>
      </c>
      <c r="AX60" s="1028" t="s">
        <v>1872</v>
      </c>
      <c r="AZ60" s="1028" t="s">
        <v>1392</v>
      </c>
      <c r="BE60" s="1028">
        <v>2058</v>
      </c>
      <c r="BJ60" s="1126" t="s">
        <v>1831</v>
      </c>
      <c r="BL60" s="1126" t="s">
        <v>1831</v>
      </c>
    </row>
    <row r="61" spans="1:64" ht="11.25" customHeight="1">
      <c r="A61" s="984" t="s">
        <v>1873</v>
      </c>
      <c r="D61" s="1027" t="s">
        <v>1874</v>
      </c>
      <c r="E61" s="1004">
        <v>30</v>
      </c>
      <c r="F61" s="984" t="s">
        <v>1867</v>
      </c>
      <c r="AX61" s="1028" t="s">
        <v>1875</v>
      </c>
      <c r="AZ61" s="1028" t="s">
        <v>1420</v>
      </c>
      <c r="BE61" s="1028">
        <v>2059</v>
      </c>
      <c r="BL61" s="1126" t="s">
        <v>979</v>
      </c>
    </row>
    <row r="62" spans="1:64" ht="11.25" customHeight="1">
      <c r="A62" s="984" t="s">
        <v>1876</v>
      </c>
      <c r="D62" s="1027" t="s">
        <v>148</v>
      </c>
      <c r="E62" s="1004">
        <v>34</v>
      </c>
      <c r="F62" s="984" t="s">
        <v>1867</v>
      </c>
      <c r="AZ62" s="1028" t="s">
        <v>1455</v>
      </c>
      <c r="BE62" s="1028">
        <v>2060</v>
      </c>
      <c r="BL62" s="1126" t="s">
        <v>981</v>
      </c>
    </row>
    <row r="63" spans="1:64" ht="11.25" customHeight="1">
      <c r="A63" s="984" t="s">
        <v>1877</v>
      </c>
      <c r="D63" s="1027" t="s">
        <v>1878</v>
      </c>
      <c r="E63" s="1004">
        <v>34</v>
      </c>
      <c r="F63" s="984" t="s">
        <v>1867</v>
      </c>
      <c r="AZ63" s="1028" t="s">
        <v>1486</v>
      </c>
      <c r="BE63" s="1028">
        <v>2061</v>
      </c>
    </row>
    <row r="64" spans="1:64" ht="11.25" customHeight="1">
      <c r="A64" s="984" t="s">
        <v>1879</v>
      </c>
      <c r="D64" s="1027" t="s">
        <v>1880</v>
      </c>
      <c r="E64" s="1004">
        <v>34</v>
      </c>
      <c r="F64" s="984" t="s">
        <v>1867</v>
      </c>
      <c r="AZ64" s="1028" t="s">
        <v>1509</v>
      </c>
      <c r="BE64" s="1028">
        <v>2062</v>
      </c>
    </row>
    <row r="65" spans="1:66" ht="11.25" customHeight="1">
      <c r="A65" s="984" t="s">
        <v>1881</v>
      </c>
      <c r="D65" s="984"/>
      <c r="BE65" s="1028">
        <v>2063</v>
      </c>
    </row>
    <row r="66" spans="1:66" ht="11.25" customHeight="1">
      <c r="A66" s="984" t="s">
        <v>1882</v>
      </c>
      <c r="AZ66" s="977" t="s">
        <v>1883</v>
      </c>
      <c r="BE66" s="1028">
        <v>2064</v>
      </c>
    </row>
    <row r="67" spans="1:66" ht="11.25" customHeight="1">
      <c r="A67" s="984" t="s">
        <v>1884</v>
      </c>
      <c r="AZ67" s="1028" t="s">
        <v>1393</v>
      </c>
      <c r="BE67" s="1028">
        <v>2065</v>
      </c>
    </row>
    <row r="68" spans="1:66" ht="11.25" customHeight="1">
      <c r="A68" s="984" t="s">
        <v>1885</v>
      </c>
      <c r="AZ68" s="1028" t="s">
        <v>1421</v>
      </c>
      <c r="BE68" s="1028">
        <v>2066</v>
      </c>
      <c r="BH68" s="977" t="s">
        <v>1886</v>
      </c>
      <c r="BJ68" s="977" t="s">
        <v>1887</v>
      </c>
      <c r="BL68" s="977" t="s">
        <v>1888</v>
      </c>
      <c r="BN68" s="977" t="s">
        <v>1889</v>
      </c>
    </row>
    <row r="69" spans="1:66" ht="11.25" customHeight="1">
      <c r="A69" s="984" t="s">
        <v>1890</v>
      </c>
      <c r="AZ69" s="1028" t="s">
        <v>1456</v>
      </c>
      <c r="BE69" s="1028">
        <v>2067</v>
      </c>
      <c r="BH69" s="978" t="s">
        <v>1891</v>
      </c>
      <c r="BI69" s="1026" t="s">
        <v>129</v>
      </c>
      <c r="BJ69" s="978" t="s">
        <v>1892</v>
      </c>
      <c r="BK69" s="1026" t="s">
        <v>129</v>
      </c>
      <c r="BL69" s="978" t="s">
        <v>1893</v>
      </c>
      <c r="BN69" s="978" t="s">
        <v>1894</v>
      </c>
    </row>
    <row r="70" spans="1:66" ht="11.25" customHeight="1">
      <c r="A70" s="984" t="s">
        <v>1895</v>
      </c>
      <c r="AZ70" s="1028" t="s">
        <v>1487</v>
      </c>
      <c r="BE70" s="1028">
        <v>2068</v>
      </c>
      <c r="BH70" s="978" t="s">
        <v>1896</v>
      </c>
      <c r="BJ70" s="978" t="s">
        <v>1897</v>
      </c>
      <c r="BL70" s="978" t="s">
        <v>1898</v>
      </c>
      <c r="BN70" s="978" t="s">
        <v>1899</v>
      </c>
    </row>
    <row r="71" spans="1:66" ht="11.25" customHeight="1">
      <c r="A71" s="984" t="s">
        <v>1900</v>
      </c>
      <c r="AZ71" s="1028" t="s">
        <v>1489</v>
      </c>
      <c r="BE71" s="1028">
        <v>2069</v>
      </c>
      <c r="BH71" s="978" t="s">
        <v>1901</v>
      </c>
      <c r="BI71" s="1026" t="s">
        <v>88</v>
      </c>
      <c r="BJ71" s="978" t="s">
        <v>1902</v>
      </c>
      <c r="BK71" s="1026" t="s">
        <v>88</v>
      </c>
      <c r="BL71" s="978" t="s">
        <v>1903</v>
      </c>
      <c r="BN71" s="978" t="s">
        <v>1904</v>
      </c>
    </row>
    <row r="72" spans="1:66" ht="11.25" customHeight="1">
      <c r="A72" s="984" t="s">
        <v>1905</v>
      </c>
      <c r="AZ72" s="1028" t="s">
        <v>55</v>
      </c>
      <c r="BE72" s="1028">
        <v>2070</v>
      </c>
      <c r="BH72" s="978" t="s">
        <v>1906</v>
      </c>
      <c r="BJ72" s="978" t="s">
        <v>1906</v>
      </c>
      <c r="BL72" s="978" t="s">
        <v>1906</v>
      </c>
      <c r="BN72" s="978" t="s">
        <v>1907</v>
      </c>
    </row>
    <row r="73" spans="1:66" ht="11.25" customHeight="1">
      <c r="A73" s="984" t="s">
        <v>1908</v>
      </c>
      <c r="BH73" s="978" t="s">
        <v>1909</v>
      </c>
      <c r="BI73" s="1026" t="s">
        <v>117</v>
      </c>
      <c r="BJ73" s="978" t="s">
        <v>1910</v>
      </c>
      <c r="BK73" s="1026" t="s">
        <v>117</v>
      </c>
      <c r="BL73" s="978" t="s">
        <v>1911</v>
      </c>
      <c r="BN73" s="978" t="s">
        <v>1912</v>
      </c>
    </row>
    <row r="74" spans="1:66" ht="11.25" customHeight="1">
      <c r="A74" s="984" t="s">
        <v>1913</v>
      </c>
      <c r="BH74" s="978" t="s">
        <v>1914</v>
      </c>
      <c r="BJ74" s="978" t="s">
        <v>1915</v>
      </c>
      <c r="BL74" s="978" t="s">
        <v>1916</v>
      </c>
      <c r="BN74" s="978" t="s">
        <v>1917</v>
      </c>
    </row>
    <row r="75" spans="1:66" ht="11.25" customHeight="1">
      <c r="A75" s="984" t="s">
        <v>14</v>
      </c>
      <c r="AZ75" s="977" t="s">
        <v>1918</v>
      </c>
      <c r="BH75" s="978" t="s">
        <v>1919</v>
      </c>
      <c r="BJ75" s="978" t="s">
        <v>1919</v>
      </c>
      <c r="BL75" s="978" t="s">
        <v>1919</v>
      </c>
    </row>
    <row r="76" spans="1:66" ht="11.25" customHeight="1">
      <c r="A76" s="984" t="s">
        <v>1920</v>
      </c>
      <c r="AZ76" s="1028" t="s">
        <v>1402</v>
      </c>
      <c r="BH76" s="978" t="s">
        <v>1921</v>
      </c>
      <c r="BJ76" s="978" t="s">
        <v>1922</v>
      </c>
      <c r="BL76" s="978" t="s">
        <v>1923</v>
      </c>
    </row>
    <row r="77" spans="1:66" ht="11.25" customHeight="1">
      <c r="A77" s="984" t="s">
        <v>1924</v>
      </c>
      <c r="AZ77" s="1028" t="s">
        <v>1431</v>
      </c>
    </row>
    <row r="78" spans="1:66" ht="11.25" customHeight="1">
      <c r="A78" s="984" t="s">
        <v>1925</v>
      </c>
      <c r="AZ78" s="1028" t="s">
        <v>1463</v>
      </c>
    </row>
    <row r="79" spans="1:66" ht="11.25" customHeight="1">
      <c r="A79" s="984" t="s">
        <v>1926</v>
      </c>
      <c r="AZ79" s="1028" t="s">
        <v>1493</v>
      </c>
      <c r="BH79" s="977" t="s">
        <v>1927</v>
      </c>
      <c r="BJ79" s="977" t="s">
        <v>1928</v>
      </c>
      <c r="BL79" s="977" t="s">
        <v>1929</v>
      </c>
    </row>
    <row r="80" spans="1:66" ht="11.25" customHeight="1">
      <c r="A80" s="984" t="s">
        <v>1930</v>
      </c>
      <c r="AZ80" s="1028" t="s">
        <v>1514</v>
      </c>
      <c r="BH80" s="978" t="s">
        <v>1931</v>
      </c>
      <c r="BJ80" s="978" t="s">
        <v>1932</v>
      </c>
      <c r="BL80" s="978" t="s">
        <v>1933</v>
      </c>
    </row>
    <row r="81" spans="1:66" ht="11.25" customHeight="1">
      <c r="A81" s="984" t="s">
        <v>1934</v>
      </c>
      <c r="AZ81" s="1028" t="s">
        <v>1531</v>
      </c>
      <c r="BH81" s="978" t="s">
        <v>1935</v>
      </c>
      <c r="BJ81" s="978" t="s">
        <v>1936</v>
      </c>
      <c r="BL81" s="978" t="s">
        <v>1937</v>
      </c>
    </row>
    <row r="82" spans="1:66" ht="11.25" customHeight="1">
      <c r="A82" s="984" t="s">
        <v>1938</v>
      </c>
      <c r="AZ82" s="1028" t="s">
        <v>1545</v>
      </c>
      <c r="BH82" s="978" t="s">
        <v>1939</v>
      </c>
      <c r="BJ82" s="978" t="s">
        <v>1940</v>
      </c>
      <c r="BL82" s="978" t="s">
        <v>1941</v>
      </c>
    </row>
    <row r="83" spans="1:66" ht="11.25" customHeight="1">
      <c r="A83" s="984" t="s">
        <v>1942</v>
      </c>
      <c r="BH83" s="978" t="s">
        <v>1943</v>
      </c>
      <c r="BJ83" s="978" t="s">
        <v>1944</v>
      </c>
      <c r="BL83" s="978" t="s">
        <v>1945</v>
      </c>
    </row>
    <row r="84" spans="1:66" ht="11.25" customHeight="1">
      <c r="A84" s="984" t="s">
        <v>1946</v>
      </c>
      <c r="AZ84" s="977" t="s">
        <v>1947</v>
      </c>
    </row>
    <row r="85" spans="1:66" ht="11.25" customHeight="1">
      <c r="A85" s="1789" t="s">
        <v>1948</v>
      </c>
      <c r="AZ85" s="1028" t="s">
        <v>1949</v>
      </c>
    </row>
    <row r="86" spans="1:66" ht="11.25" customHeight="1">
      <c r="A86" s="984" t="s">
        <v>1950</v>
      </c>
      <c r="AZ86" s="1028" t="s">
        <v>1951</v>
      </c>
      <c r="BH86" s="977" t="s">
        <v>1952</v>
      </c>
      <c r="BJ86" s="977" t="s">
        <v>1953</v>
      </c>
      <c r="BL86" s="977" t="s">
        <v>1954</v>
      </c>
    </row>
    <row r="87" spans="1:66" ht="11.25" customHeight="1">
      <c r="A87" s="984" t="s">
        <v>1955</v>
      </c>
      <c r="AZ87" s="1028" t="s">
        <v>1956</v>
      </c>
      <c r="BH87" s="978" t="s">
        <v>1957</v>
      </c>
      <c r="BJ87" s="978" t="s">
        <v>1958</v>
      </c>
      <c r="BL87" s="978" t="s">
        <v>1959</v>
      </c>
    </row>
    <row r="88" spans="1:66" ht="11.25" customHeight="1">
      <c r="A88" s="984" t="s">
        <v>1960</v>
      </c>
      <c r="AZ88"/>
      <c r="BH88" s="978" t="s">
        <v>1961</v>
      </c>
      <c r="BJ88" s="978" t="s">
        <v>1962</v>
      </c>
      <c r="BL88" s="978" t="s">
        <v>1963</v>
      </c>
    </row>
    <row r="89" spans="1:66" ht="11.25" customHeight="1">
      <c r="A89" s="984" t="s">
        <v>1964</v>
      </c>
      <c r="AZ89" s="977" t="s">
        <v>1965</v>
      </c>
    </row>
    <row r="90" spans="1:66" ht="11.25" customHeight="1">
      <c r="A90" s="984" t="s">
        <v>1966</v>
      </c>
      <c r="AZ90" s="1028" t="s">
        <v>957</v>
      </c>
    </row>
    <row r="91" spans="1:66" ht="11.25" customHeight="1">
      <c r="A91" s="984" t="s">
        <v>1967</v>
      </c>
      <c r="AZ91" s="1028" t="s">
        <v>993</v>
      </c>
      <c r="BH91" s="977" t="s">
        <v>1968</v>
      </c>
      <c r="BJ91" s="977" t="s">
        <v>1969</v>
      </c>
      <c r="BL91" s="977" t="s">
        <v>1970</v>
      </c>
    </row>
    <row r="92" spans="1:66" ht="11.25" customHeight="1">
      <c r="AZ92" s="1028" t="s">
        <v>1971</v>
      </c>
      <c r="BH92" s="978" t="s">
        <v>1972</v>
      </c>
      <c r="BJ92" s="978" t="s">
        <v>1973</v>
      </c>
      <c r="BL92" s="978" t="s">
        <v>1974</v>
      </c>
    </row>
    <row r="93" spans="1:66" ht="11.25" customHeight="1">
      <c r="AZ93" s="1028" t="s">
        <v>1975</v>
      </c>
      <c r="BH93" s="978" t="s">
        <v>1976</v>
      </c>
      <c r="BJ93" s="978" t="s">
        <v>1977</v>
      </c>
      <c r="BL93" s="978" t="s">
        <v>1978</v>
      </c>
    </row>
    <row r="94" spans="1:66" ht="11.25" customHeight="1">
      <c r="AZ94" s="1028" t="s">
        <v>1979</v>
      </c>
    </row>
    <row r="96" spans="1:66" ht="11.25" customHeight="1">
      <c r="AZ96" s="977" t="s">
        <v>1980</v>
      </c>
      <c r="BH96" s="977" t="s">
        <v>1981</v>
      </c>
      <c r="BJ96" s="977" t="s">
        <v>1982</v>
      </c>
      <c r="BL96" s="977" t="s">
        <v>1983</v>
      </c>
      <c r="BN96" s="977" t="s">
        <v>1984</v>
      </c>
    </row>
    <row r="97" spans="52:66" ht="11.25" customHeight="1">
      <c r="AZ97" s="1028" t="s">
        <v>1985</v>
      </c>
      <c r="BH97" s="978" t="s">
        <v>1986</v>
      </c>
      <c r="BJ97" s="978" t="s">
        <v>1987</v>
      </c>
      <c r="BL97" s="978" t="s">
        <v>1988</v>
      </c>
      <c r="BN97" s="978" t="s">
        <v>1989</v>
      </c>
    </row>
    <row r="98" spans="52:66" ht="11.25" customHeight="1">
      <c r="AZ98" s="1028" t="s">
        <v>1990</v>
      </c>
      <c r="BH98" s="978" t="s">
        <v>1991</v>
      </c>
      <c r="BJ98" s="978" t="s">
        <v>1992</v>
      </c>
      <c r="BL98" s="978" t="s">
        <v>1993</v>
      </c>
      <c r="BN98" s="978" t="s">
        <v>1994</v>
      </c>
    </row>
    <row r="99" spans="52:66" ht="11.25" customHeight="1">
      <c r="AZ99" s="1028" t="s">
        <v>1995</v>
      </c>
      <c r="BH99" s="978" t="s">
        <v>1996</v>
      </c>
      <c r="BJ99" s="978" t="s">
        <v>1997</v>
      </c>
      <c r="BL99" s="978" t="s">
        <v>1998</v>
      </c>
      <c r="BN99" s="978" t="s">
        <v>1999</v>
      </c>
    </row>
    <row r="100" spans="52:66" ht="11.25" customHeight="1">
      <c r="BJ100" s="978" t="s">
        <v>1591</v>
      </c>
      <c r="BL100" s="978" t="s">
        <v>1591</v>
      </c>
      <c r="BN100" s="978" t="s">
        <v>2000</v>
      </c>
    </row>
    <row r="101" spans="52:66" ht="11.25" customHeight="1">
      <c r="AZ101" s="1611" t="s">
        <v>2001</v>
      </c>
      <c r="BN101" s="978" t="s">
        <v>2002</v>
      </c>
    </row>
    <row r="102" spans="52:66" ht="11.25" customHeight="1">
      <c r="AZ102" s="1028" t="s">
        <v>2003</v>
      </c>
      <c r="BN102" s="978" t="s">
        <v>2004</v>
      </c>
    </row>
    <row r="103" spans="52:66" ht="11.25" customHeight="1">
      <c r="AZ103" s="1028" t="s">
        <v>2005</v>
      </c>
      <c r="BN103" s="978" t="s">
        <v>2006</v>
      </c>
    </row>
    <row r="104" spans="52:66" ht="11.25" customHeight="1">
      <c r="AZ104" s="1028" t="s">
        <v>595</v>
      </c>
      <c r="BN104" s="978" t="s">
        <v>2007</v>
      </c>
    </row>
    <row r="107" spans="52:66" ht="11.25" customHeight="1">
      <c r="BH107" s="977" t="s">
        <v>2008</v>
      </c>
      <c r="BJ107" s="977" t="s">
        <v>2009</v>
      </c>
      <c r="BL107" s="977" t="s">
        <v>2010</v>
      </c>
      <c r="BN107" s="977" t="s">
        <v>2011</v>
      </c>
    </row>
    <row r="108" spans="52:66" ht="11.25" customHeight="1">
      <c r="BH108" s="978" t="s">
        <v>2012</v>
      </c>
      <c r="BJ108" s="978" t="s">
        <v>2013</v>
      </c>
      <c r="BL108" s="978" t="s">
        <v>1676</v>
      </c>
      <c r="BN108" s="978" t="s">
        <v>2014</v>
      </c>
    </row>
    <row r="109" spans="52:66" ht="11.25" customHeight="1">
      <c r="BH109" s="978" t="s">
        <v>2015</v>
      </c>
    </row>
    <row r="110" spans="52:66" ht="11.25" customHeight="1">
      <c r="BH110" s="978" t="s">
        <v>2015</v>
      </c>
    </row>
    <row r="114" spans="60:60" ht="11.25" customHeight="1">
      <c r="BH114" s="977" t="s">
        <v>2016</v>
      </c>
    </row>
    <row r="115" spans="60:60" ht="11.25" customHeight="1">
      <c r="BH115" s="978" t="s">
        <v>1389</v>
      </c>
    </row>
    <row r="116" spans="60:60" ht="11.25" customHeight="1">
      <c r="BH116" s="978" t="s">
        <v>1417</v>
      </c>
    </row>
    <row r="117" spans="60:60" ht="11.25" customHeight="1">
      <c r="BH117" s="978" t="s">
        <v>1452</v>
      </c>
    </row>
    <row r="118" spans="60:60" ht="11.25" customHeight="1">
      <c r="BH118" s="978" t="s">
        <v>1485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2017</v>
      </c>
      <c r="B1" s="760"/>
      <c r="C1" s="893" t="s">
        <v>2018</v>
      </c>
      <c r="D1" s="891" t="s">
        <v>746</v>
      </c>
      <c r="E1" s="891" t="s">
        <v>792</v>
      </c>
      <c r="F1" s="891" t="s">
        <v>844</v>
      </c>
      <c r="G1" s="891" t="s">
        <v>830</v>
      </c>
      <c r="H1" s="891" t="s">
        <v>1791</v>
      </c>
    </row>
    <row r="2" spans="1:8" ht="9" customHeight="1">
      <c r="A2" s="894" t="s">
        <v>2019</v>
      </c>
      <c r="B2" s="894"/>
      <c r="C2" s="895" t="str">
        <f>INDEX(TEMPLATE_NUMBER_FORM_LIST,MATCH(TEMPLATE_SPHERE,TEMPLATE_SPHERE_LIST,0))</f>
        <v>10</v>
      </c>
      <c r="D2" s="894" t="s">
        <v>1642</v>
      </c>
      <c r="E2" s="894" t="s">
        <v>167</v>
      </c>
      <c r="F2" s="896" t="s">
        <v>167</v>
      </c>
      <c r="G2" s="894" t="s">
        <v>167</v>
      </c>
      <c r="H2" s="897"/>
    </row>
    <row r="3" spans="1:8" ht="63" customHeight="1">
      <c r="A3" s="760"/>
      <c r="B3" s="760" t="s">
        <v>129</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2020</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2021</v>
      </c>
      <c r="B4" s="760" t="s">
        <v>102</v>
      </c>
      <c r="C4" s="895" t="str">
        <f>IF(TEMPLATE_SPHERE="HEAT",D4,IF(TEMPLATE_SPHERE="TKO",H4,E4))</f>
        <v>Форма 1. Информация об организации, осуществляющей холодное водоснабжение (общая информация)</v>
      </c>
      <c r="D4" s="894" t="s">
        <v>2022</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2023</v>
      </c>
    </row>
    <row r="5" spans="1:8" ht="117" customHeight="1">
      <c r="A5" s="760" t="s">
        <v>2024</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2025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2026</v>
      </c>
    </row>
    <row r="6" spans="1:8" ht="45" customHeight="1">
      <c r="A6" s="760" t="s">
        <v>2027</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2028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2029</v>
      </c>
      <c r="B7" s="760" t="s">
        <v>117</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2030</v>
      </c>
      <c r="E7" s="760" t="s">
        <v>2031</v>
      </c>
      <c r="F7" s="897"/>
      <c r="G7" s="897"/>
      <c r="H7" s="897"/>
    </row>
    <row r="8" spans="1:8" ht="108" customHeight="1">
      <c r="A8" s="760" t="s">
        <v>2032</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2033</v>
      </c>
      <c r="E8" s="760" t="s">
        <v>2034</v>
      </c>
      <c r="F8" s="897"/>
      <c r="G8" s="897"/>
      <c r="H8" s="897"/>
    </row>
    <row r="9" spans="1:8" ht="99" customHeight="1">
      <c r="A9" s="760" t="s">
        <v>2035</v>
      </c>
      <c r="B9" s="760"/>
      <c r="C9" s="760" t="s">
        <v>2036</v>
      </c>
      <c r="D9" s="760"/>
      <c r="E9" s="760"/>
      <c r="F9" s="897"/>
      <c r="G9" s="897"/>
      <c r="H9" s="897"/>
    </row>
    <row r="10" spans="1:8" ht="126" customHeight="1">
      <c r="A10" s="760" t="s">
        <v>2037</v>
      </c>
      <c r="B10" s="760"/>
      <c r="C10" s="760" t="s">
        <v>2038</v>
      </c>
      <c r="D10" s="760"/>
      <c r="E10" s="760"/>
      <c r="F10" s="897"/>
      <c r="G10" s="897"/>
      <c r="H10" s="897"/>
    </row>
    <row r="11" spans="1:8" ht="108" customHeight="1">
      <c r="A11" s="760" t="s">
        <v>2039</v>
      </c>
      <c r="B11" s="760"/>
      <c r="C11" s="760" t="s">
        <v>2040</v>
      </c>
      <c r="D11" s="760"/>
      <c r="E11" s="760"/>
      <c r="F11" s="897"/>
      <c r="G11" s="897"/>
      <c r="H11" s="897"/>
    </row>
    <row r="12" spans="1:8" ht="54" customHeight="1">
      <c r="A12" s="760" t="s">
        <v>2041</v>
      </c>
      <c r="B12" s="760"/>
      <c r="C12" s="760" t="s">
        <v>2042</v>
      </c>
      <c r="D12" s="760"/>
      <c r="E12" s="760"/>
      <c r="F12" s="897"/>
      <c r="G12" s="897"/>
      <c r="H12" s="897"/>
    </row>
    <row r="13" spans="1:8" ht="45" customHeight="1">
      <c r="A13" s="760" t="s">
        <v>2043</v>
      </c>
      <c r="B13" s="760"/>
      <c r="C13" s="760" t="s">
        <v>2044</v>
      </c>
      <c r="D13" s="760"/>
      <c r="E13" s="760"/>
      <c r="F13" s="897"/>
      <c r="G13" s="897"/>
      <c r="H13" s="897"/>
    </row>
    <row r="14" spans="1:8" ht="117" customHeight="1">
      <c r="A14" s="760" t="s">
        <v>2045</v>
      </c>
      <c r="B14" s="760"/>
      <c r="C14" s="760" t="s">
        <v>2046</v>
      </c>
      <c r="D14" s="760"/>
      <c r="E14" s="760"/>
      <c r="F14" s="897"/>
      <c r="G14" s="897"/>
      <c r="H14" s="897"/>
    </row>
    <row r="15" spans="1:8" ht="117" customHeight="1">
      <c r="A15" s="760" t="s">
        <v>2047</v>
      </c>
      <c r="B15" s="760"/>
      <c r="C15" s="760" t="s">
        <v>2048</v>
      </c>
      <c r="D15" s="760"/>
      <c r="E15" s="760"/>
      <c r="F15" s="897"/>
      <c r="G15" s="897"/>
      <c r="H15" s="897"/>
    </row>
    <row r="16" spans="1:8" ht="63" customHeight="1">
      <c r="A16" s="760" t="s">
        <v>2049</v>
      </c>
      <c r="B16" s="760"/>
      <c r="C16" s="760" t="s">
        <v>2050</v>
      </c>
      <c r="D16" s="760"/>
      <c r="E16" s="760"/>
      <c r="F16" s="897"/>
      <c r="G16" s="897"/>
      <c r="H16" s="897"/>
    </row>
    <row r="17" spans="1:8" ht="54" customHeight="1">
      <c r="A17" s="760" t="s">
        <v>2051</v>
      </c>
      <c r="B17" s="760"/>
      <c r="C17" s="895" t="s">
        <v>2052</v>
      </c>
      <c r="D17" s="760"/>
      <c r="E17" s="760"/>
      <c r="F17" s="897"/>
      <c r="G17" s="897"/>
      <c r="H17" s="897"/>
    </row>
    <row r="18" spans="1:8" ht="27" customHeight="1">
      <c r="A18" s="760" t="s">
        <v>2053</v>
      </c>
      <c r="B18" s="760"/>
      <c r="C18" s="895" t="s">
        <v>2054</v>
      </c>
      <c r="D18" s="760"/>
      <c r="E18" s="760"/>
      <c r="F18" s="897"/>
      <c r="G18" s="897"/>
      <c r="H18" s="897"/>
    </row>
    <row r="19" spans="1:8" ht="54" customHeight="1">
      <c r="A19" s="760" t="s">
        <v>2055</v>
      </c>
      <c r="B19" s="760"/>
      <c r="C19" s="895" t="s">
        <v>2056</v>
      </c>
      <c r="D19" s="760"/>
      <c r="E19" s="760"/>
      <c r="F19" s="897"/>
      <c r="G19" s="897"/>
      <c r="H19" s="897"/>
    </row>
    <row r="20" spans="1:8" ht="36" customHeight="1">
      <c r="A20" s="760" t="s">
        <v>2057</v>
      </c>
      <c r="B20" s="760"/>
      <c r="C20" s="895" t="s">
        <v>2058</v>
      </c>
      <c r="D20" s="760"/>
      <c r="E20" s="760"/>
      <c r="F20" s="897"/>
      <c r="G20" s="897"/>
      <c r="H20" s="897"/>
    </row>
    <row r="21" spans="1:8" ht="36" customHeight="1">
      <c r="A21" s="760" t="s">
        <v>2059</v>
      </c>
      <c r="B21" s="760"/>
      <c r="C21" s="895" t="s">
        <v>2060</v>
      </c>
      <c r="D21" s="760"/>
      <c r="E21" s="760"/>
      <c r="F21" s="897"/>
      <c r="G21" s="897"/>
      <c r="H21" s="897"/>
    </row>
    <row r="22" spans="1:8" ht="27" customHeight="1">
      <c r="A22" s="760" t="s">
        <v>2061</v>
      </c>
      <c r="B22" s="760"/>
      <c r="C22" s="895" t="s">
        <v>2062</v>
      </c>
      <c r="D22" s="760"/>
      <c r="E22" s="760"/>
      <c r="F22" s="897"/>
      <c r="G22" s="897"/>
      <c r="H22" s="897"/>
    </row>
    <row r="23" spans="1:8" ht="36" customHeight="1">
      <c r="A23" s="760" t="s">
        <v>2063</v>
      </c>
      <c r="B23" s="760"/>
      <c r="C23" s="895" t="s">
        <v>2064</v>
      </c>
      <c r="D23" s="760"/>
      <c r="E23" s="760"/>
      <c r="F23" s="897"/>
      <c r="G23" s="897"/>
      <c r="H23" s="897"/>
    </row>
    <row r="24" spans="1:8" ht="28.5" customHeight="1">
      <c r="A24" s="760" t="s">
        <v>2065</v>
      </c>
      <c r="B24" s="760"/>
      <c r="C24" s="895" t="s">
        <v>2066</v>
      </c>
      <c r="D24" s="760"/>
      <c r="E24" s="760"/>
      <c r="F24" s="897"/>
      <c r="G24" s="897"/>
      <c r="H24" s="897"/>
    </row>
    <row r="25" spans="1:8" ht="36" customHeight="1">
      <c r="A25" s="760" t="s">
        <v>2067</v>
      </c>
      <c r="B25" s="760"/>
      <c r="C25" s="895" t="s">
        <v>2068</v>
      </c>
      <c r="D25" s="760"/>
      <c r="E25" s="760"/>
      <c r="F25" s="897"/>
      <c r="G25" s="897"/>
      <c r="H25" s="897"/>
    </row>
    <row r="26" spans="1:8" ht="27" customHeight="1">
      <c r="A26" s="760" t="s">
        <v>2069</v>
      </c>
      <c r="B26" s="760"/>
      <c r="C26" s="895" t="s">
        <v>2070</v>
      </c>
      <c r="D26" s="760"/>
      <c r="E26" s="760"/>
      <c r="F26" s="897"/>
      <c r="G26" s="897"/>
      <c r="H26" s="897"/>
    </row>
    <row r="27" spans="1:8" ht="36" customHeight="1">
      <c r="A27" s="760" t="s">
        <v>2071</v>
      </c>
      <c r="B27" s="760"/>
      <c r="C27" s="895" t="s">
        <v>2072</v>
      </c>
      <c r="D27" s="760"/>
      <c r="E27" s="760"/>
      <c r="F27" s="897"/>
      <c r="G27" s="897"/>
      <c r="H27" s="897"/>
    </row>
    <row r="28" spans="1:8" ht="28.5" customHeight="1">
      <c r="A28" s="760" t="s">
        <v>2073</v>
      </c>
      <c r="B28" s="760"/>
      <c r="C28" s="895" t="s">
        <v>2074</v>
      </c>
      <c r="D28" s="760"/>
      <c r="E28" s="760"/>
      <c r="F28" s="897"/>
      <c r="G28" s="897"/>
      <c r="H28" s="897"/>
    </row>
    <row r="29" spans="1:8" ht="126" customHeight="1">
      <c r="A29" s="760" t="s">
        <v>2075</v>
      </c>
      <c r="B29" s="760" t="s">
        <v>1743</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2076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2077</v>
      </c>
    </row>
    <row r="30" spans="1:8" ht="36" customHeight="1">
      <c r="A30" s="760" t="s">
        <v>2078</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2079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2080</v>
      </c>
      <c r="B31" s="760"/>
      <c r="C31" s="895" t="str">
        <f>IF(TEMPLATE_SPHERE="HEAT",D31,IF(TEMPLATE_SPHERE="TKO",H31,E31))</f>
        <v>Форма 1. Информация об организации, осуществляющей холодное водоснабжение (общая информация)</v>
      </c>
      <c r="D31" s="760" t="s">
        <v>2081</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2082</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2083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2084</v>
      </c>
    </row>
    <row r="33" spans="1:8" ht="9" customHeight="1">
      <c r="A33" s="760"/>
      <c r="B33" s="760"/>
      <c r="C33" s="895"/>
      <c r="D33" s="760"/>
      <c r="E33" s="760"/>
      <c r="F33" s="897"/>
      <c r="G33" s="897"/>
      <c r="H33" s="897"/>
    </row>
    <row r="34" spans="1:8" ht="9" customHeight="1">
      <c r="A34" s="760"/>
      <c r="B34" s="760" t="s">
        <v>1679</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2085</v>
      </c>
      <c r="D1" s="812"/>
      <c r="E1" s="812"/>
      <c r="F1" s="812"/>
      <c r="G1" s="812"/>
      <c r="H1" s="812" t="s">
        <v>2086</v>
      </c>
      <c r="I1" s="812"/>
      <c r="J1" s="812"/>
      <c r="K1" s="812"/>
      <c r="L1" s="812"/>
      <c r="M1" s="812" t="s">
        <v>2087</v>
      </c>
      <c r="N1" s="812" t="s">
        <v>2088</v>
      </c>
      <c r="O1" s="4150" t="s">
        <v>2089</v>
      </c>
      <c r="P1" s="4150"/>
      <c r="Q1" s="4150"/>
      <c r="R1" s="4150"/>
      <c r="S1" s="4150"/>
      <c r="T1" s="4150" t="s">
        <v>2087</v>
      </c>
      <c r="U1" s="4150"/>
      <c r="V1" s="4150"/>
      <c r="W1" s="4150"/>
      <c r="X1" s="4150"/>
      <c r="Y1" s="910"/>
      <c r="Z1" s="4150" t="s">
        <v>2090</v>
      </c>
      <c r="AA1" s="4150"/>
      <c r="AB1" s="4150"/>
      <c r="AC1" s="4150"/>
      <c r="AD1" s="4150"/>
    </row>
    <row r="2" spans="1:34" ht="18" customHeight="1">
      <c r="A2" s="760"/>
      <c r="B2" s="760"/>
      <c r="C2" s="755" t="s">
        <v>746</v>
      </c>
      <c r="D2" s="755" t="s">
        <v>792</v>
      </c>
      <c r="E2" s="755" t="s">
        <v>844</v>
      </c>
      <c r="F2" s="755" t="s">
        <v>830</v>
      </c>
      <c r="G2" s="755" t="s">
        <v>1791</v>
      </c>
      <c r="H2" s="757"/>
      <c r="I2" s="757"/>
      <c r="J2" s="757"/>
      <c r="K2" s="757"/>
      <c r="L2" s="757"/>
      <c r="M2" s="757"/>
      <c r="N2" s="757"/>
      <c r="O2" s="755" t="s">
        <v>746</v>
      </c>
      <c r="P2" s="755" t="s">
        <v>792</v>
      </c>
      <c r="Q2" s="755" t="s">
        <v>830</v>
      </c>
      <c r="R2" s="755" t="s">
        <v>844</v>
      </c>
      <c r="S2" s="755" t="s">
        <v>1791</v>
      </c>
      <c r="T2" s="755" t="s">
        <v>746</v>
      </c>
      <c r="U2" s="755" t="s">
        <v>792</v>
      </c>
      <c r="V2" s="755" t="s">
        <v>830</v>
      </c>
      <c r="W2" s="755" t="s">
        <v>844</v>
      </c>
      <c r="X2" s="755" t="s">
        <v>1791</v>
      </c>
      <c r="Y2" s="755"/>
      <c r="Z2" s="755" t="s">
        <v>746</v>
      </c>
      <c r="AA2" s="764" t="s">
        <v>792</v>
      </c>
      <c r="AB2" s="755" t="s">
        <v>830</v>
      </c>
      <c r="AC2" s="755" t="s">
        <v>844</v>
      </c>
      <c r="AD2" s="755" t="s">
        <v>1791</v>
      </c>
    </row>
    <row r="3" spans="1:34" ht="162" customHeight="1">
      <c r="A3" s="759" t="s">
        <v>22</v>
      </c>
      <c r="B3" s="759"/>
      <c r="C3" s="4154" t="s">
        <v>2091</v>
      </c>
      <c r="D3" s="4155"/>
      <c r="E3" s="4155"/>
      <c r="F3" s="4156"/>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2092</v>
      </c>
      <c r="AA3" s="757" t="s">
        <v>2093</v>
      </c>
      <c r="AB3" s="760" t="s">
        <v>2094</v>
      </c>
      <c r="AC3" s="760" t="s">
        <v>2095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4151" t="s">
        <v>29</v>
      </c>
      <c r="B11" s="813">
        <v>1</v>
      </c>
      <c r="C11" s="4157" t="s">
        <v>1730</v>
      </c>
      <c r="D11" s="4157" t="s">
        <v>1726</v>
      </c>
      <c r="E11" s="4157" t="s">
        <v>1824</v>
      </c>
      <c r="F11" s="4157" t="s">
        <v>2096</v>
      </c>
      <c r="G11" s="4157"/>
      <c r="H11" s="812" t="s">
        <v>2097</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2098</v>
      </c>
      <c r="U11" s="757" t="s">
        <v>2099</v>
      </c>
      <c r="V11" s="757"/>
      <c r="W11" s="757"/>
      <c r="X11" s="757"/>
      <c r="Y11" s="911"/>
      <c r="Z11" s="760" t="s">
        <v>2100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4151"/>
      <c r="B12" s="813">
        <v>2</v>
      </c>
      <c r="C12" s="4158"/>
      <c r="D12" s="4158"/>
      <c r="E12" s="4158"/>
      <c r="F12" s="4158"/>
      <c r="G12" s="4158"/>
      <c r="H12" s="812" t="s">
        <v>2101</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2102</v>
      </c>
      <c r="U12" s="757" t="s">
        <v>2103</v>
      </c>
      <c r="V12" s="757"/>
      <c r="W12" s="757"/>
      <c r="X12" s="757"/>
      <c r="Y12" s="911"/>
      <c r="Z12" s="760" t="s">
        <v>2104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4151"/>
      <c r="B13" s="813">
        <v>3</v>
      </c>
      <c r="C13" s="4158"/>
      <c r="D13" s="4158"/>
      <c r="E13" s="4158"/>
      <c r="F13" s="4158"/>
      <c r="G13" s="4158"/>
      <c r="H13" s="4150" t="s">
        <v>2105</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2106</v>
      </c>
      <c r="U13" s="758" t="s">
        <v>2107</v>
      </c>
      <c r="V13" s="758"/>
      <c r="W13" s="758"/>
      <c r="X13" s="757"/>
      <c r="Y13" s="911"/>
      <c r="Z13" s="760" t="s">
        <v>2108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4151"/>
      <c r="B14" s="813">
        <v>4</v>
      </c>
      <c r="C14" s="4158"/>
      <c r="D14" s="4158"/>
      <c r="E14" s="4158"/>
      <c r="F14" s="4158"/>
      <c r="G14" s="4158"/>
      <c r="H14" s="4150"/>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2109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2110</v>
      </c>
      <c r="AA14" s="763" t="s">
        <v>2110</v>
      </c>
      <c r="AB14" s="760"/>
      <c r="AC14" s="760"/>
      <c r="AD14" s="760"/>
    </row>
    <row r="15" spans="1:34" ht="108" customHeight="1">
      <c r="A15" s="4151"/>
      <c r="B15" s="813">
        <v>5</v>
      </c>
      <c r="C15" s="4158"/>
      <c r="D15" s="4158"/>
      <c r="E15" s="4158"/>
      <c r="F15" s="4158"/>
      <c r="G15" s="4158"/>
      <c r="H15" s="4152" t="s">
        <v>2111</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2112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2113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4159"/>
      <c r="D16" s="4159"/>
      <c r="E16" s="4159"/>
      <c r="F16" s="4159"/>
      <c r="G16" s="4159"/>
      <c r="H16" s="4153"/>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2113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1827</v>
      </c>
      <c r="B18" s="813">
        <v>1</v>
      </c>
      <c r="C18" s="757" t="s">
        <v>2097</v>
      </c>
      <c r="D18" s="878" t="s">
        <v>2097</v>
      </c>
      <c r="E18" s="757" t="s">
        <v>2097</v>
      </c>
      <c r="F18" s="757" t="s">
        <v>2097</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2114</v>
      </c>
      <c r="U18" s="760" t="s">
        <v>2115</v>
      </c>
      <c r="V18" s="760" t="s">
        <v>2116</v>
      </c>
      <c r="W18" s="760" t="s">
        <v>2117</v>
      </c>
      <c r="X18" s="757"/>
      <c r="Y18" s="911"/>
      <c r="Z18" s="760" t="s">
        <v>2118</v>
      </c>
      <c r="AA18" s="763" t="s">
        <v>2119</v>
      </c>
      <c r="AB18" s="763" t="s">
        <v>2119</v>
      </c>
      <c r="AC18" s="763" t="s">
        <v>2119</v>
      </c>
      <c r="AD18" s="760"/>
    </row>
    <row r="19" spans="1:30" ht="36" customHeight="1">
      <c r="A19" s="759"/>
      <c r="B19" s="813">
        <v>2</v>
      </c>
      <c r="C19" s="757" t="s">
        <v>2101</v>
      </c>
      <c r="D19" s="878" t="s">
        <v>2101</v>
      </c>
      <c r="E19" s="757" t="s">
        <v>2101</v>
      </c>
      <c r="F19" s="757" t="s">
        <v>2101</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2120</v>
      </c>
      <c r="U19" s="760" t="s">
        <v>2121</v>
      </c>
      <c r="V19" s="760" t="s">
        <v>2122</v>
      </c>
      <c r="W19" s="760" t="s">
        <v>2123</v>
      </c>
      <c r="X19" s="757"/>
      <c r="Y19" s="911"/>
      <c r="Z19" s="760" t="s">
        <v>2124</v>
      </c>
      <c r="AA19" s="763" t="s">
        <v>2124</v>
      </c>
      <c r="AB19" s="763" t="s">
        <v>2124</v>
      </c>
      <c r="AC19" s="763" t="s">
        <v>2124</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646</v>
      </c>
      <c r="P20" s="868" t="s">
        <v>646</v>
      </c>
      <c r="Q20" s="868" t="s">
        <v>646</v>
      </c>
      <c r="R20" s="868" t="s">
        <v>646</v>
      </c>
      <c r="S20" s="868"/>
      <c r="T20" s="875" t="s">
        <v>2125</v>
      </c>
      <c r="U20" s="760" t="s">
        <v>2126</v>
      </c>
      <c r="V20" s="760" t="s">
        <v>2127</v>
      </c>
      <c r="W20" s="760" t="s">
        <v>2128</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336</v>
      </c>
      <c r="P21" s="868"/>
      <c r="Q21" s="868"/>
      <c r="R21" s="868"/>
      <c r="S21" s="868"/>
      <c r="T21" s="875" t="s">
        <v>2129</v>
      </c>
      <c r="U21" s="760"/>
      <c r="V21" s="760"/>
      <c r="W21" s="760"/>
      <c r="X21" s="757"/>
      <c r="Y21" s="911"/>
      <c r="Z21" s="760" t="s">
        <v>2130</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336</v>
      </c>
      <c r="R22" s="868"/>
      <c r="S22" s="868"/>
      <c r="T22" s="875"/>
      <c r="U22" s="760"/>
      <c r="V22" s="760" t="s">
        <v>2131</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339</v>
      </c>
      <c r="R23" s="868"/>
      <c r="S23" s="868"/>
      <c r="T23" s="875"/>
      <c r="U23" s="760"/>
      <c r="V23" s="760" t="s">
        <v>2132</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666</v>
      </c>
      <c r="R24" s="868"/>
      <c r="S24" s="868"/>
      <c r="T24" s="875"/>
      <c r="U24" s="760"/>
      <c r="V24" s="760" t="s">
        <v>2133</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339</v>
      </c>
      <c r="P25" s="868" t="s">
        <v>336</v>
      </c>
      <c r="Q25" s="868" t="s">
        <v>673</v>
      </c>
      <c r="R25" s="868" t="s">
        <v>336</v>
      </c>
      <c r="S25" s="868"/>
      <c r="T25" s="875" t="s">
        <v>2134</v>
      </c>
      <c r="U25" s="760" t="s">
        <v>2134</v>
      </c>
      <c r="V25" s="760" t="s">
        <v>2134</v>
      </c>
      <c r="W25" s="760" t="s">
        <v>2134</v>
      </c>
      <c r="X25" s="757"/>
      <c r="Y25" s="911"/>
      <c r="Z25" s="760"/>
      <c r="AA25" s="763"/>
      <c r="AB25" s="760"/>
      <c r="AC25" s="760"/>
      <c r="AD25" s="760"/>
    </row>
    <row r="26" spans="1:30" ht="18" customHeight="1">
      <c r="A26" s="759"/>
      <c r="B26" s="813">
        <v>9</v>
      </c>
      <c r="C26" s="757" t="s">
        <v>842</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662</v>
      </c>
      <c r="P26" s="868" t="s">
        <v>656</v>
      </c>
      <c r="Q26" s="868" t="s">
        <v>2135</v>
      </c>
      <c r="R26" s="868" t="s">
        <v>656</v>
      </c>
      <c r="S26" s="868"/>
      <c r="T26" s="875" t="s">
        <v>2136</v>
      </c>
      <c r="U26" s="875" t="s">
        <v>2136</v>
      </c>
      <c r="V26" s="875" t="s">
        <v>2136</v>
      </c>
      <c r="W26" s="875" t="s">
        <v>2136</v>
      </c>
      <c r="X26" s="757"/>
      <c r="Y26" s="911"/>
      <c r="Z26" s="760"/>
      <c r="AA26" s="763"/>
      <c r="AB26" s="760"/>
      <c r="AC26" s="760"/>
      <c r="AD26" s="760"/>
    </row>
    <row r="27" spans="1:30" ht="18" customHeight="1">
      <c r="A27" s="759"/>
      <c r="B27" s="813">
        <v>10</v>
      </c>
      <c r="C27" s="757" t="s">
        <v>2137</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664</v>
      </c>
      <c r="P27" s="868" t="s">
        <v>658</v>
      </c>
      <c r="Q27" s="868" t="s">
        <v>2138</v>
      </c>
      <c r="R27" s="868" t="s">
        <v>658</v>
      </c>
      <c r="S27" s="868"/>
      <c r="T27" s="875" t="s">
        <v>2139</v>
      </c>
      <c r="U27" s="875" t="s">
        <v>2139</v>
      </c>
      <c r="V27" s="875" t="s">
        <v>2139</v>
      </c>
      <c r="W27" s="875" t="s">
        <v>2139</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666</v>
      </c>
      <c r="P28" s="868"/>
      <c r="Q28" s="868"/>
      <c r="R28" s="868"/>
      <c r="S28" s="868"/>
      <c r="T28" s="875" t="s">
        <v>2140</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673</v>
      </c>
      <c r="P29" s="868" t="s">
        <v>339</v>
      </c>
      <c r="Q29" s="868"/>
      <c r="R29" s="868" t="s">
        <v>339</v>
      </c>
      <c r="S29" s="868"/>
      <c r="T29" s="875" t="s">
        <v>2141</v>
      </c>
      <c r="U29" s="760" t="s">
        <v>2141</v>
      </c>
      <c r="V29" s="760"/>
      <c r="W29" s="760" t="s">
        <v>2141</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675</v>
      </c>
      <c r="P30" s="868" t="s">
        <v>666</v>
      </c>
      <c r="Q30" s="868" t="s">
        <v>675</v>
      </c>
      <c r="R30" s="868" t="s">
        <v>666</v>
      </c>
      <c r="S30" s="868"/>
      <c r="T30" s="875" t="s">
        <v>2142</v>
      </c>
      <c r="U30" s="760" t="s">
        <v>2142</v>
      </c>
      <c r="V30" s="760" t="s">
        <v>2142</v>
      </c>
      <c r="W30" s="760" t="s">
        <v>2142</v>
      </c>
      <c r="X30" s="757"/>
      <c r="Y30" s="911"/>
      <c r="Z30" s="760"/>
      <c r="AA30" s="763" t="s">
        <v>2143</v>
      </c>
      <c r="AB30" s="763" t="s">
        <v>2143</v>
      </c>
      <c r="AC30" s="763" t="s">
        <v>2143</v>
      </c>
      <c r="AD30" s="760"/>
    </row>
    <row r="31" spans="1:30" ht="18" customHeight="1">
      <c r="A31" s="759"/>
      <c r="B31" s="813">
        <v>14</v>
      </c>
      <c r="C31" s="757" t="s">
        <v>2144</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2145</v>
      </c>
      <c r="P31" s="868" t="s">
        <v>669</v>
      </c>
      <c r="Q31" s="868" t="s">
        <v>2145</v>
      </c>
      <c r="R31" s="868" t="s">
        <v>669</v>
      </c>
      <c r="S31" s="868"/>
      <c r="T31" s="876" t="s">
        <v>2146</v>
      </c>
      <c r="U31" s="760" t="s">
        <v>2146</v>
      </c>
      <c r="V31" s="760" t="s">
        <v>2146</v>
      </c>
      <c r="W31" s="760" t="s">
        <v>2146</v>
      </c>
      <c r="X31" s="757"/>
      <c r="Y31" s="911"/>
      <c r="Z31" s="760"/>
      <c r="AA31" s="763"/>
      <c r="AB31" s="763"/>
      <c r="AC31" s="763"/>
      <c r="AD31" s="760"/>
    </row>
    <row r="32" spans="1:30" ht="36" customHeight="1">
      <c r="A32" s="759"/>
      <c r="B32" s="813">
        <v>15</v>
      </c>
      <c r="C32" s="757" t="s">
        <v>2147</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2148</v>
      </c>
      <c r="P32" s="868" t="s">
        <v>671</v>
      </c>
      <c r="Q32" s="868" t="s">
        <v>2148</v>
      </c>
      <c r="R32" s="868" t="s">
        <v>671</v>
      </c>
      <c r="S32" s="868"/>
      <c r="T32" s="877" t="s">
        <v>2149</v>
      </c>
      <c r="U32" s="760" t="s">
        <v>2149</v>
      </c>
      <c r="V32" s="760" t="s">
        <v>2149</v>
      </c>
      <c r="W32" s="760" t="s">
        <v>2149</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677</v>
      </c>
      <c r="P33" s="868" t="s">
        <v>673</v>
      </c>
      <c r="Q33" s="868" t="s">
        <v>677</v>
      </c>
      <c r="R33" s="868" t="s">
        <v>673</v>
      </c>
      <c r="S33" s="868"/>
      <c r="T33" s="876" t="s">
        <v>2150</v>
      </c>
      <c r="U33" s="760" t="s">
        <v>2150</v>
      </c>
      <c r="V33" s="760" t="s">
        <v>2150</v>
      </c>
      <c r="W33" s="760" t="s">
        <v>2151</v>
      </c>
      <c r="X33" s="757"/>
      <c r="Y33" s="911"/>
      <c r="Z33" s="760"/>
      <c r="AA33" s="763" t="s">
        <v>2152</v>
      </c>
      <c r="AB33" s="763" t="s">
        <v>2152</v>
      </c>
      <c r="AC33" s="763" t="s">
        <v>2152</v>
      </c>
      <c r="AD33" s="760"/>
    </row>
    <row r="34" spans="1:30" ht="27" customHeight="1">
      <c r="A34" s="759"/>
      <c r="B34" s="813">
        <v>17</v>
      </c>
      <c r="C34" s="757" t="s">
        <v>2153</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2154</v>
      </c>
      <c r="P34" s="868" t="s">
        <v>2135</v>
      </c>
      <c r="Q34" s="868" t="s">
        <v>2154</v>
      </c>
      <c r="R34" s="868" t="s">
        <v>2135</v>
      </c>
      <c r="S34" s="868"/>
      <c r="T34" s="877" t="s">
        <v>2155</v>
      </c>
      <c r="U34" s="760" t="s">
        <v>2155</v>
      </c>
      <c r="V34" s="760" t="s">
        <v>2155</v>
      </c>
      <c r="W34" s="760" t="s">
        <v>2156</v>
      </c>
      <c r="X34" s="757"/>
      <c r="Y34" s="911"/>
      <c r="Z34" s="760"/>
      <c r="AA34" s="763"/>
      <c r="AB34" s="760"/>
      <c r="AC34" s="760"/>
      <c r="AD34" s="760"/>
    </row>
    <row r="35" spans="1:30" ht="45" customHeight="1">
      <c r="A35" s="759"/>
      <c r="B35" s="813">
        <v>18</v>
      </c>
      <c r="C35" s="757" t="s">
        <v>2157</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2158</v>
      </c>
      <c r="P35" s="868" t="s">
        <v>2138</v>
      </c>
      <c r="Q35" s="868" t="s">
        <v>2158</v>
      </c>
      <c r="R35" s="868" t="s">
        <v>2138</v>
      </c>
      <c r="S35" s="868"/>
      <c r="T35" s="875" t="s">
        <v>2159</v>
      </c>
      <c r="U35" s="760" t="s">
        <v>2159</v>
      </c>
      <c r="V35" s="760" t="s">
        <v>2159</v>
      </c>
      <c r="W35" s="760" t="s">
        <v>2159</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679</v>
      </c>
      <c r="P36" s="868" t="s">
        <v>675</v>
      </c>
      <c r="Q36" s="868" t="s">
        <v>679</v>
      </c>
      <c r="R36" s="868" t="s">
        <v>675</v>
      </c>
      <c r="S36" s="868"/>
      <c r="T36" s="875" t="s">
        <v>2160</v>
      </c>
      <c r="U36" s="760" t="s">
        <v>2160</v>
      </c>
      <c r="V36" s="760" t="s">
        <v>2160</v>
      </c>
      <c r="W36" s="760" t="s">
        <v>2160</v>
      </c>
      <c r="X36" s="757"/>
      <c r="Y36" s="911"/>
      <c r="Z36" s="760"/>
      <c r="AA36" s="763"/>
      <c r="AB36" s="760"/>
      <c r="AC36" s="760"/>
      <c r="AD36" s="760"/>
    </row>
    <row r="37" spans="1:30" ht="18" customHeight="1">
      <c r="A37" s="759"/>
      <c r="B37" s="813">
        <v>20</v>
      </c>
      <c r="C37" s="757" t="s">
        <v>2161</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2162</v>
      </c>
      <c r="P37" s="868" t="s">
        <v>2145</v>
      </c>
      <c r="Q37" s="868" t="s">
        <v>2162</v>
      </c>
      <c r="R37" s="868" t="s">
        <v>2145</v>
      </c>
      <c r="S37" s="868"/>
      <c r="T37" s="875" t="s">
        <v>2163</v>
      </c>
      <c r="U37" s="760" t="s">
        <v>2163</v>
      </c>
      <c r="V37" s="760" t="s">
        <v>2163</v>
      </c>
      <c r="W37" s="760" t="s">
        <v>2163</v>
      </c>
      <c r="X37" s="757"/>
      <c r="Y37" s="911"/>
      <c r="Z37" s="760"/>
      <c r="AA37" s="763"/>
      <c r="AB37" s="760"/>
      <c r="AC37" s="760"/>
      <c r="AD37" s="760"/>
    </row>
    <row r="38" spans="1:30" ht="18" customHeight="1">
      <c r="A38" s="759"/>
      <c r="B38" s="813">
        <v>21</v>
      </c>
      <c r="C38" s="757" t="s">
        <v>2164</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2165</v>
      </c>
      <c r="P38" s="868" t="s">
        <v>2148</v>
      </c>
      <c r="Q38" s="868" t="s">
        <v>2165</v>
      </c>
      <c r="R38" s="868" t="s">
        <v>2148</v>
      </c>
      <c r="S38" s="868"/>
      <c r="T38" s="875" t="s">
        <v>2166</v>
      </c>
      <c r="U38" s="760" t="s">
        <v>2166</v>
      </c>
      <c r="V38" s="760" t="s">
        <v>2166</v>
      </c>
      <c r="W38" s="760" t="s">
        <v>2166</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683</v>
      </c>
      <c r="P39" s="868" t="s">
        <v>677</v>
      </c>
      <c r="Q39" s="868" t="s">
        <v>683</v>
      </c>
      <c r="R39" s="868" t="s">
        <v>677</v>
      </c>
      <c r="S39" s="868"/>
      <c r="T39" s="875" t="s">
        <v>2167</v>
      </c>
      <c r="U39" s="760" t="s">
        <v>2168</v>
      </c>
      <c r="V39" s="760" t="s">
        <v>2169</v>
      </c>
      <c r="W39" s="760" t="s">
        <v>2170</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2171</v>
      </c>
      <c r="P40" s="868" t="s">
        <v>679</v>
      </c>
      <c r="Q40" s="868" t="s">
        <v>2171</v>
      </c>
      <c r="R40" s="868" t="s">
        <v>679</v>
      </c>
      <c r="S40" s="868"/>
      <c r="T40" s="757" t="s">
        <v>2172</v>
      </c>
      <c r="U40" s="757" t="s">
        <v>2172</v>
      </c>
      <c r="V40" s="757" t="s">
        <v>2172</v>
      </c>
      <c r="W40" s="757" t="s">
        <v>2172</v>
      </c>
      <c r="X40" s="757"/>
      <c r="Y40" s="911"/>
      <c r="Z40" s="760" t="s">
        <v>2173</v>
      </c>
      <c r="AA40" s="763" t="s">
        <v>2173</v>
      </c>
      <c r="AB40" s="763" t="s">
        <v>2173</v>
      </c>
      <c r="AC40" s="763" t="s">
        <v>2173</v>
      </c>
      <c r="AD40" s="760"/>
    </row>
    <row r="41" spans="1:30" ht="27" customHeight="1">
      <c r="A41" s="759"/>
      <c r="B41" s="813">
        <v>24</v>
      </c>
      <c r="C41" s="757" t="s">
        <v>2174</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2175</v>
      </c>
      <c r="P41" s="868" t="s">
        <v>2162</v>
      </c>
      <c r="Q41" s="868" t="s">
        <v>2175</v>
      </c>
      <c r="R41" s="868" t="s">
        <v>2162</v>
      </c>
      <c r="S41" s="868"/>
      <c r="T41" s="757" t="s">
        <v>2176</v>
      </c>
      <c r="U41" s="757" t="s">
        <v>2176</v>
      </c>
      <c r="V41" s="757" t="s">
        <v>2176</v>
      </c>
      <c r="W41" s="757" t="s">
        <v>2176</v>
      </c>
      <c r="X41" s="757"/>
      <c r="Y41" s="911"/>
      <c r="Z41" s="760" t="s">
        <v>2177</v>
      </c>
      <c r="AA41" s="760" t="s">
        <v>2177</v>
      </c>
      <c r="AB41" s="760" t="s">
        <v>2177</v>
      </c>
      <c r="AC41" s="760" t="s">
        <v>2177</v>
      </c>
      <c r="AD41" s="760"/>
    </row>
    <row r="42" spans="1:30" ht="27" customHeight="1">
      <c r="A42" s="759"/>
      <c r="B42" s="813">
        <v>25</v>
      </c>
      <c r="C42" s="757" t="s">
        <v>2178</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2179</v>
      </c>
      <c r="P42" s="868" t="s">
        <v>2165</v>
      </c>
      <c r="Q42" s="868" t="s">
        <v>2179</v>
      </c>
      <c r="R42" s="868" t="s">
        <v>2165</v>
      </c>
      <c r="S42" s="868"/>
      <c r="T42" s="757" t="s">
        <v>2180</v>
      </c>
      <c r="U42" s="757" t="s">
        <v>2180</v>
      </c>
      <c r="V42" s="757" t="s">
        <v>2180</v>
      </c>
      <c r="W42" s="757" t="s">
        <v>2180</v>
      </c>
      <c r="X42" s="757"/>
      <c r="Y42" s="911"/>
      <c r="Z42" s="760" t="s">
        <v>2181</v>
      </c>
      <c r="AA42" s="760" t="s">
        <v>2181</v>
      </c>
      <c r="AB42" s="760" t="s">
        <v>2181</v>
      </c>
      <c r="AC42" s="760" t="s">
        <v>2181</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2182</v>
      </c>
      <c r="P43" s="868" t="s">
        <v>683</v>
      </c>
      <c r="Q43" s="868" t="s">
        <v>2182</v>
      </c>
      <c r="R43" s="868" t="s">
        <v>683</v>
      </c>
      <c r="S43" s="868"/>
      <c r="T43" s="757" t="s">
        <v>2183</v>
      </c>
      <c r="U43" s="757" t="s">
        <v>2183</v>
      </c>
      <c r="V43" s="757" t="s">
        <v>2183</v>
      </c>
      <c r="W43" s="757" t="s">
        <v>2183</v>
      </c>
      <c r="X43" s="757"/>
      <c r="Y43" s="911"/>
      <c r="Z43" s="760" t="s">
        <v>2184</v>
      </c>
      <c r="AA43" s="760" t="s">
        <v>2184</v>
      </c>
      <c r="AB43" s="760" t="s">
        <v>2184</v>
      </c>
      <c r="AC43" s="760" t="s">
        <v>2184</v>
      </c>
      <c r="AD43" s="760"/>
    </row>
    <row r="44" spans="1:30" ht="27" customHeight="1">
      <c r="A44" s="759"/>
      <c r="B44" s="813">
        <v>27</v>
      </c>
      <c r="C44" s="757" t="s">
        <v>2185</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2186</v>
      </c>
      <c r="P44" s="868" t="s">
        <v>2187</v>
      </c>
      <c r="Q44" s="868" t="s">
        <v>2186</v>
      </c>
      <c r="R44" s="868" t="s">
        <v>2187</v>
      </c>
      <c r="S44" s="868"/>
      <c r="T44" s="757" t="s">
        <v>2176</v>
      </c>
      <c r="U44" s="757" t="s">
        <v>2176</v>
      </c>
      <c r="V44" s="757" t="s">
        <v>2176</v>
      </c>
      <c r="W44" s="757" t="s">
        <v>2176</v>
      </c>
      <c r="X44" s="757"/>
      <c r="Y44" s="911"/>
      <c r="Z44" s="760" t="s">
        <v>2188</v>
      </c>
      <c r="AA44" s="760" t="s">
        <v>2188</v>
      </c>
      <c r="AB44" s="760" t="s">
        <v>2188</v>
      </c>
      <c r="AC44" s="760" t="s">
        <v>2188</v>
      </c>
      <c r="AD44" s="760"/>
    </row>
    <row r="45" spans="1:30" ht="27" customHeight="1">
      <c r="A45" s="759"/>
      <c r="B45" s="813">
        <v>28</v>
      </c>
      <c r="C45" s="757" t="s">
        <v>2189</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2190</v>
      </c>
      <c r="P45" s="868" t="s">
        <v>2191</v>
      </c>
      <c r="Q45" s="868" t="s">
        <v>2190</v>
      </c>
      <c r="R45" s="868" t="s">
        <v>2191</v>
      </c>
      <c r="S45" s="868"/>
      <c r="T45" s="757" t="s">
        <v>2180</v>
      </c>
      <c r="U45" s="757" t="s">
        <v>2180</v>
      </c>
      <c r="V45" s="757" t="s">
        <v>2180</v>
      </c>
      <c r="W45" s="757" t="s">
        <v>2180</v>
      </c>
      <c r="X45" s="757"/>
      <c r="Y45" s="911"/>
      <c r="Z45" s="760" t="s">
        <v>2192</v>
      </c>
      <c r="AA45" s="760" t="s">
        <v>2192</v>
      </c>
      <c r="AB45" s="760" t="s">
        <v>2192</v>
      </c>
      <c r="AC45" s="760" t="s">
        <v>2192</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2193</v>
      </c>
      <c r="P46" s="868" t="s">
        <v>2171</v>
      </c>
      <c r="Q46" s="868" t="s">
        <v>2193</v>
      </c>
      <c r="R46" s="868" t="s">
        <v>2171</v>
      </c>
      <c r="S46" s="868"/>
      <c r="T46" s="757" t="s">
        <v>2194</v>
      </c>
      <c r="U46" s="757" t="s">
        <v>2194</v>
      </c>
      <c r="V46" s="757" t="s">
        <v>2194</v>
      </c>
      <c r="W46" s="757" t="s">
        <v>2194</v>
      </c>
      <c r="X46" s="757"/>
      <c r="Y46" s="911"/>
      <c r="Z46" s="760" t="s">
        <v>2195</v>
      </c>
      <c r="AA46" s="760" t="s">
        <v>2196</v>
      </c>
      <c r="AB46" s="760" t="s">
        <v>2196</v>
      </c>
      <c r="AC46" s="760" t="s">
        <v>2196</v>
      </c>
      <c r="AD46" s="760"/>
    </row>
    <row r="47" spans="1:30" ht="54" customHeight="1">
      <c r="A47" s="759"/>
      <c r="B47" s="813">
        <v>30</v>
      </c>
      <c r="C47" s="757" t="s">
        <v>2197</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2198</v>
      </c>
      <c r="P47" s="868" t="s">
        <v>2175</v>
      </c>
      <c r="Q47" s="868" t="s">
        <v>2198</v>
      </c>
      <c r="R47" s="868" t="s">
        <v>2175</v>
      </c>
      <c r="S47" s="868"/>
      <c r="T47" s="757" t="s">
        <v>2199</v>
      </c>
      <c r="U47" s="757" t="s">
        <v>2199</v>
      </c>
      <c r="V47" s="757" t="s">
        <v>2199</v>
      </c>
      <c r="W47" s="757" t="s">
        <v>2199</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2182</v>
      </c>
      <c r="Q48" s="868" t="s">
        <v>2200</v>
      </c>
      <c r="R48" s="868" t="s">
        <v>2182</v>
      </c>
      <c r="S48" s="868"/>
      <c r="T48" s="757"/>
      <c r="U48" s="757" t="s">
        <v>2201</v>
      </c>
      <c r="V48" s="757" t="s">
        <v>2202</v>
      </c>
      <c r="W48" s="757" t="s">
        <v>2202</v>
      </c>
      <c r="X48" s="757"/>
      <c r="Y48" s="911"/>
      <c r="Z48" s="760"/>
      <c r="AA48" s="763" t="s">
        <v>2196</v>
      </c>
      <c r="AB48" s="763" t="s">
        <v>2196</v>
      </c>
      <c r="AC48" s="763" t="s">
        <v>2196</v>
      </c>
      <c r="AD48" s="760"/>
    </row>
    <row r="49" spans="1:30" ht="54" customHeight="1">
      <c r="A49" s="759"/>
      <c r="B49" s="813">
        <v>32</v>
      </c>
      <c r="C49" s="757" t="s">
        <v>2203</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2186</v>
      </c>
      <c r="Q49" s="868" t="s">
        <v>2204</v>
      </c>
      <c r="R49" s="868" t="s">
        <v>2186</v>
      </c>
      <c r="S49" s="868"/>
      <c r="T49" s="757"/>
      <c r="U49" s="757" t="s">
        <v>2199</v>
      </c>
      <c r="V49" s="757" t="s">
        <v>2199</v>
      </c>
      <c r="W49" s="757" t="s">
        <v>2199</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2200</v>
      </c>
      <c r="P50" s="868" t="s">
        <v>2193</v>
      </c>
      <c r="Q50" s="868" t="s">
        <v>2205</v>
      </c>
      <c r="R50" s="868" t="s">
        <v>2193</v>
      </c>
      <c r="S50" s="868"/>
      <c r="T50" s="757" t="s">
        <v>2206</v>
      </c>
      <c r="U50" s="757" t="s">
        <v>2207</v>
      </c>
      <c r="V50" s="757" t="s">
        <v>2208</v>
      </c>
      <c r="W50" s="757" t="s">
        <v>2209</v>
      </c>
      <c r="X50" s="757"/>
      <c r="Y50" s="911"/>
      <c r="Z50" s="760" t="s">
        <v>2210</v>
      </c>
      <c r="AA50" s="763" t="s">
        <v>2211</v>
      </c>
      <c r="AB50" s="763" t="s">
        <v>2211</v>
      </c>
      <c r="AC50" s="763" t="s">
        <v>2211</v>
      </c>
      <c r="AD50" s="760"/>
    </row>
    <row r="51" spans="1:30" ht="27" customHeight="1">
      <c r="A51" s="759"/>
      <c r="B51" s="813">
        <v>34</v>
      </c>
      <c r="C51" s="757" t="s">
        <v>2212</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2213</v>
      </c>
      <c r="U51" s="757"/>
      <c r="V51" s="757"/>
      <c r="W51" s="757"/>
      <c r="X51" s="757"/>
      <c r="Y51" s="911"/>
      <c r="Z51" s="760"/>
      <c r="AA51" s="763"/>
      <c r="AB51" s="763"/>
      <c r="AC51" s="763"/>
      <c r="AD51" s="760"/>
    </row>
    <row r="52" spans="1:30" ht="36" customHeight="1">
      <c r="A52" s="759"/>
      <c r="B52" s="813">
        <v>35</v>
      </c>
      <c r="C52" s="757" t="s">
        <v>2105</v>
      </c>
      <c r="D52" s="878" t="s">
        <v>2105</v>
      </c>
      <c r="E52" s="757" t="s">
        <v>2105</v>
      </c>
      <c r="F52" s="757" t="s">
        <v>2105</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2214</v>
      </c>
      <c r="U52" s="757" t="s">
        <v>2215</v>
      </c>
      <c r="V52" s="757" t="s">
        <v>2216</v>
      </c>
      <c r="W52" s="757" t="s">
        <v>2217</v>
      </c>
      <c r="X52" s="757"/>
      <c r="Y52" s="911"/>
      <c r="Z52" s="760" t="s">
        <v>687</v>
      </c>
      <c r="AA52" s="763" t="s">
        <v>687</v>
      </c>
      <c r="AB52" s="763" t="s">
        <v>687</v>
      </c>
      <c r="AC52" s="763" t="s">
        <v>687</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691</v>
      </c>
      <c r="P53" s="868" t="s">
        <v>355</v>
      </c>
      <c r="Q53" s="868" t="s">
        <v>355</v>
      </c>
      <c r="R53" s="868" t="s">
        <v>355</v>
      </c>
      <c r="S53" s="868"/>
      <c r="T53" s="757" t="s">
        <v>2218</v>
      </c>
      <c r="U53" s="757" t="s">
        <v>2218</v>
      </c>
      <c r="V53" s="757" t="s">
        <v>2218</v>
      </c>
      <c r="W53" s="757" t="s">
        <v>2218</v>
      </c>
      <c r="X53" s="757"/>
      <c r="Y53" s="911"/>
      <c r="Z53" s="760"/>
      <c r="AA53" s="763"/>
      <c r="AB53" s="760"/>
      <c r="AC53" s="760"/>
      <c r="AD53" s="760"/>
    </row>
    <row r="54" spans="1:30" ht="18" customHeight="1">
      <c r="A54" s="759"/>
      <c r="B54" s="813">
        <v>37</v>
      </c>
      <c r="C54" s="757" t="s">
        <v>2111</v>
      </c>
      <c r="D54" s="878" t="s">
        <v>2111</v>
      </c>
      <c r="E54" s="757" t="s">
        <v>2111</v>
      </c>
      <c r="F54" s="757" t="s">
        <v>2111</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117</v>
      </c>
      <c r="P54" s="868" t="s">
        <v>89</v>
      </c>
      <c r="Q54" s="868" t="s">
        <v>89</v>
      </c>
      <c r="R54" s="868" t="s">
        <v>89</v>
      </c>
      <c r="S54" s="868"/>
      <c r="T54" s="757" t="s">
        <v>689</v>
      </c>
      <c r="U54" s="757" t="s">
        <v>689</v>
      </c>
      <c r="V54" s="757" t="s">
        <v>689</v>
      </c>
      <c r="W54" s="757" t="s">
        <v>689</v>
      </c>
      <c r="X54" s="757"/>
      <c r="Y54" s="911"/>
      <c r="Z54" s="760" t="s">
        <v>690</v>
      </c>
      <c r="AA54" s="760" t="s">
        <v>690</v>
      </c>
      <c r="AB54" s="760" t="s">
        <v>690</v>
      </c>
      <c r="AC54" s="760" t="s">
        <v>690</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344</v>
      </c>
      <c r="P55" s="868" t="s">
        <v>691</v>
      </c>
      <c r="Q55" s="868" t="s">
        <v>691</v>
      </c>
      <c r="R55" s="868" t="s">
        <v>691</v>
      </c>
      <c r="S55" s="868"/>
      <c r="T55" s="757" t="s">
        <v>2219</v>
      </c>
      <c r="U55" s="757" t="s">
        <v>2220</v>
      </c>
      <c r="V55" s="757" t="s">
        <v>2220</v>
      </c>
      <c r="W55" s="757" t="s">
        <v>2220</v>
      </c>
      <c r="X55" s="757"/>
      <c r="Y55" s="911"/>
      <c r="Z55" s="760" t="s">
        <v>2221</v>
      </c>
      <c r="AA55" s="760" t="s">
        <v>2221</v>
      </c>
      <c r="AB55" s="760" t="s">
        <v>2221</v>
      </c>
      <c r="AC55" s="760" t="s">
        <v>2221</v>
      </c>
      <c r="AD55" s="760"/>
    </row>
    <row r="56" spans="1:30" ht="27" customHeight="1">
      <c r="A56" s="759"/>
      <c r="B56" s="813">
        <v>39</v>
      </c>
      <c r="C56" s="757" t="s">
        <v>960</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1113</v>
      </c>
      <c r="P56" s="868" t="s">
        <v>694</v>
      </c>
      <c r="Q56" s="868" t="s">
        <v>694</v>
      </c>
      <c r="R56" s="868" t="s">
        <v>694</v>
      </c>
      <c r="S56" s="868"/>
      <c r="T56" s="757" t="s">
        <v>2222</v>
      </c>
      <c r="U56" s="757" t="s">
        <v>2223</v>
      </c>
      <c r="V56" s="757" t="s">
        <v>2223</v>
      </c>
      <c r="W56" s="757" t="s">
        <v>2223</v>
      </c>
      <c r="X56" s="757"/>
      <c r="Y56" s="911"/>
      <c r="Z56" s="760" t="s">
        <v>696</v>
      </c>
      <c r="AA56" s="760" t="s">
        <v>696</v>
      </c>
      <c r="AB56" s="760" t="s">
        <v>696</v>
      </c>
      <c r="AC56" s="760" t="s">
        <v>696</v>
      </c>
      <c r="AD56" s="760"/>
    </row>
    <row r="57" spans="1:30" ht="27" customHeight="1">
      <c r="A57" s="759"/>
      <c r="B57" s="813">
        <v>40</v>
      </c>
      <c r="C57" s="757" t="s">
        <v>962</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1116</v>
      </c>
      <c r="P57" s="868" t="s">
        <v>697</v>
      </c>
      <c r="Q57" s="868" t="s">
        <v>697</v>
      </c>
      <c r="R57" s="868" t="s">
        <v>697</v>
      </c>
      <c r="S57" s="868"/>
      <c r="T57" s="757" t="s">
        <v>2224</v>
      </c>
      <c r="U57" s="757" t="s">
        <v>2225</v>
      </c>
      <c r="V57" s="757" t="s">
        <v>2225</v>
      </c>
      <c r="W57" s="757" t="s">
        <v>2225</v>
      </c>
      <c r="X57" s="757"/>
      <c r="Y57" s="911"/>
      <c r="Z57" s="760" t="s">
        <v>699</v>
      </c>
      <c r="AA57" s="760" t="s">
        <v>699</v>
      </c>
      <c r="AB57" s="760" t="s">
        <v>699</v>
      </c>
      <c r="AC57" s="760" t="s">
        <v>699</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346</v>
      </c>
      <c r="P58" s="868" t="s">
        <v>734</v>
      </c>
      <c r="Q58" s="868" t="s">
        <v>734</v>
      </c>
      <c r="R58" s="868" t="s">
        <v>734</v>
      </c>
      <c r="S58" s="868"/>
      <c r="T58" s="757" t="s">
        <v>2226</v>
      </c>
      <c r="U58" s="757" t="s">
        <v>2226</v>
      </c>
      <c r="V58" s="757" t="s">
        <v>2226</v>
      </c>
      <c r="W58" s="757" t="s">
        <v>2226</v>
      </c>
      <c r="X58" s="757"/>
      <c r="Y58" s="911"/>
      <c r="Z58" s="760"/>
      <c r="AA58" s="763"/>
      <c r="AB58" s="760"/>
      <c r="AC58" s="760"/>
      <c r="AD58" s="760"/>
    </row>
    <row r="59" spans="1:30" ht="36" customHeight="1">
      <c r="A59" s="759"/>
      <c r="B59" s="813">
        <v>42</v>
      </c>
      <c r="C59" s="757">
        <v>3</v>
      </c>
      <c r="D59" s="878" t="s">
        <v>2212</v>
      </c>
      <c r="E59" s="757" t="s">
        <v>2212</v>
      </c>
      <c r="F59" s="757" t="s">
        <v>2212</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117</v>
      </c>
      <c r="Q59" s="868" t="s">
        <v>117</v>
      </c>
      <c r="R59" s="868" t="s">
        <v>117</v>
      </c>
      <c r="S59" s="868"/>
      <c r="T59" s="757"/>
      <c r="U59" s="757" t="s">
        <v>2227</v>
      </c>
      <c r="V59" s="757" t="s">
        <v>2228</v>
      </c>
      <c r="W59" s="757" t="s">
        <v>2229</v>
      </c>
      <c r="X59" s="757"/>
      <c r="Y59" s="911"/>
      <c r="Z59" s="760"/>
      <c r="AA59" s="763"/>
      <c r="AB59" s="760"/>
      <c r="AC59" s="760"/>
      <c r="AD59" s="760"/>
    </row>
    <row r="60" spans="1:30" ht="81" customHeight="1">
      <c r="A60" s="759"/>
      <c r="B60" s="813">
        <v>43</v>
      </c>
      <c r="C60" s="757" t="s">
        <v>2230</v>
      </c>
      <c r="D60" s="878" t="s">
        <v>2230</v>
      </c>
      <c r="E60" s="757" t="s">
        <v>2230</v>
      </c>
      <c r="F60" s="757" t="s">
        <v>2230</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703</v>
      </c>
      <c r="U60" s="757" t="s">
        <v>703</v>
      </c>
      <c r="V60" s="757" t="s">
        <v>703</v>
      </c>
      <c r="W60" s="757" t="s">
        <v>703</v>
      </c>
      <c r="X60" s="757"/>
      <c r="Y60" s="911"/>
      <c r="Z60" s="760" t="s">
        <v>2231</v>
      </c>
      <c r="AA60" s="763" t="s">
        <v>2232</v>
      </c>
      <c r="AB60" s="760" t="s">
        <v>2233</v>
      </c>
      <c r="AC60" s="760" t="s">
        <v>2232</v>
      </c>
      <c r="AD60" s="760"/>
    </row>
    <row r="61" spans="1:30" ht="9" customHeight="1">
      <c r="A61" s="759"/>
      <c r="B61" s="813">
        <v>44</v>
      </c>
      <c r="C61" s="757"/>
      <c r="D61" s="878" t="s">
        <v>2234</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2235</v>
      </c>
      <c r="V61" s="757"/>
      <c r="W61" s="757"/>
      <c r="X61" s="757"/>
      <c r="Y61" s="911"/>
      <c r="Z61" s="760"/>
      <c r="AA61" s="763"/>
      <c r="AB61" s="760"/>
      <c r="AC61" s="760"/>
      <c r="AD61" s="760"/>
    </row>
    <row r="62" spans="1:30" ht="9" customHeight="1">
      <c r="A62" s="759"/>
      <c r="B62" s="813">
        <v>45</v>
      </c>
      <c r="C62" s="757"/>
      <c r="D62" s="878" t="s">
        <v>2236</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130</v>
      </c>
      <c r="Q62" s="868"/>
      <c r="R62" s="868"/>
      <c r="S62" s="868"/>
      <c r="T62" s="757"/>
      <c r="U62" s="757" t="s">
        <v>2237</v>
      </c>
      <c r="V62" s="757"/>
      <c r="W62" s="757"/>
      <c r="X62" s="757"/>
      <c r="Y62" s="911"/>
      <c r="Z62" s="760"/>
      <c r="AA62" s="763"/>
      <c r="AB62" s="760"/>
      <c r="AC62" s="760"/>
      <c r="AD62" s="760"/>
    </row>
    <row r="63" spans="1:30" ht="18" customHeight="1">
      <c r="A63" s="759"/>
      <c r="B63" s="813">
        <v>46</v>
      </c>
      <c r="C63" s="757"/>
      <c r="D63" s="878" t="s">
        <v>2238</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166</v>
      </c>
      <c r="Q63" s="868"/>
      <c r="R63" s="868"/>
      <c r="S63" s="868"/>
      <c r="T63" s="757"/>
      <c r="U63" s="757" t="s">
        <v>2239</v>
      </c>
      <c r="V63" s="757"/>
      <c r="W63" s="757"/>
      <c r="X63" s="757"/>
      <c r="Y63" s="911"/>
      <c r="Z63" s="760"/>
      <c r="AA63" s="763"/>
      <c r="AB63" s="760"/>
      <c r="AC63" s="760"/>
      <c r="AD63" s="760"/>
    </row>
    <row r="64" spans="1:30" ht="18" customHeight="1">
      <c r="A64" s="759"/>
      <c r="B64" s="813">
        <v>47</v>
      </c>
      <c r="C64" s="757"/>
      <c r="D64" s="878" t="s">
        <v>2240</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167</v>
      </c>
      <c r="Q64" s="868"/>
      <c r="R64" s="868"/>
      <c r="S64" s="868"/>
      <c r="T64" s="757"/>
      <c r="U64" s="757" t="s">
        <v>2241</v>
      </c>
      <c r="V64" s="757"/>
      <c r="W64" s="757"/>
      <c r="X64" s="757"/>
      <c r="Y64" s="911"/>
      <c r="Z64" s="760"/>
      <c r="AA64" s="763" t="s">
        <v>2242</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2153</v>
      </c>
      <c r="Q65" s="868"/>
      <c r="R65" s="868"/>
      <c r="S65" s="868"/>
      <c r="T65" s="757"/>
      <c r="U65" s="757" t="s">
        <v>2243</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2157</v>
      </c>
      <c r="Q66" s="868"/>
      <c r="R66" s="868"/>
      <c r="S66" s="868"/>
      <c r="T66" s="757"/>
      <c r="U66" s="757" t="s">
        <v>2244</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2245</v>
      </c>
      <c r="Q67" s="868"/>
      <c r="R67" s="868"/>
      <c r="S67" s="868"/>
      <c r="T67" s="757"/>
      <c r="U67" s="757" t="s">
        <v>2246</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2247</v>
      </c>
      <c r="Q68" s="868"/>
      <c r="R68" s="868"/>
      <c r="S68" s="868"/>
      <c r="T68" s="757"/>
      <c r="U68" s="757" t="s">
        <v>2248</v>
      </c>
      <c r="V68" s="757"/>
      <c r="W68" s="757"/>
      <c r="X68" s="757"/>
      <c r="Y68" s="911"/>
      <c r="Z68" s="760"/>
      <c r="AA68" s="763"/>
      <c r="AB68" s="760"/>
      <c r="AC68" s="760"/>
      <c r="AD68" s="760"/>
    </row>
    <row r="69" spans="1:30" ht="9" customHeight="1">
      <c r="A69" s="759"/>
      <c r="B69" s="813">
        <v>52</v>
      </c>
      <c r="C69" s="757"/>
      <c r="D69" s="878" t="s">
        <v>2249</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168</v>
      </c>
      <c r="Q69" s="868"/>
      <c r="R69" s="868"/>
      <c r="S69" s="868"/>
      <c r="T69" s="757"/>
      <c r="U69" s="757" t="s">
        <v>2250</v>
      </c>
      <c r="V69" s="757"/>
      <c r="W69" s="757"/>
      <c r="X69" s="757"/>
      <c r="Y69" s="911"/>
      <c r="Z69" s="760"/>
      <c r="AA69" s="763"/>
      <c r="AB69" s="760"/>
      <c r="AC69" s="760"/>
      <c r="AD69" s="760"/>
    </row>
    <row r="70" spans="1:30" ht="27" customHeight="1">
      <c r="A70" s="759"/>
      <c r="B70" s="813">
        <v>53</v>
      </c>
      <c r="C70" s="757"/>
      <c r="D70" s="878"/>
      <c r="E70" s="757" t="s">
        <v>2234</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2251</v>
      </c>
      <c r="W70" s="757"/>
      <c r="X70" s="757"/>
      <c r="Y70" s="911"/>
      <c r="Z70" s="760"/>
      <c r="AA70" s="763"/>
      <c r="AB70" s="760"/>
      <c r="AC70" s="760"/>
      <c r="AD70" s="760"/>
    </row>
    <row r="71" spans="1:30" ht="36" customHeight="1">
      <c r="A71" s="759"/>
      <c r="B71" s="813">
        <v>54</v>
      </c>
      <c r="C71" s="757"/>
      <c r="D71" s="878"/>
      <c r="E71" s="757" t="s">
        <v>2236</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130</v>
      </c>
      <c r="R71" s="868"/>
      <c r="S71" s="868"/>
      <c r="T71" s="757"/>
      <c r="U71" s="757"/>
      <c r="V71" s="757" t="s">
        <v>2252</v>
      </c>
      <c r="W71" s="757"/>
      <c r="X71" s="757"/>
      <c r="Y71" s="911"/>
      <c r="Z71" s="760"/>
      <c r="AA71" s="763"/>
      <c r="AB71" s="760"/>
      <c r="AC71" s="760"/>
      <c r="AD71" s="760"/>
    </row>
    <row r="72" spans="1:30" ht="27" customHeight="1">
      <c r="A72" s="759"/>
      <c r="B72" s="813">
        <v>55</v>
      </c>
      <c r="C72" s="757"/>
      <c r="D72" s="878"/>
      <c r="E72" s="757" t="s">
        <v>2238</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166</v>
      </c>
      <c r="R72" s="868"/>
      <c r="S72" s="868"/>
      <c r="T72" s="757"/>
      <c r="U72" s="757"/>
      <c r="V72" s="757" t="s">
        <v>2253</v>
      </c>
      <c r="W72" s="757"/>
      <c r="X72" s="757"/>
      <c r="Y72" s="911"/>
      <c r="Z72" s="760"/>
      <c r="AA72" s="763"/>
      <c r="AB72" s="760"/>
      <c r="AC72" s="760"/>
      <c r="AD72" s="760"/>
    </row>
    <row r="73" spans="1:30" ht="36" customHeight="1">
      <c r="A73" s="759"/>
      <c r="B73" s="813">
        <v>56</v>
      </c>
      <c r="C73" s="757"/>
      <c r="D73" s="878"/>
      <c r="E73" s="757" t="s">
        <v>2240</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167</v>
      </c>
      <c r="R73" s="868"/>
      <c r="S73" s="868"/>
      <c r="T73" s="757"/>
      <c r="U73" s="757"/>
      <c r="V73" s="757" t="s">
        <v>2254</v>
      </c>
      <c r="W73" s="757"/>
      <c r="X73" s="757"/>
      <c r="Y73" s="911"/>
      <c r="Z73" s="760"/>
      <c r="AA73" s="763"/>
      <c r="AB73" s="760"/>
      <c r="AC73" s="760"/>
      <c r="AD73" s="760"/>
    </row>
    <row r="74" spans="1:30" ht="18" customHeight="1">
      <c r="A74" s="759"/>
      <c r="B74" s="813">
        <v>57</v>
      </c>
      <c r="C74" s="757"/>
      <c r="D74" s="878"/>
      <c r="E74" s="757" t="s">
        <v>2249</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168</v>
      </c>
      <c r="R74" s="868"/>
      <c r="S74" s="868"/>
      <c r="T74" s="757"/>
      <c r="U74" s="757"/>
      <c r="V74" s="757" t="s">
        <v>2255</v>
      </c>
      <c r="W74" s="757"/>
      <c r="X74" s="757"/>
      <c r="Y74" s="911"/>
      <c r="Z74" s="760"/>
      <c r="AA74" s="763"/>
      <c r="AB74" s="760"/>
      <c r="AC74" s="760"/>
      <c r="AD74" s="760"/>
    </row>
    <row r="75" spans="1:30" ht="18" customHeight="1">
      <c r="A75" s="759"/>
      <c r="B75" s="813">
        <v>58</v>
      </c>
      <c r="C75" s="757"/>
      <c r="D75" s="878"/>
      <c r="E75" s="757"/>
      <c r="F75" s="757" t="s">
        <v>2234</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2256</v>
      </c>
      <c r="X75" s="757"/>
      <c r="Y75" s="911"/>
      <c r="Z75" s="760"/>
      <c r="AA75" s="763"/>
      <c r="AB75" s="760"/>
      <c r="AC75" s="760"/>
      <c r="AD75" s="760"/>
    </row>
    <row r="76" spans="1:30" ht="36" customHeight="1">
      <c r="A76" s="759"/>
      <c r="B76" s="813">
        <v>59</v>
      </c>
      <c r="C76" s="757"/>
      <c r="D76" s="878"/>
      <c r="E76" s="757"/>
      <c r="F76" s="757" t="s">
        <v>2236</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130</v>
      </c>
      <c r="S76" s="868"/>
      <c r="T76" s="757"/>
      <c r="U76" s="757"/>
      <c r="V76" s="757"/>
      <c r="W76" s="757" t="s">
        <v>2257</v>
      </c>
      <c r="X76" s="757"/>
      <c r="Y76" s="911"/>
      <c r="Z76" s="760"/>
      <c r="AA76" s="763"/>
      <c r="AB76" s="760"/>
      <c r="AC76" s="760"/>
      <c r="AD76" s="760"/>
    </row>
    <row r="77" spans="1:30" ht="18" customHeight="1">
      <c r="A77" s="759"/>
      <c r="B77" s="813">
        <v>60</v>
      </c>
      <c r="C77" s="757"/>
      <c r="D77" s="878"/>
      <c r="E77" s="757"/>
      <c r="F77" s="757" t="s">
        <v>2238</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166</v>
      </c>
      <c r="S77" s="868"/>
      <c r="T77" s="757"/>
      <c r="U77" s="757"/>
      <c r="V77" s="757"/>
      <c r="W77" s="757" t="s">
        <v>2258</v>
      </c>
      <c r="X77" s="757"/>
      <c r="Y77" s="911"/>
      <c r="Z77" s="760"/>
      <c r="AA77" s="763"/>
      <c r="AB77" s="760"/>
      <c r="AC77" s="760"/>
      <c r="AD77" s="760"/>
    </row>
    <row r="78" spans="1:30" ht="72" customHeight="1">
      <c r="A78" s="759"/>
      <c r="B78" s="813">
        <v>61</v>
      </c>
      <c r="C78" s="757" t="s">
        <v>2234</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2259</v>
      </c>
      <c r="U78" s="757"/>
      <c r="V78" s="757"/>
      <c r="W78" s="757"/>
      <c r="X78" s="757"/>
      <c r="Y78" s="911"/>
      <c r="Z78" s="760" t="s">
        <v>2260</v>
      </c>
      <c r="AA78" s="763"/>
      <c r="AB78" s="760"/>
      <c r="AC78" s="760"/>
      <c r="AD78" s="760"/>
    </row>
    <row r="79" spans="1:30" ht="36" customHeight="1">
      <c r="A79" s="759"/>
      <c r="B79" s="813">
        <v>62</v>
      </c>
      <c r="C79" s="757" t="s">
        <v>2236</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130</v>
      </c>
      <c r="P79" s="868"/>
      <c r="Q79" s="868"/>
      <c r="R79" s="868"/>
      <c r="S79" s="868"/>
      <c r="T79" s="757" t="s">
        <v>2261</v>
      </c>
      <c r="U79" s="757"/>
      <c r="V79" s="757"/>
      <c r="W79" s="757"/>
      <c r="X79" s="757"/>
      <c r="Y79" s="911"/>
      <c r="Z79" s="760" t="s">
        <v>2262</v>
      </c>
      <c r="AA79" s="763"/>
      <c r="AB79" s="760"/>
      <c r="AC79" s="760"/>
      <c r="AD79" s="760"/>
    </row>
    <row r="80" spans="1:30" ht="45" customHeight="1">
      <c r="A80" s="759"/>
      <c r="B80" s="813">
        <v>63</v>
      </c>
      <c r="C80" s="757" t="s">
        <v>2238</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166</v>
      </c>
      <c r="P80" s="868"/>
      <c r="Q80" s="868"/>
      <c r="R80" s="868"/>
      <c r="S80" s="868"/>
      <c r="T80" s="757" t="s">
        <v>2263</v>
      </c>
      <c r="U80" s="757"/>
      <c r="V80" s="757"/>
      <c r="W80" s="757"/>
      <c r="X80" s="757"/>
      <c r="Y80" s="911"/>
      <c r="Z80" s="760" t="s">
        <v>2264</v>
      </c>
      <c r="AA80" s="763"/>
      <c r="AB80" s="760"/>
      <c r="AC80" s="760"/>
      <c r="AD80" s="760"/>
    </row>
    <row r="81" spans="1:30" ht="36" customHeight="1">
      <c r="A81" s="759"/>
      <c r="B81" s="813">
        <v>64</v>
      </c>
      <c r="C81" s="757" t="s">
        <v>2240</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2144</v>
      </c>
      <c r="P81" s="868"/>
      <c r="Q81" s="868"/>
      <c r="R81" s="868"/>
      <c r="S81" s="868"/>
      <c r="T81" s="757" t="s">
        <v>2265</v>
      </c>
      <c r="U81" s="757"/>
      <c r="V81" s="757"/>
      <c r="W81" s="757"/>
      <c r="X81" s="757"/>
      <c r="Y81" s="911"/>
      <c r="Z81" s="760" t="s">
        <v>2266</v>
      </c>
      <c r="AA81" s="763"/>
      <c r="AB81" s="760"/>
      <c r="AC81" s="760"/>
      <c r="AD81" s="760"/>
    </row>
    <row r="82" spans="1:30" ht="90" customHeight="1">
      <c r="A82" s="759"/>
      <c r="B82" s="813">
        <v>65</v>
      </c>
      <c r="C82" s="757" t="s">
        <v>2249</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167</v>
      </c>
      <c r="P82" s="868"/>
      <c r="Q82" s="868"/>
      <c r="R82" s="868"/>
      <c r="S82" s="868"/>
      <c r="T82" s="757" t="s">
        <v>2267</v>
      </c>
      <c r="U82" s="757"/>
      <c r="V82" s="757"/>
      <c r="W82" s="757"/>
      <c r="X82" s="757"/>
      <c r="Y82" s="911"/>
      <c r="Z82" s="760" t="s">
        <v>2268</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2153</v>
      </c>
      <c r="P83" s="868"/>
      <c r="Q83" s="868"/>
      <c r="R83" s="868"/>
      <c r="S83" s="868"/>
      <c r="T83" s="757" t="s">
        <v>2269</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2270</v>
      </c>
      <c r="P84" s="868"/>
      <c r="Q84" s="868"/>
      <c r="R84" s="868"/>
      <c r="S84" s="868"/>
      <c r="T84" s="757" t="s">
        <v>2271</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2157</v>
      </c>
      <c r="P85" s="868"/>
      <c r="Q85" s="868"/>
      <c r="R85" s="868"/>
      <c r="S85" s="868"/>
      <c r="T85" s="757" t="s">
        <v>2272</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2273</v>
      </c>
      <c r="P86" s="868"/>
      <c r="Q86" s="868"/>
      <c r="R86" s="868"/>
      <c r="S86" s="868"/>
      <c r="T86" s="757" t="s">
        <v>2274</v>
      </c>
      <c r="U86" s="757"/>
      <c r="V86" s="757"/>
      <c r="W86" s="757"/>
      <c r="X86" s="757"/>
      <c r="Y86" s="911"/>
      <c r="Z86" s="760"/>
      <c r="AA86" s="763"/>
      <c r="AB86" s="760"/>
      <c r="AC86" s="760"/>
      <c r="AD86" s="760"/>
    </row>
    <row r="87" spans="1:30" ht="36" customHeight="1">
      <c r="A87" s="759"/>
      <c r="B87" s="813">
        <v>70</v>
      </c>
      <c r="C87" s="757" t="s">
        <v>2275</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168</v>
      </c>
      <c r="P87" s="868"/>
      <c r="Q87" s="868"/>
      <c r="R87" s="868"/>
      <c r="S87" s="868"/>
      <c r="T87" s="757" t="s">
        <v>2276</v>
      </c>
      <c r="U87" s="757"/>
      <c r="V87" s="757"/>
      <c r="W87" s="757"/>
      <c r="X87" s="757"/>
      <c r="Y87" s="911"/>
      <c r="Z87" s="760"/>
      <c r="AA87" s="763"/>
      <c r="AB87" s="760"/>
      <c r="AC87" s="760"/>
      <c r="AD87" s="760"/>
    </row>
    <row r="88" spans="1:30" ht="18" customHeight="1">
      <c r="A88" s="759"/>
      <c r="B88" s="813">
        <v>71</v>
      </c>
      <c r="C88" s="757" t="s">
        <v>2277</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169</v>
      </c>
      <c r="P88" s="868"/>
      <c r="Q88" s="868"/>
      <c r="R88" s="868"/>
      <c r="S88" s="868"/>
      <c r="T88" s="757" t="s">
        <v>2278</v>
      </c>
      <c r="U88" s="757"/>
      <c r="V88" s="757"/>
      <c r="W88" s="757"/>
      <c r="X88" s="757"/>
      <c r="Y88" s="911"/>
      <c r="Z88" s="760"/>
      <c r="AA88" s="763"/>
      <c r="AB88" s="760"/>
      <c r="AC88" s="760"/>
      <c r="AD88" s="760"/>
    </row>
    <row r="89" spans="1:30" ht="18" customHeight="1">
      <c r="A89" s="759"/>
      <c r="B89" s="813">
        <v>72</v>
      </c>
      <c r="C89" s="757" t="s">
        <v>2279</v>
      </c>
      <c r="D89" s="878" t="s">
        <v>2275</v>
      </c>
      <c r="E89" s="757" t="s">
        <v>2275</v>
      </c>
      <c r="F89" s="757" t="s">
        <v>2240</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170</v>
      </c>
      <c r="P89" s="868" t="s">
        <v>169</v>
      </c>
      <c r="Q89" s="868" t="s">
        <v>169</v>
      </c>
      <c r="R89" s="868" t="s">
        <v>167</v>
      </c>
      <c r="S89" s="868"/>
      <c r="T89" s="757" t="s">
        <v>2280</v>
      </c>
      <c r="U89" s="757" t="s">
        <v>2280</v>
      </c>
      <c r="V89" s="757" t="s">
        <v>2280</v>
      </c>
      <c r="W89" s="757" t="s">
        <v>2280</v>
      </c>
      <c r="X89" s="757"/>
      <c r="Y89" s="911"/>
      <c r="Z89" s="760"/>
      <c r="AA89" s="763"/>
      <c r="AB89" s="760"/>
      <c r="AC89" s="760"/>
      <c r="AD89" s="760"/>
    </row>
    <row r="90" spans="1:30" ht="27" customHeight="1">
      <c r="A90" s="759"/>
      <c r="B90" s="813">
        <v>73</v>
      </c>
      <c r="C90" s="757" t="s">
        <v>2281</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171</v>
      </c>
      <c r="P90" s="868"/>
      <c r="Q90" s="868"/>
      <c r="R90" s="868"/>
      <c r="S90" s="868"/>
      <c r="T90" s="757" t="s">
        <v>2282</v>
      </c>
      <c r="U90" s="757"/>
      <c r="V90" s="757"/>
      <c r="W90" s="757"/>
      <c r="X90" s="757"/>
      <c r="Y90" s="911"/>
      <c r="Z90" s="760"/>
      <c r="AA90" s="763"/>
      <c r="AB90" s="760"/>
      <c r="AC90" s="760"/>
      <c r="AD90" s="760"/>
    </row>
    <row r="91" spans="1:30" ht="18" customHeight="1">
      <c r="A91" s="759"/>
      <c r="B91" s="813">
        <v>74</v>
      </c>
      <c r="C91" s="757"/>
      <c r="D91" s="878" t="s">
        <v>2277</v>
      </c>
      <c r="E91" s="757" t="s">
        <v>2277</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170</v>
      </c>
      <c r="Q91" s="868" t="s">
        <v>170</v>
      </c>
      <c r="R91" s="868"/>
      <c r="S91" s="868"/>
      <c r="T91" s="757"/>
      <c r="U91" s="757" t="s">
        <v>2283</v>
      </c>
      <c r="V91" s="757" t="s">
        <v>2283</v>
      </c>
      <c r="W91" s="757"/>
      <c r="X91" s="757"/>
      <c r="Y91" s="911"/>
      <c r="Z91" s="760"/>
      <c r="AA91" s="763"/>
      <c r="AB91" s="760"/>
      <c r="AC91" s="760"/>
      <c r="AD91" s="760"/>
    </row>
    <row r="92" spans="1:30" ht="27" customHeight="1">
      <c r="A92" s="759"/>
      <c r="B92" s="813">
        <v>75</v>
      </c>
      <c r="C92" s="757"/>
      <c r="D92" s="878" t="s">
        <v>2279</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171</v>
      </c>
      <c r="Q92" s="868"/>
      <c r="R92" s="868"/>
      <c r="S92" s="868"/>
      <c r="T92" s="757"/>
      <c r="U92" s="757" t="s">
        <v>2284</v>
      </c>
      <c r="V92" s="757"/>
      <c r="W92" s="757"/>
      <c r="X92" s="757"/>
      <c r="Y92" s="911"/>
      <c r="Z92" s="760"/>
      <c r="AA92" s="763" t="s">
        <v>2285</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2185</v>
      </c>
      <c r="Q93" s="868"/>
      <c r="R93" s="868"/>
      <c r="S93" s="868"/>
      <c r="T93" s="757"/>
      <c r="U93" s="757" t="s">
        <v>2286</v>
      </c>
      <c r="V93" s="757"/>
      <c r="W93" s="757"/>
      <c r="X93" s="757"/>
      <c r="Y93" s="911"/>
      <c r="Z93" s="760"/>
      <c r="AA93" s="763" t="s">
        <v>2287</v>
      </c>
      <c r="AB93" s="760"/>
      <c r="AC93" s="760"/>
      <c r="AD93" s="760"/>
    </row>
    <row r="94" spans="1:30" ht="45" customHeight="1">
      <c r="A94" s="759"/>
      <c r="B94" s="813">
        <v>77</v>
      </c>
      <c r="C94" s="757"/>
      <c r="D94" s="878" t="s">
        <v>2281</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1636</v>
      </c>
      <c r="Q94" s="868"/>
      <c r="R94" s="868"/>
      <c r="S94" s="868"/>
      <c r="T94" s="757"/>
      <c r="U94" s="757" t="s">
        <v>2288</v>
      </c>
      <c r="V94" s="757"/>
      <c r="W94" s="757"/>
      <c r="X94" s="757"/>
      <c r="Y94" s="911"/>
      <c r="Z94" s="760"/>
      <c r="AA94" s="763" t="s">
        <v>2289</v>
      </c>
      <c r="AB94" s="760"/>
      <c r="AC94" s="760"/>
      <c r="AD94" s="760"/>
    </row>
    <row r="95" spans="1:30" ht="99" customHeight="1">
      <c r="A95" s="759"/>
      <c r="B95" s="813">
        <v>78</v>
      </c>
      <c r="C95" s="757" t="s">
        <v>2290</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1636</v>
      </c>
      <c r="P95" s="868"/>
      <c r="Q95" s="868"/>
      <c r="R95" s="868"/>
      <c r="S95" s="868"/>
      <c r="T95" s="757" t="s">
        <v>2291</v>
      </c>
      <c r="U95" s="757"/>
      <c r="V95" s="757"/>
      <c r="W95" s="757"/>
      <c r="X95" s="757"/>
      <c r="Y95" s="911"/>
      <c r="Z95" s="760"/>
      <c r="AA95" s="763"/>
      <c r="AB95" s="760"/>
      <c r="AC95" s="760"/>
      <c r="AD95" s="760"/>
    </row>
    <row r="96" spans="1:30" ht="99" customHeight="1">
      <c r="A96" s="759"/>
      <c r="B96" s="813">
        <v>79</v>
      </c>
      <c r="C96" s="757" t="s">
        <v>1230</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1642</v>
      </c>
      <c r="P96" s="868"/>
      <c r="Q96" s="868"/>
      <c r="R96" s="868"/>
      <c r="S96" s="868"/>
      <c r="T96" s="757" t="s">
        <v>2292</v>
      </c>
      <c r="U96" s="757"/>
      <c r="V96" s="757"/>
      <c r="W96" s="757"/>
      <c r="X96" s="757"/>
      <c r="Y96" s="911"/>
      <c r="Z96" s="760" t="s">
        <v>2293</v>
      </c>
      <c r="AA96" s="763"/>
      <c r="AB96" s="760"/>
      <c r="AC96" s="760"/>
      <c r="AD96" s="760"/>
    </row>
    <row r="97" spans="1:30" ht="63" customHeight="1">
      <c r="A97" s="759"/>
      <c r="B97" s="813">
        <v>80</v>
      </c>
      <c r="C97" s="757" t="s">
        <v>2294</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1653</v>
      </c>
      <c r="P97" s="868"/>
      <c r="Q97" s="868"/>
      <c r="R97" s="868"/>
      <c r="S97" s="868"/>
      <c r="T97" s="757" t="s">
        <v>2295</v>
      </c>
      <c r="U97" s="757"/>
      <c r="V97" s="757"/>
      <c r="W97" s="757"/>
      <c r="X97" s="757"/>
      <c r="Y97" s="911"/>
      <c r="Z97" s="760" t="s">
        <v>2296</v>
      </c>
      <c r="AA97" s="763"/>
      <c r="AB97" s="760"/>
      <c r="AC97" s="760"/>
      <c r="AD97" s="760"/>
    </row>
    <row r="98" spans="1:30" ht="63" customHeight="1">
      <c r="A98" s="759"/>
      <c r="B98" s="813">
        <v>81</v>
      </c>
      <c r="C98" s="757" t="s">
        <v>2297</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1667</v>
      </c>
      <c r="P98" s="868"/>
      <c r="Q98" s="868"/>
      <c r="R98" s="868"/>
      <c r="S98" s="868"/>
      <c r="T98" s="757" t="s">
        <v>2298</v>
      </c>
      <c r="U98" s="757"/>
      <c r="V98" s="757"/>
      <c r="W98" s="757"/>
      <c r="X98" s="757"/>
      <c r="Y98" s="911"/>
      <c r="Z98" s="760" t="s">
        <v>2296</v>
      </c>
      <c r="AA98" s="763"/>
      <c r="AB98" s="760"/>
      <c r="AC98" s="760"/>
      <c r="AD98" s="760"/>
    </row>
    <row r="99" spans="1:30" ht="90" customHeight="1">
      <c r="A99" s="759"/>
      <c r="B99" s="813">
        <v>82</v>
      </c>
      <c r="C99" s="757" t="s">
        <v>2299</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1679</v>
      </c>
      <c r="P99" s="868"/>
      <c r="Q99" s="868"/>
      <c r="R99" s="868"/>
      <c r="S99" s="868"/>
      <c r="T99" s="757" t="s">
        <v>2300</v>
      </c>
      <c r="U99" s="757"/>
      <c r="V99" s="757"/>
      <c r="W99" s="757"/>
      <c r="X99" s="757"/>
      <c r="Y99" s="911"/>
      <c r="Z99" s="760" t="s">
        <v>827</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2301</v>
      </c>
      <c r="P100" s="868"/>
      <c r="Q100" s="868"/>
      <c r="R100" s="868"/>
      <c r="S100" s="868"/>
      <c r="T100" s="757" t="s">
        <v>2302</v>
      </c>
      <c r="U100" s="757"/>
      <c r="V100" s="757"/>
      <c r="W100" s="757"/>
      <c r="X100" s="757"/>
      <c r="Y100" s="911"/>
      <c r="Z100" s="760" t="s">
        <v>827</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2303</v>
      </c>
      <c r="P101" s="868"/>
      <c r="Q101" s="868"/>
      <c r="R101" s="868"/>
      <c r="S101" s="868"/>
      <c r="T101" s="757" t="s">
        <v>2304</v>
      </c>
      <c r="U101" s="757"/>
      <c r="V101" s="757"/>
      <c r="W101" s="757"/>
      <c r="X101" s="757"/>
      <c r="Y101" s="911"/>
      <c r="Z101" s="760" t="s">
        <v>827</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1833</v>
      </c>
      <c r="B148" s="759"/>
      <c r="C148" s="757" t="s">
        <v>2305</v>
      </c>
      <c r="D148" s="757" t="s">
        <v>1735</v>
      </c>
      <c r="E148" s="757" t="s">
        <v>1835</v>
      </c>
      <c r="F148" s="757" t="s">
        <v>2306</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2307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2308</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1837</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1840</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1845</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7"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4160" t="s">
        <v>2309</v>
      </c>
      <c r="M5" s="4160"/>
      <c r="N5" s="4160"/>
      <c r="O5" s="4160"/>
      <c r="P5" s="4160"/>
      <c r="Q5" s="4160"/>
      <c r="R5" s="4160"/>
      <c r="S5" s="4160"/>
      <c r="T5" s="4160"/>
      <c r="U5" s="4160"/>
      <c r="V5" s="1157"/>
    </row>
    <row r="6" spans="1:29" ht="14.25" customHeight="1">
      <c r="J6" s="300"/>
      <c r="K6" s="300"/>
      <c r="L6" s="4161" t="str">
        <f>IF(org=0,"Не определено",org)</f>
        <v>ГУП СК "Ставрополькрайводоканал"</v>
      </c>
      <c r="M6" s="4161"/>
      <c r="N6" s="4161"/>
      <c r="O6" s="4161"/>
      <c r="P6" s="4161"/>
      <c r="Q6" s="4161"/>
      <c r="R6" s="4161"/>
      <c r="S6" s="4161"/>
      <c r="T6" s="4161"/>
      <c r="U6" s="4161"/>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3901" t="str">
        <f>IF(TITLE_NAME_OR_PR_CHANGE="",IF(TITLE_NAME_OR_PR="","",TITLE_NAME_OR_PR),TITLE_NAME_OR_PR_CHANGE)</f>
        <v>Региональная тарифная комиссия Ставропольского края</v>
      </c>
      <c r="P8" s="3901"/>
      <c r="Q8" s="3901"/>
      <c r="R8" s="3901"/>
      <c r="S8" s="3901"/>
      <c r="T8" s="3901"/>
      <c r="U8" s="3901"/>
      <c r="V8" s="248"/>
      <c r="W8" s="248"/>
      <c r="X8" s="196"/>
      <c r="Y8" s="292"/>
      <c r="Z8" s="292"/>
      <c r="AA8" s="292"/>
      <c r="AB8" s="292"/>
      <c r="AC8" s="292"/>
    </row>
    <row r="9" spans="1:29" s="1771" customFormat="1" ht="22.5" customHeight="1">
      <c r="A9" s="1289"/>
      <c r="B9" s="1289"/>
      <c r="C9" s="1289"/>
      <c r="D9" s="1289"/>
      <c r="E9" s="1289"/>
      <c r="F9" s="1289"/>
      <c r="G9" s="1289"/>
      <c r="H9" s="1289"/>
      <c r="L9" s="1201"/>
      <c r="M9" s="209" t="s">
        <v>452</v>
      </c>
      <c r="N9" s="218"/>
      <c r="O9" s="3901">
        <f>IF(TITLE_DATE_CHANGE_PERIOD="",IF(TITLE_DATE_PR="","",TITLE_DATE_PR),TITLE_DATE_CHANGE_PERIOD)</f>
        <v>45278</v>
      </c>
      <c r="P9" s="3901"/>
      <c r="Q9" s="3901"/>
      <c r="R9" s="3901"/>
      <c r="S9" s="3901"/>
      <c r="T9" s="3901"/>
      <c r="U9" s="3901"/>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453</v>
      </c>
      <c r="N10" s="218"/>
      <c r="O10" s="3901" t="str">
        <f>IF(TITLE_NUMBER_PR_CHANGE="",IF(TITLE_NUMBER_PR="","",TITLE_NUMBER_PR),TITLE_NUMBER_PR_CHANGE)</f>
        <v>79/2</v>
      </c>
      <c r="P10" s="3901"/>
      <c r="Q10" s="3901"/>
      <c r="R10" s="3901"/>
      <c r="S10" s="3901"/>
      <c r="T10" s="3901"/>
      <c r="U10" s="3901"/>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3901" t="str">
        <f>IF(TITLE_IST_PUB_CHANGE="",IF(TITLE_IST_PUB="","",TITLE_IST_PUB),TITLE_IST_PUB_CHANGE)</f>
        <v>http://pravo.stavregion.ru/</v>
      </c>
      <c r="P11" s="3901"/>
      <c r="Q11" s="3901"/>
      <c r="R11" s="3901"/>
      <c r="S11" s="3901"/>
      <c r="T11" s="3901"/>
      <c r="U11" s="3901"/>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4162"/>
      <c r="M12" s="4162"/>
      <c r="N12" s="1211"/>
      <c r="O12" s="248"/>
      <c r="P12" s="248"/>
      <c r="Q12" s="248"/>
      <c r="R12" s="248"/>
      <c r="S12" s="248"/>
      <c r="T12" s="248"/>
      <c r="U12" s="248"/>
      <c r="V12" s="194" t="s">
        <v>456</v>
      </c>
      <c r="Y12" s="292"/>
      <c r="Z12" s="292"/>
      <c r="AA12" s="292"/>
      <c r="AB12" s="292"/>
      <c r="AC12" s="292"/>
    </row>
    <row r="13" spans="1:29" ht="14.25" customHeight="1">
      <c r="J13" s="300"/>
      <c r="K13" s="300"/>
      <c r="L13" s="1200"/>
      <c r="M13" s="286"/>
      <c r="N13" s="1158"/>
      <c r="O13" s="3902"/>
      <c r="P13" s="3902"/>
      <c r="Q13" s="3902"/>
      <c r="R13" s="3902"/>
      <c r="S13" s="3902"/>
      <c r="T13" s="3902"/>
      <c r="U13" s="3902"/>
      <c r="V13" s="3902"/>
    </row>
    <row r="14" spans="1:29" ht="14.25" customHeight="1">
      <c r="J14" s="300"/>
      <c r="K14" s="300"/>
      <c r="L14" s="3778" t="s">
        <v>329</v>
      </c>
      <c r="M14" s="3778"/>
      <c r="N14" s="3778"/>
      <c r="O14" s="3778"/>
      <c r="P14" s="3778"/>
      <c r="Q14" s="3778"/>
      <c r="R14" s="3778"/>
      <c r="S14" s="3778"/>
      <c r="T14" s="3778"/>
      <c r="U14" s="3778"/>
      <c r="V14" s="3778"/>
      <c r="W14" s="3778"/>
      <c r="X14" s="3778" t="s">
        <v>330</v>
      </c>
    </row>
    <row r="15" spans="1:29" ht="14.25" customHeight="1">
      <c r="J15" s="300"/>
      <c r="K15" s="300"/>
      <c r="L15" s="3916" t="s">
        <v>86</v>
      </c>
      <c r="M15" s="3868" t="s">
        <v>457</v>
      </c>
      <c r="N15" s="215"/>
      <c r="O15" s="3917" t="s">
        <v>2310</v>
      </c>
      <c r="P15" s="3918"/>
      <c r="Q15" s="3918"/>
      <c r="R15" s="3918"/>
      <c r="S15" s="3918"/>
      <c r="T15" s="3918"/>
      <c r="U15" s="3919"/>
      <c r="V15" s="3920" t="s">
        <v>459</v>
      </c>
      <c r="W15" s="3923" t="s">
        <v>1227</v>
      </c>
      <c r="X15" s="3778"/>
    </row>
    <row r="16" spans="1:29" ht="33.75" customHeight="1">
      <c r="J16" s="300"/>
      <c r="K16" s="300"/>
      <c r="L16" s="3916"/>
      <c r="M16" s="3868"/>
      <c r="N16" s="942"/>
      <c r="O16" s="3838" t="s">
        <v>462</v>
      </c>
      <c r="P16" s="3838" t="s">
        <v>463</v>
      </c>
      <c r="Q16" s="3749" t="s">
        <v>464</v>
      </c>
      <c r="R16" s="3748"/>
      <c r="S16" s="3749" t="s">
        <v>477</v>
      </c>
      <c r="T16" s="3754"/>
      <c r="U16" s="3748"/>
      <c r="V16" s="3921"/>
      <c r="W16" s="3924"/>
      <c r="X16" s="3778"/>
    </row>
    <row r="17" spans="1:29" ht="33.75" customHeight="1">
      <c r="A17" s="1291" t="s">
        <v>152</v>
      </c>
      <c r="B17" s="1291" t="s">
        <v>153</v>
      </c>
      <c r="C17" s="1291" t="s">
        <v>154</v>
      </c>
      <c r="D17" s="1291" t="s">
        <v>155</v>
      </c>
      <c r="E17" s="1291"/>
      <c r="J17" s="300"/>
      <c r="K17" s="300"/>
      <c r="L17" s="3916"/>
      <c r="M17" s="3868"/>
      <c r="N17" s="216"/>
      <c r="O17" s="3887"/>
      <c r="P17" s="3887"/>
      <c r="Q17" s="1133" t="s">
        <v>473</v>
      </c>
      <c r="R17" s="1133" t="s">
        <v>474</v>
      </c>
      <c r="S17" s="1216" t="s">
        <v>475</v>
      </c>
      <c r="T17" s="3876" t="s">
        <v>476</v>
      </c>
      <c r="U17" s="3878"/>
      <c r="V17" s="3922"/>
      <c r="W17" s="3925"/>
      <c r="X17" s="3778"/>
    </row>
    <row r="18" spans="1:29" s="1561" customFormat="1" ht="11.25" customHeight="1">
      <c r="A18" s="1291"/>
      <c r="B18" s="1291"/>
      <c r="C18" s="1291"/>
      <c r="D18" s="1291"/>
      <c r="E18" s="1291"/>
      <c r="F18" s="1283"/>
      <c r="G18" s="1283"/>
      <c r="H18" s="1283"/>
      <c r="I18" s="1160"/>
      <c r="J18" s="1161"/>
      <c r="K18" s="1176">
        <v>1</v>
      </c>
      <c r="L18" s="1202" t="s">
        <v>129</v>
      </c>
      <c r="M18" s="1177" t="s">
        <v>102</v>
      </c>
      <c r="N18" s="1159" t="str">
        <f ca="1">OFFSET(N18,0,-1)</f>
        <v>2</v>
      </c>
      <c r="O18" s="1213">
        <f ca="1">OFFSET(O18,0,-1)+1</f>
        <v>3</v>
      </c>
      <c r="P18" s="1213"/>
      <c r="Q18" s="1213">
        <f ca="1">OFFSET(Q18,0,-1)+1</f>
        <v>1</v>
      </c>
      <c r="R18" s="1213">
        <f ca="1">OFFSET(R18,0,-1)+1</f>
        <v>2</v>
      </c>
      <c r="S18" s="1213">
        <f ca="1">OFFSET(S18,0,-1)+1</f>
        <v>3</v>
      </c>
      <c r="T18" s="3915">
        <f ca="1">OFFSET(T18,0,-1)+1</f>
        <v>4</v>
      </c>
      <c r="U18" s="3915"/>
      <c r="V18" s="1213">
        <f ca="1">OFFSET(V18,0,-2)+1</f>
        <v>5</v>
      </c>
      <c r="W18" s="1159">
        <f ca="1">OFFSET(W18,0,-1)</f>
        <v>5</v>
      </c>
      <c r="X18" s="1213">
        <f ca="1">OFFSET(X18,0,-1)+1</f>
        <v>6</v>
      </c>
      <c r="Y18" s="435"/>
      <c r="Z18" s="435"/>
      <c r="AA18" s="435"/>
      <c r="AB18" s="435"/>
      <c r="AC18" s="435"/>
    </row>
    <row r="19" spans="1:29" ht="21" customHeight="1">
      <c r="A19" s="1284" t="s">
        <v>186</v>
      </c>
      <c r="B19" s="1284" t="s">
        <v>187</v>
      </c>
      <c r="C19" s="1284" t="s">
        <v>188</v>
      </c>
      <c r="D19" s="1284" t="s">
        <v>189</v>
      </c>
      <c r="E19" s="1284"/>
      <c r="F19" s="1286"/>
      <c r="G19" s="1286"/>
      <c r="H19" s="1286"/>
      <c r="I19" s="282"/>
      <c r="J19" s="281"/>
      <c r="K19" s="276"/>
      <c r="L19" s="1217">
        <f>INDEX(PT_DIFFERENTIATION_NUM_NTAR,MATCH(A19,PT_DIFFERENTIATION_NTAR_ID,0))</f>
        <v>0</v>
      </c>
      <c r="M19" s="212" t="s">
        <v>141</v>
      </c>
      <c r="N19" s="214"/>
      <c r="O19" s="4163" t="str">
        <f>INDEX(PT_DIFFERENTIATION_NTAR,MATCH(A19,PT_DIFFERENTIATION_NTAR_ID,0))</f>
        <v/>
      </c>
      <c r="P19" s="4163"/>
      <c r="Q19" s="4163"/>
      <c r="R19" s="4163"/>
      <c r="S19" s="4163"/>
      <c r="T19" s="4163"/>
      <c r="U19" s="4163"/>
      <c r="V19" s="4163"/>
      <c r="W19" s="4163"/>
      <c r="X19" s="1182" t="s">
        <v>427</v>
      </c>
      <c r="Z19" s="424"/>
      <c r="AA19" s="424" t="str">
        <f t="shared" ref="AA19:AA32" si="0">IF(M19="","",M19)</f>
        <v>Наименование тарифа</v>
      </c>
      <c r="AB19" s="424"/>
      <c r="AC19" s="424"/>
    </row>
    <row r="20" spans="1:29" ht="21" customHeight="1">
      <c r="A20" s="1284" t="s">
        <v>186</v>
      </c>
      <c r="B20" s="1284" t="s">
        <v>187</v>
      </c>
      <c r="C20" s="1284" t="s">
        <v>188</v>
      </c>
      <c r="D20" s="1284" t="s">
        <v>189</v>
      </c>
      <c r="E20" s="1284"/>
      <c r="F20" s="1286"/>
      <c r="G20" s="1286"/>
      <c r="H20" s="1286"/>
      <c r="I20" s="1214"/>
      <c r="J20" s="273"/>
      <c r="K20" s="274"/>
      <c r="L20" s="1217" t="str">
        <f>INDEX(PT_DIFFERENTIATION_NUM_TER,MATCH(B19,PT_DIFFERENTIATION_TER_ID,0))</f>
        <v>.</v>
      </c>
      <c r="M20" s="224" t="s">
        <v>428</v>
      </c>
      <c r="N20" s="214"/>
      <c r="O20" s="4163" t="str">
        <f>INDEX(PT_DIFFERENTIATION_TER,MATCH(B19,PT_DIFFERENTIATION_TER_ID,0))</f>
        <v/>
      </c>
      <c r="P20" s="4163"/>
      <c r="Q20" s="4163"/>
      <c r="R20" s="4163"/>
      <c r="S20" s="4163"/>
      <c r="T20" s="4163"/>
      <c r="U20" s="4163"/>
      <c r="V20" s="4163"/>
      <c r="W20" s="4163"/>
      <c r="X20" s="1182" t="s">
        <v>429</v>
      </c>
      <c r="Z20" s="424"/>
      <c r="AA20" s="424" t="str">
        <f t="shared" si="0"/>
        <v>Территория действия тарифа</v>
      </c>
      <c r="AB20" s="424"/>
      <c r="AC20" s="424"/>
    </row>
    <row r="21" spans="1:29" ht="22.5" customHeight="1">
      <c r="A21" s="1284" t="s">
        <v>186</v>
      </c>
      <c r="B21" s="1284" t="s">
        <v>187</v>
      </c>
      <c r="C21" s="1284" t="s">
        <v>188</v>
      </c>
      <c r="D21" s="1284" t="s">
        <v>189</v>
      </c>
      <c r="E21" s="1284"/>
      <c r="F21" s="1286"/>
      <c r="G21" s="1286"/>
      <c r="H21" s="1286"/>
      <c r="I21" s="275"/>
      <c r="J21" s="273"/>
      <c r="K21" s="274"/>
      <c r="L21" s="1217" t="str">
        <f>INDEX(PT_DIFFERENTIATION_NUM_CS,MATCH(C19,PT_DIFFERENTIATION_CS_ID,0))</f>
        <v>..</v>
      </c>
      <c r="M21" s="225" t="s">
        <v>430</v>
      </c>
      <c r="N21" s="214"/>
      <c r="O21" s="4163" t="str">
        <f>INDEX(PT_DIFFERENTIATION_CS,MATCH(C19,PT_DIFFERENTIATION_CS_ID,0))</f>
        <v/>
      </c>
      <c r="P21" s="4163"/>
      <c r="Q21" s="4163"/>
      <c r="R21" s="4163"/>
      <c r="S21" s="4163"/>
      <c r="T21" s="4163"/>
      <c r="U21" s="4163"/>
      <c r="V21" s="4163"/>
      <c r="W21" s="4163"/>
      <c r="X21" s="1182" t="s">
        <v>431</v>
      </c>
      <c r="Z21" s="424"/>
      <c r="AA21" s="424" t="str">
        <f t="shared" si="0"/>
        <v xml:space="preserve">Наименование системы теплоснабжения </v>
      </c>
      <c r="AB21" s="424"/>
      <c r="AC21" s="424"/>
    </row>
    <row r="22" spans="1:29" ht="21" customHeight="1">
      <c r="A22" s="1284" t="s">
        <v>186</v>
      </c>
      <c r="B22" s="1284" t="s">
        <v>187</v>
      </c>
      <c r="C22" s="1284" t="s">
        <v>188</v>
      </c>
      <c r="D22" s="1284" t="s">
        <v>189</v>
      </c>
      <c r="E22" s="1284"/>
      <c r="F22" s="1286"/>
      <c r="G22" s="1286"/>
      <c r="H22" s="1286"/>
      <c r="I22" s="275"/>
      <c r="J22" s="273"/>
      <c r="K22" s="274"/>
      <c r="L22" s="1217" t="str">
        <f>INDEX(PT_DIFFERENTIATION_NUM_IST_TE,MATCH(D19,PT_DIFFERENTIATION_IST_TE_ID,0))</f>
        <v>...</v>
      </c>
      <c r="M22" s="226" t="s">
        <v>432</v>
      </c>
      <c r="N22" s="214"/>
      <c r="O22" s="4163" t="str">
        <f>INDEX(PT_DIFFERENTIATION_IST_TE,MATCH(D19,PT_DIFFERENTIATION_IST_TE_ID,0))</f>
        <v/>
      </c>
      <c r="P22" s="4163"/>
      <c r="Q22" s="4163"/>
      <c r="R22" s="4163"/>
      <c r="S22" s="4163"/>
      <c r="T22" s="4163"/>
      <c r="U22" s="4163"/>
      <c r="V22" s="4163"/>
      <c r="W22" s="4163"/>
      <c r="X22" s="1182" t="s">
        <v>433</v>
      </c>
      <c r="Z22" s="424"/>
      <c r="AA22" s="424" t="str">
        <f t="shared" si="0"/>
        <v xml:space="preserve">Источник тепловой энергии  </v>
      </c>
      <c r="AB22" s="424"/>
      <c r="AC22" s="424"/>
    </row>
    <row r="23" spans="1:29" ht="94.5" customHeight="1">
      <c r="A23" s="1284" t="s">
        <v>186</v>
      </c>
      <c r="B23" s="1284" t="s">
        <v>187</v>
      </c>
      <c r="C23" s="1284" t="s">
        <v>188</v>
      </c>
      <c r="D23" s="1284" t="s">
        <v>189</v>
      </c>
      <c r="E23" s="1284"/>
      <c r="F23" s="3756" t="str">
        <f>L22&amp;".1"</f>
        <v>....1</v>
      </c>
      <c r="I23" s="3907">
        <v>1</v>
      </c>
      <c r="J23" s="1215"/>
      <c r="K23" s="277"/>
      <c r="L23" s="1217" t="str">
        <f>$F$23</f>
        <v>....1</v>
      </c>
      <c r="M23" s="200" t="s">
        <v>435</v>
      </c>
      <c r="N23" s="214"/>
      <c r="O23" s="4164"/>
      <c r="P23" s="4164"/>
      <c r="Q23" s="4164"/>
      <c r="R23" s="4164"/>
      <c r="S23" s="4164"/>
      <c r="T23" s="4164"/>
      <c r="U23" s="4164"/>
      <c r="V23" s="4164"/>
      <c r="W23" s="4164"/>
      <c r="X23" s="1182" t="s">
        <v>436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186</v>
      </c>
      <c r="B24" s="1284" t="s">
        <v>187</v>
      </c>
      <c r="C24" s="1284" t="s">
        <v>188</v>
      </c>
      <c r="D24" s="1284" t="s">
        <v>189</v>
      </c>
      <c r="E24" s="1284"/>
      <c r="F24" s="3756"/>
      <c r="G24" s="3756" t="str">
        <f>F23&amp;".1"</f>
        <v>....1.1</v>
      </c>
      <c r="I24" s="3907"/>
      <c r="J24" s="3907">
        <v>1</v>
      </c>
      <c r="K24" s="278"/>
      <c r="L24" s="1217" t="str">
        <f>$G$24</f>
        <v>....1.1</v>
      </c>
      <c r="M24" s="201" t="s">
        <v>438</v>
      </c>
      <c r="N24" s="214"/>
      <c r="O24" s="4165"/>
      <c r="P24" s="4166"/>
      <c r="Q24" s="4166"/>
      <c r="R24" s="4166"/>
      <c r="S24" s="4166"/>
      <c r="T24" s="4166"/>
      <c r="U24" s="4166"/>
      <c r="V24" s="4166"/>
      <c r="W24" s="4167"/>
      <c r="X24" s="1182" t="s">
        <v>439</v>
      </c>
      <c r="Z24" s="424"/>
      <c r="AA24" s="424" t="str">
        <f t="shared" si="0"/>
        <v>Группа потребителей</v>
      </c>
      <c r="AB24" s="424"/>
      <c r="AC24" s="424"/>
    </row>
    <row r="25" spans="1:29" ht="11.25" customHeight="1">
      <c r="A25" s="1284" t="s">
        <v>186</v>
      </c>
      <c r="B25" s="1284" t="s">
        <v>187</v>
      </c>
      <c r="C25" s="1284" t="s">
        <v>188</v>
      </c>
      <c r="D25" s="1284" t="s">
        <v>189</v>
      </c>
      <c r="E25" s="1284"/>
      <c r="F25" s="3756"/>
      <c r="G25" s="3756"/>
      <c r="H25" s="3756" t="str">
        <f>G24&amp;".1"</f>
        <v>....1.1.1</v>
      </c>
      <c r="I25" s="3907"/>
      <c r="J25" s="3907"/>
      <c r="K25" s="278">
        <v>1</v>
      </c>
      <c r="L25" s="1217" t="str">
        <f>$H$25</f>
        <v>....1.1.1</v>
      </c>
      <c r="M25" s="1183"/>
      <c r="N25" s="214"/>
      <c r="O25" s="666"/>
      <c r="P25" s="246"/>
      <c r="Q25" s="666"/>
      <c r="R25" s="1181"/>
      <c r="S25" s="3911"/>
      <c r="T25" s="3759" t="s">
        <v>60</v>
      </c>
      <c r="U25" s="3911"/>
      <c r="V25" s="3759" t="s">
        <v>55</v>
      </c>
      <c r="W25" s="246"/>
      <c r="X25" s="3903" t="s">
        <v>441</v>
      </c>
      <c r="Y25" s="435" t="e">
        <f ca="1">STRCHECKDATE(O26:W26)</f>
        <v>#NAME?</v>
      </c>
      <c r="Z25" s="424"/>
      <c r="AA25" s="424" t="str">
        <f t="shared" si="0"/>
        <v/>
      </c>
      <c r="AB25" s="424"/>
      <c r="AC25" s="424"/>
    </row>
    <row r="26" spans="1:29" ht="11.25" customHeight="1">
      <c r="A26" s="1284" t="s">
        <v>186</v>
      </c>
      <c r="B26" s="1284" t="s">
        <v>187</v>
      </c>
      <c r="C26" s="1284" t="s">
        <v>188</v>
      </c>
      <c r="D26" s="1284" t="s">
        <v>189</v>
      </c>
      <c r="E26" s="1284"/>
      <c r="F26" s="3756"/>
      <c r="G26" s="3756"/>
      <c r="H26" s="3756"/>
      <c r="I26" s="3907"/>
      <c r="J26" s="3907"/>
      <c r="K26" s="278"/>
      <c r="L26" s="1218"/>
      <c r="M26" s="214"/>
      <c r="N26" s="214"/>
      <c r="O26" s="246"/>
      <c r="P26" s="246"/>
      <c r="Q26" s="246"/>
      <c r="R26" s="250" t="str">
        <f>S25&amp;"-"&amp;U25</f>
        <v>-</v>
      </c>
      <c r="S26" s="3912"/>
      <c r="T26" s="3759"/>
      <c r="U26" s="3912"/>
      <c r="V26" s="3759"/>
      <c r="W26" s="246"/>
      <c r="X26" s="3904"/>
      <c r="Z26" s="424"/>
      <c r="AA26" s="424" t="str">
        <f t="shared" si="0"/>
        <v/>
      </c>
      <c r="AB26" s="424"/>
      <c r="AC26" s="424"/>
    </row>
    <row r="27" spans="1:29" ht="15" customHeight="1">
      <c r="A27" s="1284" t="s">
        <v>186</v>
      </c>
      <c r="B27" s="1284" t="s">
        <v>187</v>
      </c>
      <c r="C27" s="1284" t="s">
        <v>188</v>
      </c>
      <c r="D27" s="1284" t="s">
        <v>189</v>
      </c>
      <c r="E27" s="1284"/>
      <c r="F27" s="3756"/>
      <c r="G27" s="3756"/>
      <c r="I27" s="3907"/>
      <c r="J27" s="3907"/>
      <c r="K27" s="277"/>
      <c r="L27" s="1203"/>
      <c r="M27" s="203" t="s">
        <v>442</v>
      </c>
      <c r="N27" s="291"/>
      <c r="O27" s="291"/>
      <c r="P27" s="291"/>
      <c r="Q27" s="291"/>
      <c r="R27" s="291"/>
      <c r="S27" s="291"/>
      <c r="T27" s="291"/>
      <c r="U27" s="291"/>
      <c r="V27" s="291"/>
      <c r="W27" s="245"/>
      <c r="X27" s="3905"/>
      <c r="Z27" s="424"/>
      <c r="AA27" s="424" t="str">
        <f t="shared" si="0"/>
        <v>Добавить вид теплоносителя (параметры теплоносителя)</v>
      </c>
      <c r="AB27" s="424"/>
      <c r="AC27" s="424"/>
    </row>
    <row r="28" spans="1:29" ht="15" customHeight="1">
      <c r="A28" s="1284" t="s">
        <v>186</v>
      </c>
      <c r="B28" s="1284" t="s">
        <v>187</v>
      </c>
      <c r="C28" s="1284" t="s">
        <v>188</v>
      </c>
      <c r="D28" s="1284" t="s">
        <v>189</v>
      </c>
      <c r="E28" s="1284"/>
      <c r="F28" s="3756"/>
      <c r="I28" s="3907"/>
      <c r="J28" s="1215"/>
      <c r="K28" s="277"/>
      <c r="L28" s="1203"/>
      <c r="M28" s="202" t="s">
        <v>443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186</v>
      </c>
      <c r="B29" s="1284" t="s">
        <v>187</v>
      </c>
      <c r="C29" s="1284" t="s">
        <v>188</v>
      </c>
      <c r="D29" s="1284" t="s">
        <v>189</v>
      </c>
      <c r="E29" s="1284"/>
      <c r="F29" s="1286"/>
      <c r="G29" s="1286"/>
      <c r="H29" s="460"/>
      <c r="I29" s="281"/>
      <c r="J29" s="299"/>
      <c r="K29" s="276"/>
      <c r="L29" s="1203"/>
      <c r="M29" s="288" t="s">
        <v>444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186</v>
      </c>
      <c r="B30" s="1284" t="s">
        <v>187</v>
      </c>
      <c r="C30" s="1284" t="s">
        <v>188</v>
      </c>
      <c r="D30" s="1284"/>
      <c r="E30" s="1284" t="s">
        <v>610</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186</v>
      </c>
      <c r="B31" s="1284" t="s">
        <v>187</v>
      </c>
      <c r="C31" s="1284"/>
      <c r="D31" s="1284"/>
      <c r="E31" s="1284" t="s">
        <v>2311</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2312</v>
      </c>
      <c r="B32" s="1284"/>
      <c r="C32" s="1284"/>
      <c r="D32" s="1284"/>
      <c r="E32" s="1284" t="s">
        <v>124</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7" customFormat="1" ht="11.25" customHeight="1">
      <c r="A33" s="1284"/>
      <c r="B33" s="1284"/>
      <c r="C33" s="1284"/>
      <c r="D33" s="1284"/>
      <c r="E33" s="1284" t="s">
        <v>262</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742</v>
      </c>
      <c r="M35" s="3928" t="s">
        <v>2313</v>
      </c>
      <c r="N35" s="3928"/>
      <c r="O35" s="3928"/>
      <c r="P35" s="3928"/>
      <c r="Q35" s="3928"/>
      <c r="R35" s="3928"/>
      <c r="S35" s="3928"/>
      <c r="T35" s="3928"/>
      <c r="U35" s="3928"/>
      <c r="V35" s="3928"/>
      <c r="W35" s="3928"/>
      <c r="X35" s="3928"/>
    </row>
    <row r="36" spans="1:29" ht="104.25" customHeight="1">
      <c r="H36" s="460"/>
      <c r="I36" s="1227"/>
      <c r="M36" s="3928" t="s">
        <v>2314</v>
      </c>
      <c r="N36" s="3928"/>
      <c r="O36" s="3928"/>
      <c r="P36" s="3928"/>
      <c r="Q36" s="3928"/>
      <c r="R36" s="3928"/>
      <c r="S36" s="3928"/>
      <c r="T36" s="3928"/>
      <c r="U36" s="3928"/>
      <c r="V36" s="3928"/>
      <c r="W36" s="3928"/>
      <c r="X36" s="3928"/>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7" customWidth="1"/>
    <col min="9" max="9" width="3.7109375" style="1817"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4160" t="s">
        <v>2309</v>
      </c>
      <c r="M5" s="4160"/>
      <c r="N5" s="4160"/>
      <c r="O5" s="4160"/>
      <c r="P5" s="4160"/>
      <c r="Q5" s="4160"/>
      <c r="R5" s="4160"/>
      <c r="S5" s="4160"/>
      <c r="T5" s="4160"/>
      <c r="U5" s="4160"/>
      <c r="V5" s="1157"/>
    </row>
    <row r="6" spans="6:29" ht="14.25" customHeight="1">
      <c r="J6" s="300"/>
      <c r="K6" s="300"/>
      <c r="L6" s="4161" t="str">
        <f>IF(org=0,"Не определено",org)</f>
        <v>ГУП СК "Ставрополькрайводоканал"</v>
      </c>
      <c r="M6" s="4161"/>
      <c r="N6" s="4161"/>
      <c r="O6" s="4161"/>
      <c r="P6" s="4161"/>
      <c r="Q6" s="4161"/>
      <c r="R6" s="4161"/>
      <c r="S6" s="4161"/>
      <c r="T6" s="4161"/>
      <c r="U6" s="4161"/>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3901" t="str">
        <f>IF(TITLE_NAME_OR_PR_CHANGE="",IF(TITLE_NAME_OR_PR="","",TITLE_NAME_OR_PR),TITLE_NAME_OR_PR_CHANGE)</f>
        <v>Региональная тарифная комиссия Ставропольского края</v>
      </c>
      <c r="P8" s="3901"/>
      <c r="Q8" s="3901"/>
      <c r="R8" s="3901"/>
      <c r="S8" s="3901"/>
      <c r="T8" s="3901"/>
      <c r="U8" s="3901"/>
      <c r="V8" s="248"/>
      <c r="W8" s="248"/>
      <c r="X8" s="196"/>
      <c r="Y8" s="292"/>
      <c r="Z8" s="292"/>
      <c r="AA8" s="292"/>
      <c r="AB8" s="292"/>
      <c r="AC8" s="292"/>
    </row>
    <row r="9" spans="6:29" s="1771" customFormat="1" ht="22.5" customHeight="1">
      <c r="F9" s="1163"/>
      <c r="G9" s="1163"/>
      <c r="H9" s="1163"/>
      <c r="L9" s="1201"/>
      <c r="M9" s="209" t="s">
        <v>452</v>
      </c>
      <c r="N9" s="218"/>
      <c r="O9" s="3901">
        <f>IF(TITLE_DATE_CHANGE_PERIOD="",IF(TITLE_DATE_PR="","",TITLE_DATE_PR),TITLE_DATE_CHANGE_PERIOD)</f>
        <v>45278</v>
      </c>
      <c r="P9" s="3901"/>
      <c r="Q9" s="3901"/>
      <c r="R9" s="3901"/>
      <c r="S9" s="3901"/>
      <c r="T9" s="3901"/>
      <c r="U9" s="3901"/>
      <c r="V9" s="248"/>
      <c r="W9" s="248"/>
      <c r="X9" s="196"/>
      <c r="Y9" s="292"/>
      <c r="Z9" s="292"/>
      <c r="AA9" s="292"/>
      <c r="AB9" s="292"/>
      <c r="AC9" s="292"/>
    </row>
    <row r="10" spans="6:29" s="1771" customFormat="1" ht="22.5" customHeight="1">
      <c r="F10" s="1163"/>
      <c r="G10" s="1163"/>
      <c r="H10" s="1163"/>
      <c r="L10" s="1165"/>
      <c r="M10" s="209" t="s">
        <v>453</v>
      </c>
      <c r="N10" s="218"/>
      <c r="O10" s="3901" t="str">
        <f>IF(TITLE_NUMBER_PR_CHANGE="",IF(TITLE_NUMBER_PR="","",TITLE_NUMBER_PR),TITLE_NUMBER_PR_CHANGE)</f>
        <v>79/2</v>
      </c>
      <c r="P10" s="3901"/>
      <c r="Q10" s="3901"/>
      <c r="R10" s="3901"/>
      <c r="S10" s="3901"/>
      <c r="T10" s="3901"/>
      <c r="U10" s="3901"/>
      <c r="V10" s="248"/>
      <c r="W10" s="248"/>
      <c r="X10" s="196"/>
      <c r="Y10" s="292"/>
      <c r="Z10" s="292"/>
      <c r="AA10" s="292"/>
      <c r="AB10" s="292"/>
      <c r="AC10" s="292"/>
    </row>
    <row r="11" spans="6:29" s="1771" customFormat="1" ht="22.5" customHeight="1">
      <c r="F11" s="1163"/>
      <c r="G11" s="1163"/>
      <c r="H11" s="1163"/>
      <c r="L11" s="1165"/>
      <c r="M11" s="209" t="s">
        <v>40</v>
      </c>
      <c r="N11" s="218"/>
      <c r="O11" s="3901" t="str">
        <f>IF(TITLE_IST_PUB_CHANGE="",IF(TITLE_IST_PUB="","",TITLE_IST_PUB),TITLE_IST_PUB_CHANGE)</f>
        <v>http://pravo.stavregion.ru/</v>
      </c>
      <c r="P11" s="3901"/>
      <c r="Q11" s="3901"/>
      <c r="R11" s="3901"/>
      <c r="S11" s="3901"/>
      <c r="T11" s="3901"/>
      <c r="U11" s="3901"/>
      <c r="V11" s="248"/>
      <c r="W11" s="248"/>
      <c r="X11" s="196"/>
      <c r="Y11" s="292"/>
      <c r="Z11" s="292"/>
      <c r="AA11" s="292"/>
      <c r="AB11" s="292"/>
      <c r="AC11" s="292"/>
    </row>
    <row r="12" spans="6:29" s="1771" customFormat="1" ht="11.25" hidden="1" customHeight="1">
      <c r="F12" s="1163"/>
      <c r="G12" s="1163"/>
      <c r="H12" s="1163"/>
      <c r="L12" s="4162"/>
      <c r="M12" s="4162"/>
      <c r="N12" s="1211"/>
      <c r="O12" s="248"/>
      <c r="P12" s="248"/>
      <c r="Q12" s="248"/>
      <c r="R12" s="248"/>
      <c r="S12" s="248"/>
      <c r="T12" s="248"/>
      <c r="U12" s="248"/>
      <c r="V12" s="194" t="s">
        <v>456</v>
      </c>
      <c r="Y12" s="292"/>
      <c r="Z12" s="292"/>
      <c r="AA12" s="292"/>
      <c r="AB12" s="292"/>
      <c r="AC12" s="292"/>
    </row>
    <row r="13" spans="6:29" ht="14.25" customHeight="1">
      <c r="J13" s="300"/>
      <c r="K13" s="300"/>
      <c r="L13" s="1200"/>
      <c r="M13" s="286"/>
      <c r="N13" s="1158"/>
      <c r="O13" s="3902"/>
      <c r="P13" s="3902"/>
      <c r="Q13" s="3902"/>
      <c r="R13" s="3902"/>
      <c r="S13" s="3902"/>
      <c r="T13" s="3902"/>
      <c r="U13" s="3902"/>
      <c r="V13" s="3902"/>
    </row>
    <row r="14" spans="6:29" ht="14.25" customHeight="1">
      <c r="J14" s="300"/>
      <c r="K14" s="300"/>
      <c r="L14" s="3778" t="s">
        <v>329</v>
      </c>
      <c r="M14" s="3778"/>
      <c r="N14" s="3778"/>
      <c r="O14" s="3778"/>
      <c r="P14" s="3778"/>
      <c r="Q14" s="3778"/>
      <c r="R14" s="3778"/>
      <c r="S14" s="3778"/>
      <c r="T14" s="3778"/>
      <c r="U14" s="3778"/>
      <c r="V14" s="3778"/>
      <c r="W14" s="3778"/>
      <c r="X14" s="3778" t="s">
        <v>330</v>
      </c>
    </row>
    <row r="15" spans="6:29" ht="14.25" customHeight="1">
      <c r="J15" s="300"/>
      <c r="K15" s="300"/>
      <c r="L15" s="3916" t="s">
        <v>86</v>
      </c>
      <c r="M15" s="3868" t="s">
        <v>457</v>
      </c>
      <c r="N15" s="215"/>
      <c r="O15" s="3917" t="s">
        <v>2310</v>
      </c>
      <c r="P15" s="3918"/>
      <c r="Q15" s="3918"/>
      <c r="R15" s="3918"/>
      <c r="S15" s="3918"/>
      <c r="T15" s="3918"/>
      <c r="U15" s="3919"/>
      <c r="V15" s="3920" t="s">
        <v>459</v>
      </c>
      <c r="W15" s="3923" t="s">
        <v>1227</v>
      </c>
      <c r="X15" s="3778"/>
    </row>
    <row r="16" spans="6:29" ht="33.75" customHeight="1">
      <c r="J16" s="300"/>
      <c r="K16" s="300"/>
      <c r="L16" s="3916"/>
      <c r="M16" s="3868"/>
      <c r="N16" s="942"/>
      <c r="O16" s="3838" t="s">
        <v>462</v>
      </c>
      <c r="P16" s="3838" t="s">
        <v>463</v>
      </c>
      <c r="Q16" s="3749" t="s">
        <v>464</v>
      </c>
      <c r="R16" s="3748"/>
      <c r="S16" s="3749" t="s">
        <v>477</v>
      </c>
      <c r="T16" s="3754"/>
      <c r="U16" s="3748"/>
      <c r="V16" s="3921"/>
      <c r="W16" s="3924"/>
      <c r="X16" s="3778"/>
    </row>
    <row r="17" spans="1:29" ht="33.75" customHeight="1">
      <c r="A17" s="1184" t="s">
        <v>152</v>
      </c>
      <c r="B17" s="1184" t="s">
        <v>153</v>
      </c>
      <c r="C17" s="1184" t="s">
        <v>154</v>
      </c>
      <c r="D17" s="1184" t="s">
        <v>155</v>
      </c>
      <c r="E17" s="1184"/>
      <c r="J17" s="300"/>
      <c r="K17" s="300"/>
      <c r="L17" s="3916"/>
      <c r="M17" s="3868"/>
      <c r="N17" s="216"/>
      <c r="O17" s="3887"/>
      <c r="P17" s="3887"/>
      <c r="Q17" s="1133" t="s">
        <v>473</v>
      </c>
      <c r="R17" s="1133" t="s">
        <v>474</v>
      </c>
      <c r="S17" s="1216" t="s">
        <v>475</v>
      </c>
      <c r="T17" s="3876" t="s">
        <v>476</v>
      </c>
      <c r="U17" s="3878"/>
      <c r="V17" s="3922"/>
      <c r="W17" s="3925"/>
      <c r="X17" s="3778"/>
    </row>
    <row r="18" spans="1:29" s="1561" customFormat="1" ht="11.25" customHeight="1">
      <c r="A18" s="1184"/>
      <c r="B18" s="1184"/>
      <c r="C18" s="1184"/>
      <c r="D18" s="1184"/>
      <c r="E18" s="1184"/>
      <c r="F18" s="1210"/>
      <c r="G18" s="1210"/>
      <c r="H18" s="1210"/>
      <c r="I18" s="1160"/>
      <c r="J18" s="1161"/>
      <c r="K18" s="1176">
        <v>1</v>
      </c>
      <c r="L18" s="1202" t="s">
        <v>129</v>
      </c>
      <c r="M18" s="1177" t="s">
        <v>102</v>
      </c>
      <c r="N18" s="1159" t="str">
        <f ca="1">OFFSET(N18,0,-1)</f>
        <v>2</v>
      </c>
      <c r="O18" s="1213">
        <f ca="1">OFFSET(O18,0,-1)+1</f>
        <v>3</v>
      </c>
      <c r="P18" s="1213"/>
      <c r="Q18" s="1213">
        <f ca="1">OFFSET(Q18,0,-1)+1</f>
        <v>1</v>
      </c>
      <c r="R18" s="1213">
        <f ca="1">OFFSET(R18,0,-1)+1</f>
        <v>2</v>
      </c>
      <c r="S18" s="1213">
        <f ca="1">OFFSET(S18,0,-1)+1</f>
        <v>3</v>
      </c>
      <c r="T18" s="3915">
        <f ca="1">OFFSET(T18,0,-1)+1</f>
        <v>4</v>
      </c>
      <c r="U18" s="3915"/>
      <c r="V18" s="1213">
        <f ca="1">OFFSET(V18,0,-2)+1</f>
        <v>5</v>
      </c>
      <c r="W18" s="1159">
        <f ca="1">OFFSET(W18,0,-1)</f>
        <v>5</v>
      </c>
      <c r="X18" s="1213">
        <f ca="1">OFFSET(X18,0,-1)+1</f>
        <v>6</v>
      </c>
      <c r="Y18" s="435"/>
      <c r="Z18" s="435"/>
      <c r="AA18" s="435"/>
      <c r="AB18" s="435"/>
      <c r="AC18" s="435"/>
    </row>
    <row r="19" spans="1:29" ht="21" customHeight="1">
      <c r="A19" s="1191" t="s">
        <v>2315</v>
      </c>
      <c r="B19" s="1191" t="s">
        <v>2316</v>
      </c>
      <c r="C19" s="1191" t="s">
        <v>2317</v>
      </c>
      <c r="D19" s="1191" t="s">
        <v>2318</v>
      </c>
      <c r="E19" s="1191"/>
      <c r="F19" s="606"/>
      <c r="G19" s="606"/>
      <c r="H19" s="606"/>
      <c r="I19" s="282"/>
      <c r="J19" s="281"/>
      <c r="K19" s="276"/>
      <c r="L19" s="1217" t="e">
        <f>INDEX(PT_DIFFERENTIATION_NUM_NTAR,MATCH(A19,PT_DIFFERENTIATION_NTAR_ID,0))</f>
        <v>#N/A</v>
      </c>
      <c r="M19" s="212" t="s">
        <v>141</v>
      </c>
      <c r="N19" s="214"/>
      <c r="O19" s="4163" t="e">
        <f>INDEX(PT_DIFFERENTIATION_NTAR,MATCH(A19,PT_DIFFERENTIATION_NTAR_ID,0))</f>
        <v>#N/A</v>
      </c>
      <c r="P19" s="4163"/>
      <c r="Q19" s="4163"/>
      <c r="R19" s="4163"/>
      <c r="S19" s="4163"/>
      <c r="T19" s="4163"/>
      <c r="U19" s="4163"/>
      <c r="V19" s="4163"/>
      <c r="W19" s="4163"/>
      <c r="X19" s="1182" t="s">
        <v>427</v>
      </c>
      <c r="Z19" s="424"/>
      <c r="AA19" s="424" t="str">
        <f t="shared" ref="AA19:AA32" si="0">IF(M19="","",M19)</f>
        <v>Наименование тарифа</v>
      </c>
      <c r="AB19" s="424"/>
      <c r="AC19" s="424"/>
    </row>
    <row r="20" spans="1:29" ht="21" customHeight="1">
      <c r="A20" s="1191" t="s">
        <v>2315</v>
      </c>
      <c r="B20" s="1191" t="s">
        <v>2316</v>
      </c>
      <c r="C20" s="1191" t="s">
        <v>2317</v>
      </c>
      <c r="D20" s="1191" t="s">
        <v>2318</v>
      </c>
      <c r="E20" s="1191"/>
      <c r="F20" s="606"/>
      <c r="G20" s="606"/>
      <c r="H20" s="606"/>
      <c r="I20" s="1214"/>
      <c r="J20" s="273"/>
      <c r="K20" s="274"/>
      <c r="L20" s="1217" t="e">
        <f>INDEX(PT_DIFFERENTIATION_NUM_TER,MATCH(B19,PT_DIFFERENTIATION_TER_ID,0))</f>
        <v>#N/A</v>
      </c>
      <c r="M20" s="224" t="s">
        <v>428</v>
      </c>
      <c r="N20" s="214"/>
      <c r="O20" s="4163" t="e">
        <f>INDEX(PT_DIFFERENTIATION_TER,MATCH(B19,PT_DIFFERENTIATION_TER_ID,0))</f>
        <v>#N/A</v>
      </c>
      <c r="P20" s="4163"/>
      <c r="Q20" s="4163"/>
      <c r="R20" s="4163"/>
      <c r="S20" s="4163"/>
      <c r="T20" s="4163"/>
      <c r="U20" s="4163"/>
      <c r="V20" s="4163"/>
      <c r="W20" s="4163"/>
      <c r="X20" s="1182" t="s">
        <v>429</v>
      </c>
      <c r="Z20" s="424"/>
      <c r="AA20" s="424" t="str">
        <f t="shared" si="0"/>
        <v>Территория действия тарифа</v>
      </c>
      <c r="AB20" s="424"/>
      <c r="AC20" s="424"/>
    </row>
    <row r="21" spans="1:29" ht="22.5" customHeight="1">
      <c r="A21" s="1191" t="s">
        <v>2315</v>
      </c>
      <c r="B21" s="1191" t="s">
        <v>2316</v>
      </c>
      <c r="C21" s="1191" t="s">
        <v>2317</v>
      </c>
      <c r="D21" s="1191" t="s">
        <v>2318</v>
      </c>
      <c r="E21" s="1191"/>
      <c r="F21" s="606"/>
      <c r="G21" s="606"/>
      <c r="H21" s="606"/>
      <c r="I21" s="275"/>
      <c r="J21" s="273"/>
      <c r="K21" s="274"/>
      <c r="L21" s="1217" t="e">
        <f>INDEX(PT_DIFFERENTIATION_NUM_CS,MATCH(C19,PT_DIFFERENTIATION_CS_ID,0))</f>
        <v>#N/A</v>
      </c>
      <c r="M21" s="225" t="s">
        <v>430</v>
      </c>
      <c r="N21" s="214"/>
      <c r="O21" s="4163" t="e">
        <f>INDEX(PT_DIFFERENTIATION_CS,MATCH(C19,PT_DIFFERENTIATION_CS_ID,0))</f>
        <v>#N/A</v>
      </c>
      <c r="P21" s="4163"/>
      <c r="Q21" s="4163"/>
      <c r="R21" s="4163"/>
      <c r="S21" s="4163"/>
      <c r="T21" s="4163"/>
      <c r="U21" s="4163"/>
      <c r="V21" s="4163"/>
      <c r="W21" s="4163"/>
      <c r="X21" s="1182" t="s">
        <v>431</v>
      </c>
      <c r="Z21" s="424"/>
      <c r="AA21" s="424" t="str">
        <f t="shared" si="0"/>
        <v xml:space="preserve">Наименование системы теплоснабжения </v>
      </c>
      <c r="AB21" s="424"/>
      <c r="AC21" s="424"/>
    </row>
    <row r="22" spans="1:29" ht="21" customHeight="1">
      <c r="A22" s="1191" t="s">
        <v>2315</v>
      </c>
      <c r="B22" s="1191" t="s">
        <v>2316</v>
      </c>
      <c r="C22" s="1191" t="s">
        <v>2317</v>
      </c>
      <c r="D22" s="1191" t="s">
        <v>2318</v>
      </c>
      <c r="E22" s="1191"/>
      <c r="F22" s="606"/>
      <c r="G22" s="606"/>
      <c r="H22" s="606"/>
      <c r="I22" s="275"/>
      <c r="J22" s="273"/>
      <c r="K22" s="274"/>
      <c r="L22" s="1217" t="e">
        <f>INDEX(PT_DIFFERENTIATION_NUM_IST_TE,MATCH(D19,PT_DIFFERENTIATION_IST_TE_ID,0))</f>
        <v>#N/A</v>
      </c>
      <c r="M22" s="226" t="s">
        <v>432</v>
      </c>
      <c r="N22" s="214"/>
      <c r="O22" s="4163" t="e">
        <f>INDEX(PT_DIFFERENTIATION_IST_TE,MATCH(D19,PT_DIFFERENTIATION_IST_TE_ID,0))</f>
        <v>#N/A</v>
      </c>
      <c r="P22" s="4163"/>
      <c r="Q22" s="4163"/>
      <c r="R22" s="4163"/>
      <c r="S22" s="4163"/>
      <c r="T22" s="4163"/>
      <c r="U22" s="4163"/>
      <c r="V22" s="4163"/>
      <c r="W22" s="4163"/>
      <c r="X22" s="1182" t="s">
        <v>433</v>
      </c>
      <c r="Z22" s="424"/>
      <c r="AA22" s="424" t="str">
        <f t="shared" si="0"/>
        <v xml:space="preserve">Источник тепловой энергии  </v>
      </c>
      <c r="AB22" s="424"/>
      <c r="AC22" s="424"/>
    </row>
    <row r="23" spans="1:29" ht="94.5" customHeight="1">
      <c r="A23" s="1191" t="s">
        <v>2315</v>
      </c>
      <c r="B23" s="1191" t="s">
        <v>2316</v>
      </c>
      <c r="C23" s="1191" t="s">
        <v>2317</v>
      </c>
      <c r="D23" s="1191" t="s">
        <v>2318</v>
      </c>
      <c r="E23" s="1191"/>
      <c r="F23" s="3752" t="e">
        <f>L22&amp;".1"</f>
        <v>#N/A</v>
      </c>
      <c r="I23" s="3907">
        <v>1</v>
      </c>
      <c r="J23" s="1215"/>
      <c r="K23" s="277"/>
      <c r="L23" s="1217" t="e">
        <f>$F$23</f>
        <v>#N/A</v>
      </c>
      <c r="M23" s="200" t="s">
        <v>435</v>
      </c>
      <c r="N23" s="214"/>
      <c r="O23" s="4164"/>
      <c r="P23" s="4164"/>
      <c r="Q23" s="4164"/>
      <c r="R23" s="4164"/>
      <c r="S23" s="4164"/>
      <c r="T23" s="4164"/>
      <c r="U23" s="4164"/>
      <c r="V23" s="4164"/>
      <c r="W23" s="4164"/>
      <c r="X23" s="1182" t="s">
        <v>436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2315</v>
      </c>
      <c r="B24" s="1191" t="s">
        <v>2316</v>
      </c>
      <c r="C24" s="1191" t="s">
        <v>2317</v>
      </c>
      <c r="D24" s="1191" t="s">
        <v>2318</v>
      </c>
      <c r="E24" s="1191"/>
      <c r="F24" s="3752"/>
      <c r="G24" s="3752" t="e">
        <f>F23&amp;".1"</f>
        <v>#N/A</v>
      </c>
      <c r="I24" s="3907"/>
      <c r="J24" s="3907">
        <v>1</v>
      </c>
      <c r="K24" s="278"/>
      <c r="L24" s="1217" t="e">
        <f>$G$24</f>
        <v>#N/A</v>
      </c>
      <c r="M24" s="201" t="s">
        <v>438</v>
      </c>
      <c r="N24" s="214"/>
      <c r="O24" s="4165"/>
      <c r="P24" s="4166"/>
      <c r="Q24" s="4166"/>
      <c r="R24" s="4166"/>
      <c r="S24" s="4166"/>
      <c r="T24" s="4166"/>
      <c r="U24" s="4166"/>
      <c r="V24" s="4166"/>
      <c r="W24" s="4167"/>
      <c r="X24" s="1182" t="s">
        <v>439</v>
      </c>
      <c r="Z24" s="424"/>
      <c r="AA24" s="424" t="str">
        <f t="shared" si="0"/>
        <v>Группа потребителей</v>
      </c>
      <c r="AB24" s="424"/>
      <c r="AC24" s="424"/>
    </row>
    <row r="25" spans="1:29" ht="11.25" customHeight="1">
      <c r="A25" s="1191" t="s">
        <v>2315</v>
      </c>
      <c r="B25" s="1191" t="s">
        <v>2316</v>
      </c>
      <c r="C25" s="1191" t="s">
        <v>2317</v>
      </c>
      <c r="D25" s="1191" t="s">
        <v>2318</v>
      </c>
      <c r="E25" s="1191"/>
      <c r="F25" s="3752"/>
      <c r="G25" s="3752"/>
      <c r="H25" s="3752" t="e">
        <f>G24&amp;".1"</f>
        <v>#N/A</v>
      </c>
      <c r="I25" s="3907"/>
      <c r="J25" s="3907"/>
      <c r="K25" s="278">
        <v>1</v>
      </c>
      <c r="L25" s="1217" t="e">
        <f>$H$25</f>
        <v>#N/A</v>
      </c>
      <c r="M25" s="1183"/>
      <c r="N25" s="214"/>
      <c r="O25" s="666"/>
      <c r="P25" s="246"/>
      <c r="Q25" s="666"/>
      <c r="R25" s="1181"/>
      <c r="S25" s="3911"/>
      <c r="T25" s="3759" t="s">
        <v>60</v>
      </c>
      <c r="U25" s="3911"/>
      <c r="V25" s="3759" t="s">
        <v>55</v>
      </c>
      <c r="W25" s="246"/>
      <c r="X25" s="3903" t="s">
        <v>441</v>
      </c>
      <c r="Y25" s="435" t="e">
        <f ca="1">STRCHECKDATE(O26:W26)</f>
        <v>#NAME?</v>
      </c>
      <c r="Z25" s="424"/>
      <c r="AA25" s="424" t="str">
        <f t="shared" si="0"/>
        <v/>
      </c>
      <c r="AB25" s="424"/>
      <c r="AC25" s="424"/>
    </row>
    <row r="26" spans="1:29" ht="11.25" customHeight="1">
      <c r="A26" s="1191" t="s">
        <v>2315</v>
      </c>
      <c r="B26" s="1191" t="s">
        <v>2316</v>
      </c>
      <c r="C26" s="1191" t="s">
        <v>2317</v>
      </c>
      <c r="D26" s="1191" t="s">
        <v>2318</v>
      </c>
      <c r="E26" s="1191"/>
      <c r="F26" s="3752"/>
      <c r="G26" s="3752"/>
      <c r="H26" s="3752"/>
      <c r="I26" s="3907"/>
      <c r="J26" s="3907"/>
      <c r="K26" s="278"/>
      <c r="L26" s="1218"/>
      <c r="M26" s="214"/>
      <c r="N26" s="214"/>
      <c r="O26" s="246"/>
      <c r="P26" s="246"/>
      <c r="Q26" s="246"/>
      <c r="R26" s="250" t="str">
        <f>S25&amp;"-"&amp;U25</f>
        <v>-</v>
      </c>
      <c r="S26" s="3912"/>
      <c r="T26" s="3759"/>
      <c r="U26" s="3912"/>
      <c r="V26" s="3759"/>
      <c r="W26" s="246"/>
      <c r="X26" s="3904"/>
      <c r="Z26" s="424"/>
      <c r="AA26" s="424" t="str">
        <f t="shared" si="0"/>
        <v/>
      </c>
      <c r="AB26" s="424"/>
      <c r="AC26" s="424"/>
    </row>
    <row r="27" spans="1:29" ht="15" customHeight="1">
      <c r="A27" s="1191" t="s">
        <v>2315</v>
      </c>
      <c r="B27" s="1191" t="s">
        <v>2316</v>
      </c>
      <c r="C27" s="1191" t="s">
        <v>2317</v>
      </c>
      <c r="D27" s="1191" t="s">
        <v>2318</v>
      </c>
      <c r="E27" s="1191"/>
      <c r="F27" s="3752"/>
      <c r="G27" s="3752"/>
      <c r="I27" s="3907"/>
      <c r="J27" s="3907"/>
      <c r="K27" s="277"/>
      <c r="L27" s="1203"/>
      <c r="M27" s="203" t="s">
        <v>442</v>
      </c>
      <c r="N27" s="291"/>
      <c r="O27" s="291"/>
      <c r="P27" s="291"/>
      <c r="Q27" s="291"/>
      <c r="R27" s="291"/>
      <c r="S27" s="291"/>
      <c r="T27" s="291"/>
      <c r="U27" s="291"/>
      <c r="V27" s="291"/>
      <c r="W27" s="245"/>
      <c r="X27" s="3905"/>
      <c r="Z27" s="424"/>
      <c r="AA27" s="424" t="str">
        <f t="shared" si="0"/>
        <v>Добавить вид теплоносителя (параметры теплоносителя)</v>
      </c>
      <c r="AB27" s="424"/>
      <c r="AC27" s="424"/>
    </row>
    <row r="28" spans="1:29" ht="15" customHeight="1">
      <c r="A28" s="1191" t="s">
        <v>2315</v>
      </c>
      <c r="B28" s="1191" t="s">
        <v>2316</v>
      </c>
      <c r="C28" s="1191" t="s">
        <v>2317</v>
      </c>
      <c r="D28" s="1191" t="s">
        <v>2318</v>
      </c>
      <c r="E28" s="1191"/>
      <c r="F28" s="3752"/>
      <c r="I28" s="3907"/>
      <c r="J28" s="1215"/>
      <c r="K28" s="277"/>
      <c r="L28" s="1203"/>
      <c r="M28" s="202" t="s">
        <v>443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2315</v>
      </c>
      <c r="B29" s="1191" t="s">
        <v>2316</v>
      </c>
      <c r="C29" s="1191" t="s">
        <v>2317</v>
      </c>
      <c r="D29" s="1191" t="s">
        <v>2318</v>
      </c>
      <c r="E29" s="1191"/>
      <c r="F29" s="606"/>
      <c r="G29" s="606"/>
      <c r="H29" s="433"/>
      <c r="I29" s="281"/>
      <c r="J29" s="299"/>
      <c r="K29" s="276"/>
      <c r="L29" s="1203"/>
      <c r="M29" s="288" t="s">
        <v>444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2315</v>
      </c>
      <c r="B30" s="1191" t="s">
        <v>2316</v>
      </c>
      <c r="C30" s="1191" t="s">
        <v>2317</v>
      </c>
      <c r="D30" s="1191"/>
      <c r="E30" s="1191" t="s">
        <v>610</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2315</v>
      </c>
      <c r="B31" s="1191" t="s">
        <v>2316</v>
      </c>
      <c r="C31" s="1191"/>
      <c r="D31" s="1191"/>
      <c r="E31" s="1191" t="s">
        <v>2311</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2319</v>
      </c>
      <c r="B32" s="1191"/>
      <c r="C32" s="1191"/>
      <c r="D32" s="1191"/>
      <c r="E32" s="1191" t="s">
        <v>124</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7" customFormat="1" ht="11.25" customHeight="1">
      <c r="A33" s="1191"/>
      <c r="B33" s="1191"/>
      <c r="C33" s="1191"/>
      <c r="D33" s="1191"/>
      <c r="E33" s="1191" t="s">
        <v>262</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742</v>
      </c>
      <c r="M35" s="3928" t="s">
        <v>2313</v>
      </c>
      <c r="N35" s="3928"/>
      <c r="O35" s="3928"/>
      <c r="P35" s="3928"/>
      <c r="Q35" s="3928"/>
      <c r="R35" s="3928"/>
      <c r="S35" s="3928"/>
      <c r="T35" s="3928"/>
      <c r="U35" s="3928"/>
      <c r="V35" s="3928"/>
      <c r="W35" s="3928"/>
      <c r="X35" s="3928"/>
    </row>
    <row r="36" spans="1:29" ht="104.25" customHeight="1">
      <c r="F36" s="1227"/>
      <c r="G36" s="1227"/>
      <c r="H36" s="433"/>
      <c r="I36" s="1227"/>
      <c r="M36" s="3928" t="s">
        <v>2314</v>
      </c>
      <c r="N36" s="3928"/>
      <c r="O36" s="3928"/>
      <c r="P36" s="3928"/>
      <c r="Q36" s="3928"/>
      <c r="R36" s="3928"/>
      <c r="S36" s="3928"/>
      <c r="T36" s="3928"/>
      <c r="U36" s="3928"/>
      <c r="V36" s="3928"/>
      <c r="W36" s="3928"/>
      <c r="X36" s="3928"/>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7" customWidth="1"/>
    <col min="9" max="9" width="3.7109375" style="1817" customWidth="1"/>
    <col min="10" max="11" width="3.7109375" style="265" customWidth="1"/>
    <col min="12" max="12" width="12.7109375" style="1820"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4160" t="s">
        <v>2309</v>
      </c>
      <c r="M5" s="4160"/>
      <c r="N5" s="4160"/>
      <c r="O5" s="4160"/>
      <c r="P5" s="4160"/>
      <c r="Q5" s="4160"/>
      <c r="R5" s="4160"/>
      <c r="S5" s="4160"/>
      <c r="T5" s="4160"/>
      <c r="U5" s="4160"/>
      <c r="V5" s="1157"/>
    </row>
    <row r="6" spans="6:29" ht="14.25" customHeight="1">
      <c r="J6" s="300"/>
      <c r="K6" s="300"/>
      <c r="L6" s="4161" t="str">
        <f>IF(org=0,"Не определено",org)</f>
        <v>ГУП СК "Ставрополькрайводоканал"</v>
      </c>
      <c r="M6" s="4161"/>
      <c r="N6" s="4161"/>
      <c r="O6" s="4161"/>
      <c r="P6" s="4161"/>
      <c r="Q6" s="4161"/>
      <c r="R6" s="4161"/>
      <c r="S6" s="4161"/>
      <c r="T6" s="4161"/>
      <c r="U6" s="4161"/>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3901" t="str">
        <f>IF(TITLE_NAME_OR_PR_CHANGE="",IF(TITLE_NAME_OR_PR="","",TITLE_NAME_OR_PR),TITLE_NAME_OR_PR_CHANGE)</f>
        <v>Региональная тарифная комиссия Ставропольского края</v>
      </c>
      <c r="P8" s="3901"/>
      <c r="Q8" s="3901"/>
      <c r="R8" s="3901"/>
      <c r="S8" s="3901"/>
      <c r="T8" s="3901"/>
      <c r="U8" s="3901"/>
      <c r="V8" s="248"/>
      <c r="W8" s="248"/>
      <c r="X8" s="196"/>
      <c r="Y8" s="292"/>
      <c r="Z8" s="292"/>
      <c r="AA8" s="292"/>
      <c r="AB8" s="292"/>
      <c r="AC8" s="292"/>
    </row>
    <row r="9" spans="6:29" s="1771" customFormat="1" ht="22.5" customHeight="1">
      <c r="F9" s="1163"/>
      <c r="G9" s="1163"/>
      <c r="H9" s="1163"/>
      <c r="L9" s="1201"/>
      <c r="M9" s="209" t="s">
        <v>452</v>
      </c>
      <c r="N9" s="218"/>
      <c r="O9" s="3901">
        <f>IF(TITLE_DATE_CHANGE_PERIOD="",IF(TITLE_DATE_PR="","",TITLE_DATE_PR),TITLE_DATE_CHANGE_PERIOD)</f>
        <v>45278</v>
      </c>
      <c r="P9" s="3901"/>
      <c r="Q9" s="3901"/>
      <c r="R9" s="3901"/>
      <c r="S9" s="3901"/>
      <c r="T9" s="3901"/>
      <c r="U9" s="3901"/>
      <c r="V9" s="248"/>
      <c r="W9" s="248"/>
      <c r="X9" s="196"/>
      <c r="Y9" s="292"/>
      <c r="Z9" s="292"/>
      <c r="AA9" s="292"/>
      <c r="AB9" s="292"/>
      <c r="AC9" s="292"/>
    </row>
    <row r="10" spans="6:29" s="1771" customFormat="1" ht="22.5" customHeight="1">
      <c r="F10" s="1163"/>
      <c r="G10" s="1163"/>
      <c r="H10" s="1163"/>
      <c r="L10" s="1165"/>
      <c r="M10" s="209" t="s">
        <v>453</v>
      </c>
      <c r="N10" s="218"/>
      <c r="O10" s="3901" t="str">
        <f>IF(TITLE_NUMBER_PR_CHANGE="",IF(TITLE_NUMBER_PR="","",TITLE_NUMBER_PR),TITLE_NUMBER_PR_CHANGE)</f>
        <v>79/2</v>
      </c>
      <c r="P10" s="3901"/>
      <c r="Q10" s="3901"/>
      <c r="R10" s="3901"/>
      <c r="S10" s="3901"/>
      <c r="T10" s="3901"/>
      <c r="U10" s="3901"/>
      <c r="V10" s="248"/>
      <c r="W10" s="248"/>
      <c r="X10" s="196"/>
      <c r="Y10" s="292"/>
      <c r="Z10" s="292"/>
      <c r="AA10" s="292"/>
      <c r="AB10" s="292"/>
      <c r="AC10" s="292"/>
    </row>
    <row r="11" spans="6:29" s="1771" customFormat="1" ht="22.5" customHeight="1">
      <c r="F11" s="1163"/>
      <c r="G11" s="1163"/>
      <c r="H11" s="1163"/>
      <c r="L11" s="1165"/>
      <c r="M11" s="209" t="s">
        <v>40</v>
      </c>
      <c r="N11" s="218"/>
      <c r="O11" s="3901" t="str">
        <f>IF(TITLE_IST_PUB_CHANGE="",IF(TITLE_IST_PUB="","",TITLE_IST_PUB),TITLE_IST_PUB_CHANGE)</f>
        <v>http://pravo.stavregion.ru/</v>
      </c>
      <c r="P11" s="3901"/>
      <c r="Q11" s="3901"/>
      <c r="R11" s="3901"/>
      <c r="S11" s="3901"/>
      <c r="T11" s="3901"/>
      <c r="U11" s="3901"/>
      <c r="V11" s="248"/>
      <c r="W11" s="248"/>
      <c r="X11" s="196"/>
      <c r="Y11" s="292"/>
      <c r="Z11" s="292"/>
      <c r="AA11" s="292"/>
      <c r="AB11" s="292"/>
      <c r="AC11" s="292"/>
    </row>
    <row r="12" spans="6:29" s="1771" customFormat="1" ht="11.25" hidden="1" customHeight="1">
      <c r="F12" s="1163"/>
      <c r="G12" s="1163"/>
      <c r="H12" s="1163"/>
      <c r="L12" s="4162"/>
      <c r="M12" s="4162"/>
      <c r="N12" s="1211"/>
      <c r="O12" s="248"/>
      <c r="P12" s="248"/>
      <c r="Q12" s="248"/>
      <c r="R12" s="248"/>
      <c r="S12" s="248"/>
      <c r="T12" s="248"/>
      <c r="U12" s="248"/>
      <c r="V12" s="194" t="s">
        <v>456</v>
      </c>
      <c r="Y12" s="292"/>
      <c r="Z12" s="292"/>
      <c r="AA12" s="292"/>
      <c r="AB12" s="292"/>
      <c r="AC12" s="292"/>
    </row>
    <row r="13" spans="6:29" ht="14.25" customHeight="1">
      <c r="J13" s="300"/>
      <c r="K13" s="300"/>
      <c r="L13" s="1200"/>
      <c r="M13" s="286"/>
      <c r="N13" s="1158"/>
      <c r="O13" s="3902"/>
      <c r="P13" s="3902"/>
      <c r="Q13" s="3902"/>
      <c r="R13" s="3902"/>
      <c r="S13" s="3902"/>
      <c r="T13" s="3902"/>
      <c r="U13" s="3902"/>
      <c r="V13" s="3902"/>
    </row>
    <row r="14" spans="6:29" ht="14.25" customHeight="1">
      <c r="J14" s="300"/>
      <c r="K14" s="300"/>
      <c r="L14" s="3778" t="s">
        <v>329</v>
      </c>
      <c r="M14" s="3778"/>
      <c r="N14" s="3778"/>
      <c r="O14" s="3778"/>
      <c r="P14" s="3778"/>
      <c r="Q14" s="3778"/>
      <c r="R14" s="3778"/>
      <c r="S14" s="3778"/>
      <c r="T14" s="3778"/>
      <c r="U14" s="3778"/>
      <c r="V14" s="3778"/>
      <c r="W14" s="3778"/>
      <c r="X14" s="3778" t="s">
        <v>330</v>
      </c>
    </row>
    <row r="15" spans="6:29" ht="14.25" customHeight="1">
      <c r="J15" s="300"/>
      <c r="K15" s="300"/>
      <c r="L15" s="3916" t="s">
        <v>86</v>
      </c>
      <c r="M15" s="3868" t="s">
        <v>457</v>
      </c>
      <c r="N15" s="215"/>
      <c r="O15" s="3917" t="s">
        <v>2310</v>
      </c>
      <c r="P15" s="3918"/>
      <c r="Q15" s="3918"/>
      <c r="R15" s="3918"/>
      <c r="S15" s="3918"/>
      <c r="T15" s="3918"/>
      <c r="U15" s="3919"/>
      <c r="V15" s="3920" t="s">
        <v>459</v>
      </c>
      <c r="W15" s="3923" t="s">
        <v>1227</v>
      </c>
      <c r="X15" s="3778"/>
    </row>
    <row r="16" spans="6:29" ht="33.75" customHeight="1">
      <c r="J16" s="300"/>
      <c r="K16" s="300"/>
      <c r="L16" s="3916"/>
      <c r="M16" s="3868"/>
      <c r="N16" s="942"/>
      <c r="O16" s="3838" t="s">
        <v>462</v>
      </c>
      <c r="P16" s="3838" t="s">
        <v>463</v>
      </c>
      <c r="Q16" s="3749" t="s">
        <v>464</v>
      </c>
      <c r="R16" s="3748"/>
      <c r="S16" s="3749" t="s">
        <v>477</v>
      </c>
      <c r="T16" s="3754"/>
      <c r="U16" s="3748"/>
      <c r="V16" s="3921"/>
      <c r="W16" s="3924"/>
      <c r="X16" s="3778"/>
    </row>
    <row r="17" spans="1:29" ht="33.75" customHeight="1">
      <c r="A17" s="1184" t="s">
        <v>152</v>
      </c>
      <c r="B17" s="1184" t="s">
        <v>153</v>
      </c>
      <c r="C17" s="1184" t="s">
        <v>154</v>
      </c>
      <c r="D17" s="1184" t="s">
        <v>155</v>
      </c>
      <c r="E17" s="1184"/>
      <c r="J17" s="300"/>
      <c r="K17" s="300"/>
      <c r="L17" s="3916"/>
      <c r="M17" s="3868"/>
      <c r="N17" s="216"/>
      <c r="O17" s="3887"/>
      <c r="P17" s="3887"/>
      <c r="Q17" s="1133" t="s">
        <v>473</v>
      </c>
      <c r="R17" s="1133" t="s">
        <v>474</v>
      </c>
      <c r="S17" s="1216" t="s">
        <v>475</v>
      </c>
      <c r="T17" s="3876" t="s">
        <v>476</v>
      </c>
      <c r="U17" s="3878"/>
      <c r="V17" s="3922"/>
      <c r="W17" s="3925"/>
      <c r="X17" s="3778"/>
    </row>
    <row r="18" spans="1:29" s="1561" customFormat="1" ht="11.25" customHeight="1">
      <c r="A18" s="1184"/>
      <c r="B18" s="1184"/>
      <c r="C18" s="1184"/>
      <c r="D18" s="1184"/>
      <c r="E18" s="1184"/>
      <c r="F18" s="1210"/>
      <c r="G18" s="1210"/>
      <c r="H18" s="1210"/>
      <c r="I18" s="1160"/>
      <c r="J18" s="1161"/>
      <c r="K18" s="1176">
        <v>1</v>
      </c>
      <c r="L18" s="1202" t="s">
        <v>129</v>
      </c>
      <c r="M18" s="1177" t="s">
        <v>102</v>
      </c>
      <c r="N18" s="1159" t="str">
        <f ca="1">OFFSET(N18,0,-1)</f>
        <v>2</v>
      </c>
      <c r="O18" s="1213">
        <f ca="1">OFFSET(O18,0,-1)+1</f>
        <v>3</v>
      </c>
      <c r="P18" s="1213"/>
      <c r="Q18" s="1213">
        <f ca="1">OFFSET(Q18,0,-1)+1</f>
        <v>1</v>
      </c>
      <c r="R18" s="1213">
        <f ca="1">OFFSET(R18,0,-1)+1</f>
        <v>2</v>
      </c>
      <c r="S18" s="1213">
        <f ca="1">OFFSET(S18,0,-1)+1</f>
        <v>3</v>
      </c>
      <c r="T18" s="3915">
        <f ca="1">OFFSET(T18,0,-1)+1</f>
        <v>4</v>
      </c>
      <c r="U18" s="3915"/>
      <c r="V18" s="1213">
        <f ca="1">OFFSET(V18,0,-2)+1</f>
        <v>5</v>
      </c>
      <c r="W18" s="1159">
        <f ca="1">OFFSET(W18,0,-1)</f>
        <v>5</v>
      </c>
      <c r="X18" s="1213">
        <f ca="1">OFFSET(X18,0,-1)+1</f>
        <v>6</v>
      </c>
      <c r="Y18" s="435"/>
      <c r="Z18" s="435"/>
      <c r="AA18" s="435"/>
      <c r="AB18" s="435"/>
      <c r="AC18" s="435"/>
    </row>
    <row r="19" spans="1:29" ht="21" customHeight="1">
      <c r="A19" s="1191" t="s">
        <v>2320</v>
      </c>
      <c r="B19" s="1191" t="s">
        <v>2321</v>
      </c>
      <c r="C19" s="1191" t="s">
        <v>2322</v>
      </c>
      <c r="D19" s="1191" t="s">
        <v>2323</v>
      </c>
      <c r="E19" s="1191"/>
      <c r="F19" s="606"/>
      <c r="G19" s="606"/>
      <c r="H19" s="606"/>
      <c r="I19" s="282"/>
      <c r="J19" s="281"/>
      <c r="K19" s="276"/>
      <c r="L19" s="1217" t="e">
        <f>INDEX(PT_DIFFERENTIATION_NUM_NTAR,MATCH(A19,PT_DIFFERENTIATION_NTAR_ID,0))</f>
        <v>#N/A</v>
      </c>
      <c r="M19" s="212" t="s">
        <v>141</v>
      </c>
      <c r="N19" s="214"/>
      <c r="O19" s="4163" t="e">
        <f>INDEX(PT_DIFFERENTIATION_NTAR,MATCH(A19,PT_DIFFERENTIATION_NTAR_ID,0))</f>
        <v>#N/A</v>
      </c>
      <c r="P19" s="4163"/>
      <c r="Q19" s="4163"/>
      <c r="R19" s="4163"/>
      <c r="S19" s="4163"/>
      <c r="T19" s="4163"/>
      <c r="U19" s="4163"/>
      <c r="V19" s="4163"/>
      <c r="W19" s="4163"/>
      <c r="X19" s="1182" t="s">
        <v>427</v>
      </c>
      <c r="Z19" s="424"/>
      <c r="AA19" s="424" t="str">
        <f t="shared" ref="AA19:AA32" si="0">IF(M19="","",M19)</f>
        <v>Наименование тарифа</v>
      </c>
      <c r="AB19" s="424"/>
      <c r="AC19" s="424"/>
    </row>
    <row r="20" spans="1:29" ht="21" customHeight="1">
      <c r="A20" s="1191" t="s">
        <v>2320</v>
      </c>
      <c r="B20" s="1191" t="s">
        <v>2321</v>
      </c>
      <c r="C20" s="1191" t="s">
        <v>2322</v>
      </c>
      <c r="D20" s="1191" t="s">
        <v>2323</v>
      </c>
      <c r="E20" s="1191"/>
      <c r="F20" s="606"/>
      <c r="G20" s="606"/>
      <c r="H20" s="606"/>
      <c r="I20" s="1214"/>
      <c r="J20" s="273"/>
      <c r="K20" s="274"/>
      <c r="L20" s="1217" t="e">
        <f>INDEX(PT_DIFFERENTIATION_NUM_TER,MATCH(B19,PT_DIFFERENTIATION_TER_ID,0))</f>
        <v>#N/A</v>
      </c>
      <c r="M20" s="224" t="s">
        <v>428</v>
      </c>
      <c r="N20" s="214"/>
      <c r="O20" s="4163" t="e">
        <f>INDEX(PT_DIFFERENTIATION_TER,MATCH(B19,PT_DIFFERENTIATION_TER_ID,0))</f>
        <v>#N/A</v>
      </c>
      <c r="P20" s="4163"/>
      <c r="Q20" s="4163"/>
      <c r="R20" s="4163"/>
      <c r="S20" s="4163"/>
      <c r="T20" s="4163"/>
      <c r="U20" s="4163"/>
      <c r="V20" s="4163"/>
      <c r="W20" s="4163"/>
      <c r="X20" s="1182" t="s">
        <v>429</v>
      </c>
      <c r="Z20" s="424"/>
      <c r="AA20" s="424" t="str">
        <f t="shared" si="0"/>
        <v>Территория действия тарифа</v>
      </c>
      <c r="AB20" s="424"/>
      <c r="AC20" s="424"/>
    </row>
    <row r="21" spans="1:29" ht="22.5" customHeight="1">
      <c r="A21" s="1191" t="s">
        <v>2320</v>
      </c>
      <c r="B21" s="1191" t="s">
        <v>2321</v>
      </c>
      <c r="C21" s="1191" t="s">
        <v>2322</v>
      </c>
      <c r="D21" s="1191" t="s">
        <v>2323</v>
      </c>
      <c r="E21" s="1191"/>
      <c r="F21" s="606"/>
      <c r="G21" s="606"/>
      <c r="H21" s="606"/>
      <c r="I21" s="275"/>
      <c r="J21" s="273"/>
      <c r="K21" s="274"/>
      <c r="L21" s="1217" t="e">
        <f>INDEX(PT_DIFFERENTIATION_NUM_CS,MATCH(C19,PT_DIFFERENTIATION_CS_ID,0))</f>
        <v>#N/A</v>
      </c>
      <c r="M21" s="225" t="s">
        <v>430</v>
      </c>
      <c r="N21" s="214"/>
      <c r="O21" s="4163" t="e">
        <f>INDEX(PT_DIFFERENTIATION_CS,MATCH(C19,PT_DIFFERENTIATION_CS_ID,0))</f>
        <v>#N/A</v>
      </c>
      <c r="P21" s="4163"/>
      <c r="Q21" s="4163"/>
      <c r="R21" s="4163"/>
      <c r="S21" s="4163"/>
      <c r="T21" s="4163"/>
      <c r="U21" s="4163"/>
      <c r="V21" s="4163"/>
      <c r="W21" s="4163"/>
      <c r="X21" s="1182" t="s">
        <v>431</v>
      </c>
      <c r="Z21" s="424"/>
      <c r="AA21" s="424" t="str">
        <f t="shared" si="0"/>
        <v xml:space="preserve">Наименование системы теплоснабжения </v>
      </c>
      <c r="AB21" s="424"/>
      <c r="AC21" s="424"/>
    </row>
    <row r="22" spans="1:29" ht="21" customHeight="1">
      <c r="A22" s="1191" t="s">
        <v>2320</v>
      </c>
      <c r="B22" s="1191" t="s">
        <v>2321</v>
      </c>
      <c r="C22" s="1191" t="s">
        <v>2322</v>
      </c>
      <c r="D22" s="1191" t="s">
        <v>2323</v>
      </c>
      <c r="E22" s="1191"/>
      <c r="F22" s="606"/>
      <c r="G22" s="606"/>
      <c r="H22" s="606"/>
      <c r="I22" s="275"/>
      <c r="J22" s="273"/>
      <c r="K22" s="274"/>
      <c r="L22" s="1217" t="e">
        <f>INDEX(PT_DIFFERENTIATION_NUM_IST_TE,MATCH(D19,PT_DIFFERENTIATION_IST_TE_ID,0))</f>
        <v>#N/A</v>
      </c>
      <c r="M22" s="226" t="s">
        <v>432</v>
      </c>
      <c r="N22" s="214"/>
      <c r="O22" s="4163" t="e">
        <f>INDEX(PT_DIFFERENTIATION_IST_TE,MATCH(D19,PT_DIFFERENTIATION_IST_TE_ID,0))</f>
        <v>#N/A</v>
      </c>
      <c r="P22" s="4163"/>
      <c r="Q22" s="4163"/>
      <c r="R22" s="4163"/>
      <c r="S22" s="4163"/>
      <c r="T22" s="4163"/>
      <c r="U22" s="4163"/>
      <c r="V22" s="4163"/>
      <c r="W22" s="4163"/>
      <c r="X22" s="1182" t="s">
        <v>433</v>
      </c>
      <c r="Z22" s="424"/>
      <c r="AA22" s="424" t="str">
        <f t="shared" si="0"/>
        <v xml:space="preserve">Источник тепловой энергии  </v>
      </c>
      <c r="AB22" s="424"/>
      <c r="AC22" s="424"/>
    </row>
    <row r="23" spans="1:29" ht="94.5" customHeight="1">
      <c r="A23" s="1191" t="s">
        <v>2320</v>
      </c>
      <c r="B23" s="1191" t="s">
        <v>2321</v>
      </c>
      <c r="C23" s="1191" t="s">
        <v>2322</v>
      </c>
      <c r="D23" s="1191" t="s">
        <v>2323</v>
      </c>
      <c r="E23" s="1191"/>
      <c r="F23" s="3752" t="e">
        <f>L22&amp;".1"</f>
        <v>#N/A</v>
      </c>
      <c r="I23" s="3907">
        <v>1</v>
      </c>
      <c r="J23" s="1215"/>
      <c r="K23" s="277"/>
      <c r="L23" s="1217" t="e">
        <f>$F$23</f>
        <v>#N/A</v>
      </c>
      <c r="M23" s="200" t="s">
        <v>435</v>
      </c>
      <c r="N23" s="214"/>
      <c r="O23" s="4164"/>
      <c r="P23" s="4164"/>
      <c r="Q23" s="4164"/>
      <c r="R23" s="4164"/>
      <c r="S23" s="4164"/>
      <c r="T23" s="4164"/>
      <c r="U23" s="4164"/>
      <c r="V23" s="4164"/>
      <c r="W23" s="4164"/>
      <c r="X23" s="1182" t="s">
        <v>436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2320</v>
      </c>
      <c r="B24" s="1191" t="s">
        <v>2321</v>
      </c>
      <c r="C24" s="1191" t="s">
        <v>2322</v>
      </c>
      <c r="D24" s="1191" t="s">
        <v>2323</v>
      </c>
      <c r="E24" s="1191"/>
      <c r="F24" s="3752"/>
      <c r="G24" s="3752" t="e">
        <f>F23&amp;".1"</f>
        <v>#N/A</v>
      </c>
      <c r="I24" s="3907"/>
      <c r="J24" s="3907">
        <v>1</v>
      </c>
      <c r="K24" s="278"/>
      <c r="L24" s="1217" t="e">
        <f>$G$24</f>
        <v>#N/A</v>
      </c>
      <c r="M24" s="201" t="s">
        <v>438</v>
      </c>
      <c r="N24" s="214"/>
      <c r="O24" s="4165"/>
      <c r="P24" s="4166"/>
      <c r="Q24" s="4166"/>
      <c r="R24" s="4166"/>
      <c r="S24" s="4166"/>
      <c r="T24" s="4166"/>
      <c r="U24" s="4166"/>
      <c r="V24" s="4166"/>
      <c r="W24" s="4167"/>
      <c r="X24" s="1182" t="s">
        <v>439</v>
      </c>
      <c r="Z24" s="424"/>
      <c r="AA24" s="424" t="str">
        <f t="shared" si="0"/>
        <v>Группа потребителей</v>
      </c>
      <c r="AB24" s="424"/>
      <c r="AC24" s="424"/>
    </row>
    <row r="25" spans="1:29" ht="11.25" customHeight="1">
      <c r="A25" s="1191" t="s">
        <v>2320</v>
      </c>
      <c r="B25" s="1191" t="s">
        <v>2321</v>
      </c>
      <c r="C25" s="1191" t="s">
        <v>2322</v>
      </c>
      <c r="D25" s="1191" t="s">
        <v>2323</v>
      </c>
      <c r="E25" s="1191"/>
      <c r="F25" s="3752"/>
      <c r="G25" s="3752"/>
      <c r="H25" s="3752" t="e">
        <f>G24&amp;".1"</f>
        <v>#N/A</v>
      </c>
      <c r="I25" s="3907"/>
      <c r="J25" s="3907"/>
      <c r="K25" s="278">
        <v>1</v>
      </c>
      <c r="L25" s="1217" t="e">
        <f>$H$25</f>
        <v>#N/A</v>
      </c>
      <c r="M25" s="1183"/>
      <c r="N25" s="214"/>
      <c r="O25" s="666"/>
      <c r="P25" s="246"/>
      <c r="Q25" s="666"/>
      <c r="R25" s="1181"/>
      <c r="S25" s="3911"/>
      <c r="T25" s="3759" t="s">
        <v>60</v>
      </c>
      <c r="U25" s="3911"/>
      <c r="V25" s="3759" t="s">
        <v>55</v>
      </c>
      <c r="W25" s="246"/>
      <c r="X25" s="3903" t="s">
        <v>441</v>
      </c>
      <c r="Y25" s="435" t="e">
        <f ca="1">STRCHECKDATE(O26:W26)</f>
        <v>#NAME?</v>
      </c>
      <c r="Z25" s="424"/>
      <c r="AA25" s="424" t="str">
        <f t="shared" si="0"/>
        <v/>
      </c>
      <c r="AB25" s="424"/>
      <c r="AC25" s="424"/>
    </row>
    <row r="26" spans="1:29" ht="11.25" customHeight="1">
      <c r="A26" s="1191" t="s">
        <v>2320</v>
      </c>
      <c r="B26" s="1191" t="s">
        <v>2321</v>
      </c>
      <c r="C26" s="1191" t="s">
        <v>2322</v>
      </c>
      <c r="D26" s="1191" t="s">
        <v>2323</v>
      </c>
      <c r="E26" s="1191"/>
      <c r="F26" s="3752"/>
      <c r="G26" s="3752"/>
      <c r="H26" s="3752"/>
      <c r="I26" s="3907"/>
      <c r="J26" s="3907"/>
      <c r="K26" s="278"/>
      <c r="L26" s="1218"/>
      <c r="M26" s="214"/>
      <c r="N26" s="214"/>
      <c r="O26" s="246"/>
      <c r="P26" s="246"/>
      <c r="Q26" s="246"/>
      <c r="R26" s="250" t="str">
        <f>S25&amp;"-"&amp;U25</f>
        <v>-</v>
      </c>
      <c r="S26" s="3912"/>
      <c r="T26" s="3759"/>
      <c r="U26" s="3912"/>
      <c r="V26" s="3759"/>
      <c r="W26" s="246"/>
      <c r="X26" s="3904"/>
      <c r="Z26" s="424"/>
      <c r="AA26" s="424" t="str">
        <f t="shared" si="0"/>
        <v/>
      </c>
      <c r="AB26" s="424"/>
      <c r="AC26" s="424"/>
    </row>
    <row r="27" spans="1:29" ht="15" customHeight="1">
      <c r="A27" s="1191" t="s">
        <v>2320</v>
      </c>
      <c r="B27" s="1191" t="s">
        <v>2321</v>
      </c>
      <c r="C27" s="1191" t="s">
        <v>2322</v>
      </c>
      <c r="D27" s="1191" t="s">
        <v>2323</v>
      </c>
      <c r="E27" s="1191"/>
      <c r="F27" s="3752"/>
      <c r="G27" s="3752"/>
      <c r="I27" s="3907"/>
      <c r="J27" s="3907"/>
      <c r="K27" s="277"/>
      <c r="L27" s="1203"/>
      <c r="M27" s="203" t="s">
        <v>442</v>
      </c>
      <c r="N27" s="291"/>
      <c r="O27" s="291"/>
      <c r="P27" s="291"/>
      <c r="Q27" s="291"/>
      <c r="R27" s="291"/>
      <c r="S27" s="291"/>
      <c r="T27" s="291"/>
      <c r="U27" s="291"/>
      <c r="V27" s="291"/>
      <c r="W27" s="245"/>
      <c r="X27" s="3905"/>
      <c r="Z27" s="424"/>
      <c r="AA27" s="424" t="str">
        <f t="shared" si="0"/>
        <v>Добавить вид теплоносителя (параметры теплоносителя)</v>
      </c>
      <c r="AB27" s="424"/>
      <c r="AC27" s="424"/>
    </row>
    <row r="28" spans="1:29" ht="15" customHeight="1">
      <c r="A28" s="1191" t="s">
        <v>2320</v>
      </c>
      <c r="B28" s="1191" t="s">
        <v>2321</v>
      </c>
      <c r="C28" s="1191" t="s">
        <v>2322</v>
      </c>
      <c r="D28" s="1191" t="s">
        <v>2323</v>
      </c>
      <c r="E28" s="1191"/>
      <c r="F28" s="3752"/>
      <c r="I28" s="3907"/>
      <c r="J28" s="1215"/>
      <c r="K28" s="277"/>
      <c r="L28" s="1203"/>
      <c r="M28" s="202" t="s">
        <v>443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2320</v>
      </c>
      <c r="B29" s="1191" t="s">
        <v>2321</v>
      </c>
      <c r="C29" s="1191" t="s">
        <v>2322</v>
      </c>
      <c r="D29" s="1191" t="s">
        <v>2323</v>
      </c>
      <c r="E29" s="1191"/>
      <c r="F29" s="606"/>
      <c r="G29" s="606"/>
      <c r="H29" s="433"/>
      <c r="I29" s="281"/>
      <c r="J29" s="299"/>
      <c r="K29" s="276"/>
      <c r="L29" s="1203"/>
      <c r="M29" s="288" t="s">
        <v>444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2320</v>
      </c>
      <c r="B30" s="1191" t="s">
        <v>2321</v>
      </c>
      <c r="C30" s="1191" t="s">
        <v>2322</v>
      </c>
      <c r="D30" s="1191"/>
      <c r="E30" s="1191" t="s">
        <v>610</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2320</v>
      </c>
      <c r="B31" s="1191" t="s">
        <v>2321</v>
      </c>
      <c r="C31" s="1191"/>
      <c r="D31" s="1191"/>
      <c r="E31" s="1191" t="s">
        <v>2311</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2324</v>
      </c>
      <c r="B32" s="1191"/>
      <c r="C32" s="1191"/>
      <c r="D32" s="1191"/>
      <c r="E32" s="1191" t="s">
        <v>124</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7" customFormat="1" ht="11.25" customHeight="1">
      <c r="A33" s="1191"/>
      <c r="B33" s="1191"/>
      <c r="C33" s="1191"/>
      <c r="D33" s="1191"/>
      <c r="E33" s="1191" t="s">
        <v>262</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742</v>
      </c>
      <c r="M35" s="3928" t="s">
        <v>2313</v>
      </c>
      <c r="N35" s="3928"/>
      <c r="O35" s="3928"/>
      <c r="P35" s="3928"/>
      <c r="Q35" s="3928"/>
      <c r="R35" s="3928"/>
      <c r="S35" s="3928"/>
      <c r="T35" s="3928"/>
      <c r="U35" s="3928"/>
      <c r="V35" s="3928"/>
      <c r="W35" s="3928"/>
      <c r="X35" s="3928"/>
    </row>
    <row r="36" spans="1:29" ht="104.25" customHeight="1">
      <c r="F36" s="1227"/>
      <c r="G36" s="1227"/>
      <c r="H36" s="433"/>
      <c r="I36" s="1227"/>
      <c r="M36" s="3928" t="s">
        <v>2314</v>
      </c>
      <c r="N36" s="3928"/>
      <c r="O36" s="3928"/>
      <c r="P36" s="3928"/>
      <c r="Q36" s="3928"/>
      <c r="R36" s="3928"/>
      <c r="S36" s="3928"/>
      <c r="T36" s="3928"/>
      <c r="U36" s="3928"/>
      <c r="V36" s="3928"/>
      <c r="W36" s="3928"/>
      <c r="X36" s="3928"/>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7"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4168" t="s">
        <v>2325</v>
      </c>
      <c r="M5" s="4168"/>
      <c r="N5" s="4168"/>
      <c r="O5" s="4168"/>
      <c r="P5" s="4168"/>
      <c r="Q5" s="4168"/>
      <c r="R5" s="4168"/>
      <c r="S5" s="4168"/>
      <c r="T5" s="4168"/>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4169" t="e">
        <f>IF(NameOrPr_ch="",IF(NameOrPr="","",NameOrPr),NameOrPr_ch)</f>
        <v>#NAME?</v>
      </c>
      <c r="P7" s="4170"/>
      <c r="Q7" s="4170"/>
      <c r="R7" s="4170"/>
      <c r="S7" s="4170"/>
      <c r="T7" s="4171"/>
      <c r="U7" s="1162"/>
      <c r="Y7" s="292"/>
      <c r="Z7" s="292"/>
      <c r="AA7" s="292"/>
      <c r="AB7" s="292"/>
      <c r="AC7" s="292"/>
    </row>
    <row r="8" spans="1:29" s="1771" customFormat="1" ht="18.75" customHeight="1">
      <c r="A8" s="292"/>
      <c r="B8" s="292"/>
      <c r="C8" s="292"/>
      <c r="D8" s="292"/>
      <c r="E8" s="292"/>
      <c r="F8" s="292"/>
      <c r="G8" s="292"/>
      <c r="H8" s="292"/>
      <c r="L8" s="193"/>
      <c r="M8" s="209" t="s">
        <v>452</v>
      </c>
      <c r="N8" s="218"/>
      <c r="O8" s="4169" t="e">
        <f>IF(datePr_ch="",IF(datePr="","",datePr),datePr_ch)</f>
        <v>#NAME?</v>
      </c>
      <c r="P8" s="4170"/>
      <c r="Q8" s="4170"/>
      <c r="R8" s="4170"/>
      <c r="S8" s="4170"/>
      <c r="T8" s="4171"/>
      <c r="U8" s="1162"/>
      <c r="Y8" s="292"/>
      <c r="Z8" s="292"/>
      <c r="AA8" s="292"/>
      <c r="AB8" s="292"/>
      <c r="AC8" s="292"/>
    </row>
    <row r="9" spans="1:29" s="1771" customFormat="1" ht="18.75" customHeight="1">
      <c r="A9" s="292"/>
      <c r="B9" s="292"/>
      <c r="C9" s="292"/>
      <c r="D9" s="292"/>
      <c r="E9" s="292"/>
      <c r="F9" s="292"/>
      <c r="G9" s="292"/>
      <c r="H9" s="292"/>
      <c r="L9" s="244"/>
      <c r="M9" s="209" t="s">
        <v>453</v>
      </c>
      <c r="N9" s="218"/>
      <c r="O9" s="4169" t="e">
        <f>IF(numberPr_ch="",IF(numberPr="","",numberPr),numberPr_ch)</f>
        <v>#NAME?</v>
      </c>
      <c r="P9" s="4170"/>
      <c r="Q9" s="4170"/>
      <c r="R9" s="4170"/>
      <c r="S9" s="4170"/>
      <c r="T9" s="4171"/>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4169" t="e">
        <f>IF(IstPub_ch="",IF(IstPub="","",IstPub),IstPub_ch)</f>
        <v>#NAME?</v>
      </c>
      <c r="P10" s="4170"/>
      <c r="Q10" s="4170"/>
      <c r="R10" s="4170"/>
      <c r="S10" s="4170"/>
      <c r="T10" s="4171"/>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2326</v>
      </c>
      <c r="R11" s="292" t="s">
        <v>2327</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4162"/>
      <c r="M12" s="4162"/>
      <c r="N12" s="1129"/>
      <c r="O12" s="248"/>
      <c r="P12" s="248"/>
      <c r="Q12" s="248"/>
      <c r="R12" s="248"/>
      <c r="S12" s="248"/>
      <c r="T12" s="248"/>
      <c r="U12" s="1165"/>
      <c r="V12" s="194" t="s">
        <v>456</v>
      </c>
      <c r="Y12" s="292"/>
      <c r="Z12" s="292"/>
      <c r="AA12" s="292"/>
      <c r="AB12" s="292"/>
      <c r="AC12" s="292"/>
    </row>
    <row r="13" spans="1:29" ht="14.25" customHeight="1">
      <c r="J13" s="300"/>
      <c r="K13" s="300"/>
      <c r="L13" s="286"/>
      <c r="M13" s="286"/>
      <c r="N13" s="286"/>
      <c r="O13" s="1168"/>
      <c r="P13" s="1168"/>
      <c r="Q13" s="4172"/>
      <c r="R13" s="4172"/>
      <c r="S13" s="4172"/>
      <c r="T13" s="4172"/>
      <c r="U13" s="4172"/>
      <c r="V13" s="4172"/>
    </row>
    <row r="14" spans="1:29" ht="14.25" customHeight="1">
      <c r="J14" s="300"/>
      <c r="K14" s="300"/>
      <c r="L14" s="3778" t="s">
        <v>329</v>
      </c>
      <c r="M14" s="3778"/>
      <c r="N14" s="3778"/>
      <c r="O14" s="3778"/>
      <c r="P14" s="3778"/>
      <c r="Q14" s="3778"/>
      <c r="R14" s="3778"/>
      <c r="S14" s="3778"/>
      <c r="T14" s="3778"/>
      <c r="U14" s="3778"/>
      <c r="V14" s="3778"/>
      <c r="W14" s="3778"/>
      <c r="X14" s="3778" t="s">
        <v>330</v>
      </c>
    </row>
    <row r="15" spans="1:29" ht="14.25" customHeight="1">
      <c r="J15" s="300"/>
      <c r="K15" s="300"/>
      <c r="L15" s="3868" t="s">
        <v>86</v>
      </c>
      <c r="M15" s="3868" t="s">
        <v>2328</v>
      </c>
      <c r="N15" s="1128"/>
      <c r="O15" s="3868" t="s">
        <v>2329</v>
      </c>
      <c r="P15" s="3867" t="s">
        <v>2330</v>
      </c>
      <c r="Q15" s="3867" t="s">
        <v>2310</v>
      </c>
      <c r="R15" s="3867"/>
      <c r="S15" s="3867"/>
      <c r="T15" s="3867"/>
      <c r="U15" s="3867"/>
      <c r="V15" s="3868" t="s">
        <v>459</v>
      </c>
      <c r="W15" s="4173" t="s">
        <v>1227</v>
      </c>
      <c r="X15" s="3778"/>
    </row>
    <row r="16" spans="1:29" ht="25.5" customHeight="1">
      <c r="J16" s="300"/>
      <c r="K16" s="300"/>
      <c r="L16" s="3868"/>
      <c r="M16" s="3868"/>
      <c r="N16" s="1128"/>
      <c r="O16" s="3868"/>
      <c r="P16" s="3867"/>
      <c r="Q16" s="3867" t="s">
        <v>2331</v>
      </c>
      <c r="R16" s="3867"/>
      <c r="S16" s="3778" t="s">
        <v>477</v>
      </c>
      <c r="T16" s="3778"/>
      <c r="U16" s="3778"/>
      <c r="V16" s="3868"/>
      <c r="W16" s="4173"/>
      <c r="X16" s="3778"/>
    </row>
    <row r="17" spans="1:29" ht="14.25" customHeight="1">
      <c r="J17" s="300"/>
      <c r="K17" s="300"/>
      <c r="L17" s="3868"/>
      <c r="M17" s="3868"/>
      <c r="N17" s="1128"/>
      <c r="O17" s="3868"/>
      <c r="P17" s="3867"/>
      <c r="Q17" s="1128" t="s">
        <v>506</v>
      </c>
      <c r="R17" s="1128" t="s">
        <v>507</v>
      </c>
      <c r="S17" s="1132" t="s">
        <v>475</v>
      </c>
      <c r="T17" s="3806" t="s">
        <v>476</v>
      </c>
      <c r="U17" s="3806"/>
      <c r="V17" s="3868"/>
      <c r="W17" s="4173"/>
      <c r="X17" s="3778"/>
    </row>
    <row r="18" spans="1:29" ht="14.25" customHeight="1">
      <c r="J18" s="300"/>
      <c r="K18" s="206">
        <v>1</v>
      </c>
      <c r="L18" s="374" t="s">
        <v>129</v>
      </c>
      <c r="M18" s="374" t="s">
        <v>102</v>
      </c>
      <c r="N18" s="1164" t="s">
        <v>102</v>
      </c>
      <c r="O18" s="1130">
        <f t="shared" ref="O18:T18" ca="1" si="0">OFFSET(O18,0,-1)+1</f>
        <v>3</v>
      </c>
      <c r="P18" s="1130">
        <f t="shared" ca="1" si="0"/>
        <v>4</v>
      </c>
      <c r="Q18" s="1130">
        <f t="shared" ca="1" si="0"/>
        <v>5</v>
      </c>
      <c r="R18" s="1130">
        <f t="shared" ca="1" si="0"/>
        <v>6</v>
      </c>
      <c r="S18" s="1130">
        <f t="shared" ca="1" si="0"/>
        <v>7</v>
      </c>
      <c r="T18" s="4174">
        <f t="shared" ca="1" si="0"/>
        <v>8</v>
      </c>
      <c r="U18" s="4174"/>
      <c r="V18" s="1130">
        <f ca="1">OFFSET(V18,0,-2)+1</f>
        <v>9</v>
      </c>
      <c r="X18" s="1130">
        <f ca="1">OFFSET(X18,0,-2)+1</f>
        <v>10</v>
      </c>
    </row>
    <row r="19" spans="1:29" ht="22.5" customHeight="1">
      <c r="A19" s="3907">
        <v>1</v>
      </c>
      <c r="B19" s="442"/>
      <c r="C19" s="442"/>
      <c r="D19" s="442"/>
      <c r="E19" s="442"/>
      <c r="F19" s="442"/>
      <c r="G19" s="307"/>
      <c r="H19" s="307"/>
      <c r="I19" s="282"/>
      <c r="J19" s="300"/>
      <c r="K19" s="300"/>
      <c r="L19" s="1137" t="e">
        <f ca="1">MERGEVALUE(A19)</f>
        <v>#NAME?</v>
      </c>
      <c r="M19" s="212" t="s">
        <v>141</v>
      </c>
      <c r="N19" s="231"/>
      <c r="O19" s="4088"/>
      <c r="P19" s="4088"/>
      <c r="Q19" s="4088"/>
      <c r="R19" s="4088"/>
      <c r="S19" s="4088"/>
      <c r="T19" s="4088"/>
      <c r="U19" s="4088"/>
      <c r="V19" s="4088"/>
      <c r="W19" s="4088"/>
      <c r="X19" s="266" t="s">
        <v>427</v>
      </c>
    </row>
    <row r="20" spans="1:29" ht="22.5" customHeight="1">
      <c r="A20" s="3907"/>
      <c r="B20" s="3907">
        <v>1</v>
      </c>
      <c r="C20" s="442"/>
      <c r="D20" s="442"/>
      <c r="E20" s="442"/>
      <c r="F20" s="442"/>
      <c r="G20" s="309"/>
      <c r="H20" s="1131"/>
      <c r="I20" s="284"/>
      <c r="J20" s="1138"/>
      <c r="K20" s="1060"/>
      <c r="L20" s="1137" t="e">
        <f ca="1">MERGEVALUE(A20)&amp;"."&amp;MERGEVALUE(B20)</f>
        <v>#NAME?</v>
      </c>
      <c r="M20" s="224" t="s">
        <v>428</v>
      </c>
      <c r="N20" s="231"/>
      <c r="O20" s="4088"/>
      <c r="P20" s="4088"/>
      <c r="Q20" s="4088"/>
      <c r="R20" s="4088"/>
      <c r="S20" s="4088"/>
      <c r="T20" s="4088"/>
      <c r="U20" s="4088"/>
      <c r="V20" s="4088"/>
      <c r="W20" s="4088"/>
      <c r="X20" s="266" t="s">
        <v>429</v>
      </c>
    </row>
    <row r="21" spans="1:29" ht="22.5" customHeight="1">
      <c r="A21" s="3907"/>
      <c r="B21" s="3907"/>
      <c r="C21" s="3907">
        <v>1</v>
      </c>
      <c r="D21" s="442"/>
      <c r="E21" s="442"/>
      <c r="F21" s="442"/>
      <c r="G21" s="309"/>
      <c r="H21" s="1131"/>
      <c r="I21" s="285"/>
      <c r="J21" s="1138"/>
      <c r="K21" s="1060"/>
      <c r="L21" s="1137" t="e">
        <f ca="1">MERGEVALUE(A21)&amp;"."&amp;MERGEVALUE(B21)&amp;"."&amp;MERGEVALUE(C21)</f>
        <v>#NAME?</v>
      </c>
      <c r="M21" s="225" t="s">
        <v>430</v>
      </c>
      <c r="N21" s="231"/>
      <c r="O21" s="4088"/>
      <c r="P21" s="4088"/>
      <c r="Q21" s="4088"/>
      <c r="R21" s="4088"/>
      <c r="S21" s="4088"/>
      <c r="T21" s="4088"/>
      <c r="U21" s="4088"/>
      <c r="V21" s="4088"/>
      <c r="W21" s="4088"/>
      <c r="X21" s="266" t="s">
        <v>431</v>
      </c>
    </row>
    <row r="22" spans="1:29" ht="14.25" customHeight="1">
      <c r="A22" s="3907"/>
      <c r="B22" s="3907"/>
      <c r="C22" s="3907"/>
      <c r="D22" s="3907">
        <v>1</v>
      </c>
      <c r="E22" s="442"/>
      <c r="F22" s="442"/>
      <c r="G22" s="309"/>
      <c r="H22" s="1131"/>
      <c r="I22" s="285"/>
      <c r="J22" s="283"/>
      <c r="K22" s="1060"/>
      <c r="L22" s="1137" t="e">
        <f ca="1">MERGEVALUE(A22)&amp;"."&amp;MERGEVALUE(B22)&amp;"."&amp;MERGEVALUE(C22)&amp;"."&amp;MERGEVALUE(D22)</f>
        <v>#NAME?</v>
      </c>
      <c r="M22" s="226" t="s">
        <v>432</v>
      </c>
      <c r="N22" s="231"/>
      <c r="O22" s="4088"/>
      <c r="P22" s="4088"/>
      <c r="Q22" s="4088"/>
      <c r="R22" s="4088"/>
      <c r="S22" s="4088"/>
      <c r="T22" s="4088"/>
      <c r="U22" s="4088"/>
      <c r="V22" s="4088"/>
      <c r="W22" s="4088"/>
      <c r="X22" s="259" t="s">
        <v>2332</v>
      </c>
    </row>
    <row r="23" spans="1:29" ht="22.5" customHeight="1">
      <c r="A23" s="3907"/>
      <c r="B23" s="3907"/>
      <c r="C23" s="3907"/>
      <c r="D23" s="3907"/>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3823" t="s">
        <v>2333</v>
      </c>
      <c r="Y23" s="435" t="e">
        <f ca="1">STRCHECKDATETWO(N23:W23)</f>
        <v>#NAME?</v>
      </c>
    </row>
    <row r="24" spans="1:29" ht="14.25" hidden="1" customHeight="1">
      <c r="A24" s="3907"/>
      <c r="B24" s="3907"/>
      <c r="C24" s="3907"/>
      <c r="D24" s="3907"/>
      <c r="E24" s="442"/>
      <c r="F24" s="442"/>
      <c r="G24" s="309"/>
      <c r="H24" s="1131"/>
      <c r="I24" s="285"/>
      <c r="J24" s="283"/>
      <c r="K24" s="376"/>
      <c r="L24" s="1136"/>
      <c r="M24" s="227"/>
      <c r="N24" s="214"/>
      <c r="O24" s="214"/>
      <c r="P24" s="214"/>
      <c r="Q24" s="214"/>
      <c r="R24" s="250" t="str">
        <f>S23&amp;"-"&amp;U23</f>
        <v>-</v>
      </c>
      <c r="S24" s="235"/>
      <c r="T24" s="232"/>
      <c r="U24" s="235"/>
      <c r="V24" s="214"/>
      <c r="W24" s="1172"/>
      <c r="X24" s="3824"/>
    </row>
    <row r="25" spans="1:29" ht="14.25" customHeight="1">
      <c r="A25" s="3907"/>
      <c r="B25" s="3907"/>
      <c r="C25" s="3907"/>
      <c r="D25" s="3907"/>
      <c r="E25" s="442"/>
      <c r="F25" s="442"/>
      <c r="G25" s="309"/>
      <c r="H25" s="1131"/>
      <c r="I25" s="285"/>
      <c r="J25" s="283"/>
      <c r="K25" s="376"/>
      <c r="L25" s="223"/>
      <c r="M25" s="288" t="s">
        <v>495</v>
      </c>
      <c r="N25" s="287"/>
      <c r="O25" s="243"/>
      <c r="P25" s="243"/>
      <c r="Q25" s="243"/>
      <c r="R25" s="243"/>
      <c r="S25" s="247"/>
      <c r="T25" s="291"/>
      <c r="U25" s="290"/>
      <c r="V25" s="287"/>
      <c r="W25" s="287"/>
      <c r="X25" s="3825"/>
    </row>
    <row r="26" spans="1:29" s="1827" customFormat="1" ht="14.25" customHeight="1">
      <c r="A26" s="3907"/>
      <c r="B26" s="3907"/>
      <c r="C26" s="3907"/>
      <c r="D26" s="308"/>
      <c r="E26" s="308"/>
      <c r="F26" s="308"/>
      <c r="G26" s="309"/>
      <c r="H26" s="308"/>
      <c r="I26" s="285"/>
      <c r="J26" s="299"/>
      <c r="K26" s="301"/>
      <c r="L26" s="223"/>
      <c r="M26" s="296" t="s">
        <v>610</v>
      </c>
      <c r="N26" s="287"/>
      <c r="O26" s="243"/>
      <c r="P26" s="243"/>
      <c r="Q26" s="243"/>
      <c r="R26" s="243"/>
      <c r="S26" s="247"/>
      <c r="T26" s="291"/>
      <c r="U26" s="290"/>
      <c r="V26" s="287"/>
      <c r="W26" s="291"/>
      <c r="X26" s="1173"/>
      <c r="Y26" s="306"/>
      <c r="Z26" s="306"/>
      <c r="AA26" s="306"/>
      <c r="AB26" s="306"/>
      <c r="AC26" s="306"/>
    </row>
    <row r="27" spans="1:29" s="1827" customFormat="1" ht="14.25" customHeight="1">
      <c r="A27" s="3907"/>
      <c r="B27" s="3907"/>
      <c r="C27" s="308"/>
      <c r="D27" s="308"/>
      <c r="E27" s="308"/>
      <c r="F27" s="308"/>
      <c r="G27" s="309"/>
      <c r="H27" s="308"/>
      <c r="I27" s="281"/>
      <c r="J27" s="299"/>
      <c r="K27" s="301"/>
      <c r="L27" s="223"/>
      <c r="M27" s="287" t="s">
        <v>2311</v>
      </c>
      <c r="N27" s="287"/>
      <c r="O27" s="243"/>
      <c r="P27" s="243"/>
      <c r="Q27" s="243"/>
      <c r="R27" s="243"/>
      <c r="S27" s="247"/>
      <c r="T27" s="291"/>
      <c r="U27" s="290"/>
      <c r="V27" s="287"/>
      <c r="W27" s="291"/>
      <c r="X27" s="245"/>
      <c r="Y27" s="306"/>
      <c r="Z27" s="306"/>
      <c r="AA27" s="306"/>
      <c r="AB27" s="306"/>
      <c r="AC27" s="306"/>
    </row>
    <row r="28" spans="1:29" s="1827" customFormat="1" ht="14.25" customHeight="1">
      <c r="A28" s="3907"/>
      <c r="B28" s="308"/>
      <c r="C28" s="308"/>
      <c r="D28" s="308"/>
      <c r="E28" s="308"/>
      <c r="F28" s="308"/>
      <c r="G28" s="309"/>
      <c r="H28" s="308"/>
      <c r="I28" s="281"/>
      <c r="J28" s="299"/>
      <c r="K28" s="301"/>
      <c r="L28" s="223"/>
      <c r="M28" s="344" t="s">
        <v>124</v>
      </c>
      <c r="N28" s="287"/>
      <c r="O28" s="243"/>
      <c r="P28" s="243"/>
      <c r="Q28" s="243"/>
      <c r="R28" s="243"/>
      <c r="S28" s="247"/>
      <c r="T28" s="291"/>
      <c r="U28" s="290"/>
      <c r="V28" s="287"/>
      <c r="W28" s="291"/>
      <c r="X28" s="245"/>
      <c r="Y28" s="306"/>
      <c r="Z28" s="306"/>
      <c r="AA28" s="306"/>
      <c r="AB28" s="306"/>
      <c r="AC28" s="306"/>
    </row>
    <row r="29" spans="1:29" s="1827" customFormat="1" ht="14.25" customHeight="1">
      <c r="G29" s="289"/>
      <c r="H29" s="301"/>
      <c r="I29" s="298"/>
      <c r="J29" s="299"/>
      <c r="L29" s="223"/>
      <c r="M29" s="345" t="s">
        <v>262</v>
      </c>
      <c r="N29" s="287"/>
      <c r="O29" s="243"/>
      <c r="P29" s="243"/>
      <c r="Q29" s="243"/>
      <c r="R29" s="243"/>
      <c r="S29" s="247"/>
      <c r="T29" s="291"/>
      <c r="U29" s="290"/>
      <c r="V29" s="287"/>
      <c r="W29" s="291"/>
      <c r="X29" s="245"/>
      <c r="Y29" s="306"/>
      <c r="Z29" s="306"/>
      <c r="AA29" s="306"/>
      <c r="AB29" s="306"/>
      <c r="AC29" s="306"/>
    </row>
    <row r="31" spans="1:29" ht="14.25" customHeight="1">
      <c r="L31" s="1">
        <v>1</v>
      </c>
      <c r="M31" s="3928" t="s">
        <v>2334</v>
      </c>
      <c r="N31" s="3928"/>
      <c r="O31" s="3928"/>
      <c r="P31" s="3928"/>
      <c r="Q31" s="3928"/>
      <c r="R31" s="3928"/>
      <c r="S31" s="3928"/>
      <c r="T31" s="3928"/>
      <c r="U31" s="3928"/>
      <c r="V31" s="3928"/>
      <c r="W31" s="3928"/>
      <c r="X31" s="3928"/>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2335</v>
      </c>
      <c r="B1" s="679" t="s">
        <v>2336</v>
      </c>
      <c r="C1" s="4175" t="s">
        <v>2337</v>
      </c>
      <c r="D1" s="4176"/>
      <c r="E1" s="750" t="s">
        <v>2338</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1833</v>
      </c>
      <c r="C4" s="668"/>
      <c r="D4" s="679"/>
      <c r="E4" s="750"/>
    </row>
    <row r="5" spans="1:5" ht="11.25" customHeight="1">
      <c r="A5" s="695"/>
      <c r="B5" s="681" t="s">
        <v>1827</v>
      </c>
      <c r="C5" s="671" t="s">
        <v>2075</v>
      </c>
      <c r="D5" s="794" t="s">
        <v>2339</v>
      </c>
      <c r="E5" s="750"/>
    </row>
    <row r="6" spans="1:5" s="1827" customFormat="1" ht="11.25" customHeight="1">
      <c r="A6" s="682"/>
      <c r="B6" s="681" t="s">
        <v>1837</v>
      </c>
      <c r="C6" s="668"/>
      <c r="D6" s="679"/>
      <c r="E6" s="750"/>
    </row>
    <row r="7" spans="1:5" ht="11.25" customHeight="1">
      <c r="A7" s="670"/>
      <c r="B7" s="681" t="s">
        <v>1845</v>
      </c>
      <c r="C7" s="668"/>
      <c r="D7" s="679"/>
      <c r="E7" s="750"/>
    </row>
    <row r="8" spans="1:5" ht="11.25" customHeight="1">
      <c r="A8" s="671"/>
      <c r="B8" s="681" t="s">
        <v>1840</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1827"/>
    <col min="3" max="3" width="20.7109375" style="1827" customWidth="1"/>
    <col min="4" max="4" width="25.140625" style="1827" customWidth="1"/>
    <col min="5" max="9" width="9.140625" style="1827"/>
  </cols>
  <sheetData>
    <row r="1" spans="1:9" ht="11.25" customHeight="1">
      <c r="A1" t="s">
        <v>2340</v>
      </c>
      <c r="B1" t="s">
        <v>2341</v>
      </c>
      <c r="C1" t="s">
        <v>2342</v>
      </c>
      <c r="D1" t="s">
        <v>2343</v>
      </c>
      <c r="E1" t="s">
        <v>2344</v>
      </c>
      <c r="F1" t="s">
        <v>2345</v>
      </c>
      <c r="G1" t="s">
        <v>2346</v>
      </c>
      <c r="H1" t="s">
        <v>2347</v>
      </c>
      <c r="I1" t="s">
        <v>2348</v>
      </c>
    </row>
    <row r="2" spans="1:9" ht="11.25" customHeight="1">
      <c r="A2" s="1827" t="s">
        <v>2349</v>
      </c>
      <c r="B2" s="1827" t="s">
        <v>14</v>
      </c>
      <c r="C2" s="1827" t="s">
        <v>2350</v>
      </c>
      <c r="D2" s="1827" t="s">
        <v>2351</v>
      </c>
      <c r="E2" s="1827" t="s">
        <v>2352</v>
      </c>
      <c r="F2" s="1827" t="s">
        <v>2353</v>
      </c>
      <c r="G2" s="1827" t="s">
        <v>2354</v>
      </c>
      <c r="H2" s="1827" t="s">
        <v>24</v>
      </c>
      <c r="I2" s="1827" t="s">
        <v>746</v>
      </c>
    </row>
    <row r="3" spans="1:9" ht="11.25" customHeight="1">
      <c r="A3" s="1827" t="s">
        <v>2349</v>
      </c>
      <c r="B3" s="1827" t="s">
        <v>14</v>
      </c>
      <c r="C3" s="1827" t="s">
        <v>2355</v>
      </c>
      <c r="D3" s="1827" t="s">
        <v>2356</v>
      </c>
      <c r="E3" s="1827" t="s">
        <v>2357</v>
      </c>
      <c r="F3" s="1827" t="s">
        <v>2358</v>
      </c>
      <c r="G3" s="1827" t="s">
        <v>2359</v>
      </c>
      <c r="H3" s="1827" t="s">
        <v>24</v>
      </c>
      <c r="I3" s="1827" t="s">
        <v>746</v>
      </c>
    </row>
    <row r="4" spans="1:9" ht="11.25" customHeight="1">
      <c r="A4" s="1827" t="s">
        <v>2349</v>
      </c>
      <c r="B4" s="1827" t="s">
        <v>14</v>
      </c>
      <c r="C4" s="1827" t="s">
        <v>2360</v>
      </c>
      <c r="D4" s="1827" t="s">
        <v>2361</v>
      </c>
      <c r="E4" s="1827" t="s">
        <v>2362</v>
      </c>
      <c r="F4" s="1827" t="s">
        <v>2358</v>
      </c>
      <c r="G4" s="1827" t="s">
        <v>2363</v>
      </c>
      <c r="H4" s="1827" t="s">
        <v>24</v>
      </c>
      <c r="I4" s="1827" t="s">
        <v>746</v>
      </c>
    </row>
    <row r="5" spans="1:9" ht="11.25" customHeight="1">
      <c r="A5" s="1827" t="s">
        <v>2349</v>
      </c>
      <c r="B5" s="1827" t="s">
        <v>14</v>
      </c>
      <c r="C5" s="1827" t="s">
        <v>2364</v>
      </c>
      <c r="D5" s="1827" t="s">
        <v>2365</v>
      </c>
      <c r="E5" s="1827" t="s">
        <v>2366</v>
      </c>
      <c r="F5" s="1827" t="s">
        <v>2367</v>
      </c>
      <c r="G5" s="1827" t="s">
        <v>2368</v>
      </c>
      <c r="H5" s="1827" t="s">
        <v>24</v>
      </c>
      <c r="I5" s="1827" t="s">
        <v>746</v>
      </c>
    </row>
    <row r="6" spans="1:9" ht="11.25" customHeight="1">
      <c r="A6" s="1827" t="s">
        <v>2349</v>
      </c>
      <c r="B6" s="1827" t="s">
        <v>14</v>
      </c>
      <c r="C6" s="1827" t="s">
        <v>2369</v>
      </c>
      <c r="D6" s="1827" t="s">
        <v>2370</v>
      </c>
      <c r="E6" s="1827" t="s">
        <v>2371</v>
      </c>
      <c r="F6" s="1827" t="s">
        <v>2372</v>
      </c>
      <c r="G6" s="1827" t="s">
        <v>24</v>
      </c>
      <c r="H6" s="1827" t="s">
        <v>24</v>
      </c>
      <c r="I6" s="1827" t="s">
        <v>746</v>
      </c>
    </row>
    <row r="7" spans="1:9" ht="11.25" customHeight="1">
      <c r="A7" s="1827" t="s">
        <v>2349</v>
      </c>
      <c r="B7" s="1827" t="s">
        <v>14</v>
      </c>
      <c r="C7" s="1827" t="s">
        <v>2373</v>
      </c>
      <c r="D7" s="1827" t="s">
        <v>2374</v>
      </c>
      <c r="E7" s="1827" t="s">
        <v>2375</v>
      </c>
      <c r="F7" s="1827" t="s">
        <v>2376</v>
      </c>
      <c r="G7" s="1827" t="s">
        <v>24</v>
      </c>
      <c r="H7" s="1827" t="s">
        <v>24</v>
      </c>
      <c r="I7" s="1827" t="s">
        <v>746</v>
      </c>
    </row>
    <row r="8" spans="1:9" ht="11.25" customHeight="1">
      <c r="A8" s="1827" t="s">
        <v>2349</v>
      </c>
      <c r="B8" s="1827" t="s">
        <v>14</v>
      </c>
      <c r="C8" s="1827" t="s">
        <v>2377</v>
      </c>
      <c r="D8" s="1827" t="s">
        <v>2378</v>
      </c>
      <c r="E8" s="1827" t="s">
        <v>2379</v>
      </c>
      <c r="F8" s="1827" t="s">
        <v>2380</v>
      </c>
      <c r="G8" s="1827" t="s">
        <v>2381</v>
      </c>
      <c r="H8" s="1827" t="s">
        <v>24</v>
      </c>
      <c r="I8" s="1827" t="s">
        <v>746</v>
      </c>
    </row>
    <row r="9" spans="1:9" ht="11.25" customHeight="1">
      <c r="A9" s="1827" t="s">
        <v>2349</v>
      </c>
      <c r="B9" s="1827" t="s">
        <v>14</v>
      </c>
      <c r="C9" s="1827" t="s">
        <v>2382</v>
      </c>
      <c r="D9" s="1827" t="s">
        <v>2383</v>
      </c>
      <c r="E9" s="1827" t="s">
        <v>2384</v>
      </c>
      <c r="F9" s="1827" t="s">
        <v>2353</v>
      </c>
      <c r="G9" s="1827" t="s">
        <v>2385</v>
      </c>
      <c r="H9" s="1827" t="s">
        <v>24</v>
      </c>
      <c r="I9" s="1827" t="s">
        <v>746</v>
      </c>
    </row>
    <row r="10" spans="1:9" ht="11.25" customHeight="1">
      <c r="A10" s="1827" t="s">
        <v>2349</v>
      </c>
      <c r="B10" s="1827" t="s">
        <v>14</v>
      </c>
      <c r="C10" s="1827" t="s">
        <v>2386</v>
      </c>
      <c r="D10" s="1827" t="s">
        <v>2387</v>
      </c>
      <c r="E10" s="1827" t="s">
        <v>2388</v>
      </c>
      <c r="F10" s="1827" t="s">
        <v>2358</v>
      </c>
      <c r="G10" s="1827" t="s">
        <v>24</v>
      </c>
      <c r="H10" s="1827" t="s">
        <v>24</v>
      </c>
      <c r="I10" s="1827" t="s">
        <v>746</v>
      </c>
    </row>
    <row r="11" spans="1:9" ht="11.25" customHeight="1">
      <c r="A11" s="1827" t="s">
        <v>2349</v>
      </c>
      <c r="B11" s="1827" t="s">
        <v>14</v>
      </c>
      <c r="C11" s="1827" t="s">
        <v>2389</v>
      </c>
      <c r="D11" s="1827" t="s">
        <v>2390</v>
      </c>
      <c r="E11" s="1827" t="s">
        <v>2391</v>
      </c>
      <c r="F11" s="1827" t="s">
        <v>50</v>
      </c>
      <c r="G11" s="1827" t="s">
        <v>2392</v>
      </c>
      <c r="H11" s="1827" t="s">
        <v>24</v>
      </c>
      <c r="I11" s="1827" t="s">
        <v>746</v>
      </c>
    </row>
    <row r="12" spans="1:9" ht="11.25" customHeight="1">
      <c r="A12" s="1827" t="s">
        <v>2349</v>
      </c>
      <c r="B12" s="1827" t="s">
        <v>14</v>
      </c>
      <c r="C12" s="1827" t="s">
        <v>2393</v>
      </c>
      <c r="D12" s="1827" t="s">
        <v>2394</v>
      </c>
      <c r="E12" s="1827" t="s">
        <v>2395</v>
      </c>
      <c r="F12" s="1827" t="s">
        <v>2396</v>
      </c>
      <c r="G12" s="1827" t="s">
        <v>2397</v>
      </c>
      <c r="H12" s="1827" t="s">
        <v>24</v>
      </c>
      <c r="I12" s="1827" t="s">
        <v>746</v>
      </c>
    </row>
    <row r="13" spans="1:9" ht="11.25" customHeight="1">
      <c r="A13" s="1827" t="s">
        <v>2349</v>
      </c>
      <c r="B13" s="1827" t="s">
        <v>14</v>
      </c>
      <c r="C13" s="1827" t="s">
        <v>2398</v>
      </c>
      <c r="D13" s="1827" t="s">
        <v>2399</v>
      </c>
      <c r="E13" s="1827" t="s">
        <v>2400</v>
      </c>
      <c r="F13" s="1827" t="s">
        <v>2401</v>
      </c>
      <c r="G13" s="1827" t="s">
        <v>2402</v>
      </c>
      <c r="H13" s="1827" t="s">
        <v>24</v>
      </c>
      <c r="I13" s="1827" t="s">
        <v>746</v>
      </c>
    </row>
    <row r="14" spans="1:9" ht="11.25" customHeight="1">
      <c r="A14" s="1827" t="s">
        <v>2349</v>
      </c>
      <c r="B14" s="1827" t="s">
        <v>14</v>
      </c>
      <c r="C14" s="1827" t="s">
        <v>2403</v>
      </c>
      <c r="D14" s="1827" t="s">
        <v>2404</v>
      </c>
      <c r="E14" s="1827" t="s">
        <v>2405</v>
      </c>
      <c r="F14" s="1827" t="s">
        <v>2406</v>
      </c>
      <c r="G14" s="1827" t="s">
        <v>24</v>
      </c>
      <c r="H14" s="1827" t="s">
        <v>24</v>
      </c>
      <c r="I14" s="1827" t="s">
        <v>746</v>
      </c>
    </row>
    <row r="15" spans="1:9" ht="11.25" customHeight="1">
      <c r="A15" s="1827" t="s">
        <v>2349</v>
      </c>
      <c r="B15" s="1827" t="s">
        <v>14</v>
      </c>
      <c r="C15" s="1827" t="s">
        <v>2407</v>
      </c>
      <c r="D15" s="1827" t="s">
        <v>2408</v>
      </c>
      <c r="E15" s="1827" t="s">
        <v>2409</v>
      </c>
      <c r="F15" s="1827" t="s">
        <v>2410</v>
      </c>
      <c r="G15" s="1827" t="s">
        <v>2411</v>
      </c>
      <c r="H15" s="1827" t="s">
        <v>24</v>
      </c>
      <c r="I15" s="1827" t="s">
        <v>746</v>
      </c>
    </row>
    <row r="16" spans="1:9" ht="11.25" customHeight="1">
      <c r="A16" s="1827" t="s">
        <v>2349</v>
      </c>
      <c r="B16" s="1827" t="s">
        <v>14</v>
      </c>
      <c r="C16" s="1827" t="s">
        <v>2412</v>
      </c>
      <c r="D16" s="1827" t="s">
        <v>2413</v>
      </c>
      <c r="E16" s="1827" t="s">
        <v>2414</v>
      </c>
      <c r="F16" s="1827" t="s">
        <v>2415</v>
      </c>
      <c r="G16" s="1827" t="s">
        <v>2416</v>
      </c>
      <c r="H16" s="1827" t="s">
        <v>24</v>
      </c>
      <c r="I16" s="1827" t="s">
        <v>746</v>
      </c>
    </row>
    <row r="17" spans="1:9" ht="11.25" customHeight="1">
      <c r="A17" s="1827" t="s">
        <v>2349</v>
      </c>
      <c r="B17" s="1827" t="s">
        <v>14</v>
      </c>
      <c r="C17" s="1827" t="s">
        <v>2417</v>
      </c>
      <c r="D17" s="1827" t="s">
        <v>2418</v>
      </c>
      <c r="E17" s="1827" t="s">
        <v>2419</v>
      </c>
      <c r="F17" s="1827" t="s">
        <v>2380</v>
      </c>
      <c r="G17" s="1827" t="s">
        <v>2420</v>
      </c>
      <c r="H17" s="1827" t="s">
        <v>24</v>
      </c>
      <c r="I17" s="1827" t="s">
        <v>746</v>
      </c>
    </row>
    <row r="18" spans="1:9" ht="11.25" customHeight="1">
      <c r="A18" s="1827" t="s">
        <v>2349</v>
      </c>
      <c r="B18" s="1827" t="s">
        <v>14</v>
      </c>
      <c r="C18" s="1827" t="s">
        <v>2421</v>
      </c>
      <c r="D18" s="1827" t="s">
        <v>2422</v>
      </c>
      <c r="E18" s="1827" t="s">
        <v>2423</v>
      </c>
      <c r="F18" s="1827" t="s">
        <v>2367</v>
      </c>
      <c r="G18" s="1827" t="s">
        <v>2424</v>
      </c>
      <c r="H18" s="1827" t="s">
        <v>24</v>
      </c>
      <c r="I18" s="1827" t="s">
        <v>746</v>
      </c>
    </row>
    <row r="19" spans="1:9" ht="11.25" customHeight="1">
      <c r="A19" s="1827" t="s">
        <v>2349</v>
      </c>
      <c r="B19" s="1827" t="s">
        <v>14</v>
      </c>
      <c r="C19" s="1827" t="s">
        <v>2425</v>
      </c>
      <c r="D19" s="1827" t="s">
        <v>2426</v>
      </c>
      <c r="E19" s="1827" t="s">
        <v>2427</v>
      </c>
      <c r="F19" s="1827" t="s">
        <v>50</v>
      </c>
      <c r="G19" s="1827" t="s">
        <v>2428</v>
      </c>
      <c r="H19" s="1827" t="s">
        <v>24</v>
      </c>
      <c r="I19" s="1827" t="s">
        <v>746</v>
      </c>
    </row>
    <row r="20" spans="1:9" ht="11.25" customHeight="1">
      <c r="A20" s="1827" t="s">
        <v>2349</v>
      </c>
      <c r="B20" s="1827" t="s">
        <v>14</v>
      </c>
      <c r="C20" s="1827" t="s">
        <v>2429</v>
      </c>
      <c r="D20" s="1827" t="s">
        <v>45</v>
      </c>
      <c r="E20" s="1827" t="s">
        <v>48</v>
      </c>
      <c r="F20" s="1827" t="s">
        <v>50</v>
      </c>
      <c r="G20" s="1827" t="s">
        <v>2430</v>
      </c>
      <c r="H20" s="1827" t="s">
        <v>24</v>
      </c>
      <c r="I20" s="1827" t="s">
        <v>746</v>
      </c>
    </row>
    <row r="21" spans="1:9" ht="11.25" customHeight="1">
      <c r="A21" s="1827" t="s">
        <v>2349</v>
      </c>
      <c r="B21" s="1827" t="s">
        <v>14</v>
      </c>
      <c r="C21" s="1827" t="s">
        <v>2431</v>
      </c>
      <c r="D21" s="1827" t="s">
        <v>2432</v>
      </c>
      <c r="E21" s="1827" t="s">
        <v>2433</v>
      </c>
      <c r="F21" s="1827" t="s">
        <v>2434</v>
      </c>
      <c r="G21" s="1827" t="s">
        <v>2435</v>
      </c>
      <c r="H21" s="1827" t="s">
        <v>24</v>
      </c>
      <c r="I21" s="1827" t="s">
        <v>746</v>
      </c>
    </row>
    <row r="22" spans="1:9" ht="11.25" customHeight="1">
      <c r="A22" s="1827" t="s">
        <v>2349</v>
      </c>
      <c r="B22" s="1827" t="s">
        <v>14</v>
      </c>
      <c r="C22" s="1827" t="s">
        <v>2436</v>
      </c>
      <c r="D22" s="1827" t="s">
        <v>2437</v>
      </c>
      <c r="E22" s="1827" t="s">
        <v>2438</v>
      </c>
      <c r="F22" s="1827" t="s">
        <v>2439</v>
      </c>
      <c r="G22" s="1827" t="s">
        <v>2440</v>
      </c>
      <c r="H22" s="1827" t="s">
        <v>24</v>
      </c>
      <c r="I22" s="1827" t="s">
        <v>746</v>
      </c>
    </row>
    <row r="23" spans="1:9" ht="11.25" customHeight="1">
      <c r="A23" s="1827" t="s">
        <v>2349</v>
      </c>
      <c r="B23" s="1827" t="s">
        <v>14</v>
      </c>
      <c r="C23" s="1827" t="s">
        <v>2441</v>
      </c>
      <c r="D23" s="1827" t="s">
        <v>2442</v>
      </c>
      <c r="E23" s="1827" t="s">
        <v>2443</v>
      </c>
      <c r="F23" s="1827" t="s">
        <v>599</v>
      </c>
      <c r="G23" s="1827" t="s">
        <v>2444</v>
      </c>
      <c r="H23" s="1827" t="s">
        <v>24</v>
      </c>
      <c r="I23" s="1827" t="s">
        <v>746</v>
      </c>
    </row>
    <row r="24" spans="1:9" ht="11.25" customHeight="1">
      <c r="A24" s="1827" t="s">
        <v>2349</v>
      </c>
      <c r="B24" s="1827" t="s">
        <v>14</v>
      </c>
      <c r="C24" s="1827" t="s">
        <v>2445</v>
      </c>
      <c r="D24" s="1827" t="s">
        <v>2446</v>
      </c>
      <c r="E24" s="1827" t="s">
        <v>2447</v>
      </c>
      <c r="F24" s="1827" t="s">
        <v>599</v>
      </c>
      <c r="G24" s="1827" t="s">
        <v>2448</v>
      </c>
      <c r="H24" s="1827" t="s">
        <v>24</v>
      </c>
      <c r="I24" s="1827" t="s">
        <v>746</v>
      </c>
    </row>
    <row r="25" spans="1:9" ht="11.25" customHeight="1">
      <c r="A25" s="1827" t="s">
        <v>2349</v>
      </c>
      <c r="B25" s="1827" t="s">
        <v>14</v>
      </c>
      <c r="C25" s="1827" t="s">
        <v>2449</v>
      </c>
      <c r="D25" s="1827" t="s">
        <v>2450</v>
      </c>
      <c r="E25" s="1827" t="s">
        <v>2451</v>
      </c>
      <c r="F25" s="1827" t="s">
        <v>599</v>
      </c>
      <c r="G25" s="1827" t="s">
        <v>2452</v>
      </c>
      <c r="H25" s="1827" t="s">
        <v>24</v>
      </c>
      <c r="I25" s="1827" t="s">
        <v>746</v>
      </c>
    </row>
    <row r="26" spans="1:9" ht="11.25" customHeight="1">
      <c r="A26" s="1827" t="s">
        <v>2349</v>
      </c>
      <c r="B26" s="1827" t="s">
        <v>14</v>
      </c>
      <c r="C26" s="1827" t="s">
        <v>2453</v>
      </c>
      <c r="D26" s="1827" t="s">
        <v>2454</v>
      </c>
      <c r="E26" s="1827" t="s">
        <v>2455</v>
      </c>
      <c r="F26" s="1827" t="s">
        <v>599</v>
      </c>
      <c r="G26" s="1827" t="s">
        <v>2456</v>
      </c>
      <c r="H26" s="1827" t="s">
        <v>24</v>
      </c>
      <c r="I26" s="1827" t="s">
        <v>746</v>
      </c>
    </row>
    <row r="27" spans="1:9" ht="11.25" customHeight="1">
      <c r="A27" s="1827" t="s">
        <v>2349</v>
      </c>
      <c r="B27" s="1827" t="s">
        <v>14</v>
      </c>
      <c r="C27" s="1827" t="s">
        <v>2457</v>
      </c>
      <c r="D27" s="1827" t="s">
        <v>2458</v>
      </c>
      <c r="E27" s="1827" t="s">
        <v>2438</v>
      </c>
      <c r="F27" s="1827" t="s">
        <v>2459</v>
      </c>
      <c r="G27" s="1827" t="s">
        <v>2440</v>
      </c>
      <c r="H27" s="1827" t="s">
        <v>24</v>
      </c>
      <c r="I27" s="1827" t="s">
        <v>746</v>
      </c>
    </row>
    <row r="28" spans="1:9" ht="11.25" customHeight="1">
      <c r="A28" s="1827" t="s">
        <v>2349</v>
      </c>
      <c r="B28" s="1827" t="s">
        <v>14</v>
      </c>
      <c r="C28" s="1827" t="s">
        <v>2460</v>
      </c>
      <c r="D28" s="1827" t="s">
        <v>2461</v>
      </c>
      <c r="E28" s="1827" t="s">
        <v>2462</v>
      </c>
      <c r="F28" s="1827" t="s">
        <v>2367</v>
      </c>
      <c r="G28" s="1827" t="s">
        <v>2463</v>
      </c>
      <c r="H28" s="1827" t="s">
        <v>24</v>
      </c>
      <c r="I28" s="1827" t="s">
        <v>746</v>
      </c>
    </row>
    <row r="29" spans="1:9" ht="11.25" customHeight="1">
      <c r="A29" s="1827" t="s">
        <v>2349</v>
      </c>
      <c r="B29" s="1827" t="s">
        <v>14</v>
      </c>
      <c r="C29" s="1827" t="s">
        <v>2464</v>
      </c>
      <c r="D29" s="1827" t="s">
        <v>2465</v>
      </c>
      <c r="E29" s="1827" t="s">
        <v>2466</v>
      </c>
      <c r="F29" s="1827" t="s">
        <v>2367</v>
      </c>
      <c r="G29" s="1827" t="s">
        <v>2467</v>
      </c>
      <c r="H29" s="1827" t="s">
        <v>24</v>
      </c>
      <c r="I29" s="1827" t="s">
        <v>746</v>
      </c>
    </row>
    <row r="30" spans="1:9" ht="11.25" customHeight="1">
      <c r="A30" s="1827" t="s">
        <v>2349</v>
      </c>
      <c r="B30" s="1827" t="s">
        <v>14</v>
      </c>
      <c r="C30" s="1827" t="s">
        <v>2468</v>
      </c>
      <c r="D30" s="1827" t="s">
        <v>2469</v>
      </c>
      <c r="E30" s="1827" t="s">
        <v>2470</v>
      </c>
      <c r="F30" s="1827" t="s">
        <v>2471</v>
      </c>
      <c r="G30" s="1827" t="s">
        <v>2472</v>
      </c>
      <c r="H30" s="1827" t="s">
        <v>24</v>
      </c>
      <c r="I30" s="1827" t="s">
        <v>746</v>
      </c>
    </row>
    <row r="31" spans="1:9" ht="11.25" customHeight="1">
      <c r="A31" s="1827" t="s">
        <v>2349</v>
      </c>
      <c r="B31" s="1827" t="s">
        <v>14</v>
      </c>
      <c r="C31" s="1827" t="s">
        <v>2473</v>
      </c>
      <c r="D31" s="1827" t="s">
        <v>2474</v>
      </c>
      <c r="E31" s="1827" t="s">
        <v>2475</v>
      </c>
      <c r="F31" s="1827" t="s">
        <v>2476</v>
      </c>
      <c r="G31" s="1827" t="s">
        <v>2477</v>
      </c>
      <c r="H31" s="1827" t="s">
        <v>24</v>
      </c>
      <c r="I31" s="1827" t="s">
        <v>746</v>
      </c>
    </row>
    <row r="32" spans="1:9" ht="11.25" customHeight="1">
      <c r="A32" s="1827" t="s">
        <v>2349</v>
      </c>
      <c r="B32" s="1827" t="s">
        <v>14</v>
      </c>
      <c r="C32" s="1827" t="s">
        <v>2478</v>
      </c>
      <c r="D32" s="1827" t="s">
        <v>2479</v>
      </c>
      <c r="E32" s="1827" t="s">
        <v>2480</v>
      </c>
      <c r="F32" s="1827" t="s">
        <v>2481</v>
      </c>
      <c r="G32" s="1827" t="s">
        <v>2482</v>
      </c>
      <c r="H32" s="1827" t="s">
        <v>24</v>
      </c>
      <c r="I32" s="1827" t="s">
        <v>746</v>
      </c>
    </row>
    <row r="33" spans="1:9" ht="11.25" customHeight="1">
      <c r="A33" s="1827" t="s">
        <v>2349</v>
      </c>
      <c r="B33" s="1827" t="s">
        <v>14</v>
      </c>
      <c r="C33" s="1827" t="s">
        <v>2483</v>
      </c>
      <c r="D33" s="1827" t="s">
        <v>2484</v>
      </c>
      <c r="E33" s="1827" t="s">
        <v>2485</v>
      </c>
      <c r="F33" s="1827" t="s">
        <v>2486</v>
      </c>
      <c r="G33" s="1827" t="s">
        <v>2487</v>
      </c>
      <c r="H33" s="1827" t="s">
        <v>24</v>
      </c>
      <c r="I33" s="1827" t="s">
        <v>746</v>
      </c>
    </row>
    <row r="34" spans="1:9" ht="11.25" customHeight="1">
      <c r="A34" s="1827" t="s">
        <v>2349</v>
      </c>
      <c r="B34" s="1827" t="s">
        <v>14</v>
      </c>
      <c r="C34" s="1827" t="s">
        <v>2488</v>
      </c>
      <c r="D34" s="1827" t="s">
        <v>2489</v>
      </c>
      <c r="E34" s="1827" t="s">
        <v>2490</v>
      </c>
      <c r="F34" s="1827" t="s">
        <v>2491</v>
      </c>
      <c r="G34" s="1827" t="s">
        <v>2492</v>
      </c>
      <c r="H34" s="1827" t="s">
        <v>24</v>
      </c>
      <c r="I34" s="1827" t="s">
        <v>746</v>
      </c>
    </row>
    <row r="35" spans="1:9" ht="11.25" customHeight="1">
      <c r="A35" s="1827" t="s">
        <v>2349</v>
      </c>
      <c r="B35" s="1827" t="s">
        <v>14</v>
      </c>
      <c r="C35" s="1827" t="s">
        <v>2493</v>
      </c>
      <c r="D35" s="1827" t="s">
        <v>2494</v>
      </c>
      <c r="E35" s="1827" t="s">
        <v>2495</v>
      </c>
      <c r="F35" s="1827" t="s">
        <v>2380</v>
      </c>
      <c r="G35" s="1827" t="s">
        <v>2496</v>
      </c>
      <c r="H35" s="1827" t="s">
        <v>24</v>
      </c>
      <c r="I35" s="1827" t="s">
        <v>746</v>
      </c>
    </row>
    <row r="36" spans="1:9" ht="11.25" customHeight="1">
      <c r="A36" s="1827" t="s">
        <v>2349</v>
      </c>
      <c r="B36" s="1827" t="s">
        <v>14</v>
      </c>
      <c r="C36" s="1827" t="s">
        <v>2497</v>
      </c>
      <c r="D36" s="1827" t="s">
        <v>2498</v>
      </c>
      <c r="E36" s="1827" t="s">
        <v>2371</v>
      </c>
      <c r="F36" s="1827" t="s">
        <v>2499</v>
      </c>
      <c r="G36" s="1827" t="s">
        <v>2500</v>
      </c>
      <c r="H36" s="1827" t="s">
        <v>24</v>
      </c>
      <c r="I36" s="1827" t="s">
        <v>746</v>
      </c>
    </row>
    <row r="37" spans="1:9" ht="11.25" customHeight="1">
      <c r="A37" s="1827" t="s">
        <v>2349</v>
      </c>
      <c r="B37" s="1827" t="s">
        <v>14</v>
      </c>
      <c r="C37" s="1827" t="s">
        <v>2501</v>
      </c>
      <c r="D37" s="1827" t="s">
        <v>2502</v>
      </c>
      <c r="E37" s="1827" t="s">
        <v>2503</v>
      </c>
      <c r="F37" s="1827" t="s">
        <v>2504</v>
      </c>
      <c r="G37" s="1827" t="s">
        <v>24</v>
      </c>
      <c r="H37" s="1827" t="s">
        <v>2505</v>
      </c>
      <c r="I37" s="1827" t="s">
        <v>746</v>
      </c>
    </row>
    <row r="38" spans="1:9" ht="11.25" customHeight="1">
      <c r="A38" s="1827" t="s">
        <v>2349</v>
      </c>
      <c r="B38" s="1827" t="s">
        <v>14</v>
      </c>
      <c r="C38" s="1827" t="s">
        <v>2506</v>
      </c>
      <c r="D38" s="1827" t="s">
        <v>2507</v>
      </c>
      <c r="E38" s="1827" t="s">
        <v>2508</v>
      </c>
      <c r="F38" s="1827" t="s">
        <v>2367</v>
      </c>
      <c r="G38" s="1827" t="s">
        <v>2509</v>
      </c>
      <c r="H38" s="1827" t="s">
        <v>24</v>
      </c>
      <c r="I38" s="1827" t="s">
        <v>746</v>
      </c>
    </row>
    <row r="39" spans="1:9" ht="11.25" customHeight="1">
      <c r="A39" s="1827" t="s">
        <v>2349</v>
      </c>
      <c r="B39" s="1827" t="s">
        <v>14</v>
      </c>
      <c r="C39" s="1827" t="s">
        <v>2510</v>
      </c>
      <c r="D39" s="1827" t="s">
        <v>2511</v>
      </c>
      <c r="E39" s="1827" t="s">
        <v>2512</v>
      </c>
      <c r="F39" s="1827" t="s">
        <v>2513</v>
      </c>
      <c r="G39" s="1827" t="s">
        <v>2514</v>
      </c>
      <c r="H39" s="1827" t="s">
        <v>24</v>
      </c>
      <c r="I39" s="1827" t="s">
        <v>746</v>
      </c>
    </row>
    <row r="40" spans="1:9" ht="11.25" customHeight="1">
      <c r="A40" s="1827" t="s">
        <v>2349</v>
      </c>
      <c r="B40" s="1827" t="s">
        <v>14</v>
      </c>
      <c r="C40" s="1827" t="s">
        <v>2515</v>
      </c>
      <c r="D40" s="1827" t="s">
        <v>2516</v>
      </c>
      <c r="E40" s="1827" t="s">
        <v>2517</v>
      </c>
      <c r="F40" s="1827" t="s">
        <v>2380</v>
      </c>
      <c r="G40" s="1827" t="s">
        <v>24</v>
      </c>
      <c r="H40" s="1827" t="s">
        <v>24</v>
      </c>
      <c r="I40" s="1827" t="s">
        <v>746</v>
      </c>
    </row>
    <row r="41" spans="1:9" ht="11.25" customHeight="1">
      <c r="A41" s="1827" t="s">
        <v>2349</v>
      </c>
      <c r="B41" s="1827" t="s">
        <v>14</v>
      </c>
      <c r="C41" s="1827" t="s">
        <v>2518</v>
      </c>
      <c r="D41" s="1827" t="s">
        <v>2519</v>
      </c>
      <c r="E41" s="1827" t="s">
        <v>2520</v>
      </c>
      <c r="F41" s="1827" t="s">
        <v>2521</v>
      </c>
      <c r="G41" s="1827" t="s">
        <v>2522</v>
      </c>
      <c r="H41" s="1827" t="s">
        <v>24</v>
      </c>
      <c r="I41" s="1827" t="s">
        <v>746</v>
      </c>
    </row>
    <row r="42" spans="1:9" ht="11.25" customHeight="1">
      <c r="A42" s="1827" t="s">
        <v>2349</v>
      </c>
      <c r="B42" s="1827" t="s">
        <v>14</v>
      </c>
      <c r="C42" s="1827" t="s">
        <v>2523</v>
      </c>
      <c r="D42" s="1827" t="s">
        <v>2524</v>
      </c>
      <c r="E42" s="1827" t="s">
        <v>2525</v>
      </c>
      <c r="F42" s="1827" t="s">
        <v>2415</v>
      </c>
      <c r="G42" s="1827" t="s">
        <v>2526</v>
      </c>
      <c r="H42" s="1827" t="s">
        <v>24</v>
      </c>
      <c r="I42" s="1827" t="s">
        <v>746</v>
      </c>
    </row>
    <row r="43" spans="1:9" ht="11.25" customHeight="1">
      <c r="A43" s="1827" t="s">
        <v>2349</v>
      </c>
      <c r="B43" s="1827" t="s">
        <v>14</v>
      </c>
      <c r="C43" s="1827" t="s">
        <v>2527</v>
      </c>
      <c r="D43" s="1827" t="s">
        <v>2528</v>
      </c>
      <c r="E43" s="1827" t="s">
        <v>2529</v>
      </c>
      <c r="F43" s="1827" t="s">
        <v>2530</v>
      </c>
      <c r="G43" s="1827" t="s">
        <v>2531</v>
      </c>
      <c r="H43" s="1827" t="s">
        <v>24</v>
      </c>
      <c r="I43" s="1827" t="s">
        <v>746</v>
      </c>
    </row>
    <row r="44" spans="1:9" ht="11.25" customHeight="1">
      <c r="A44" s="1827" t="s">
        <v>2349</v>
      </c>
      <c r="B44" s="1827" t="s">
        <v>14</v>
      </c>
      <c r="C44" s="1827" t="s">
        <v>2532</v>
      </c>
      <c r="D44" s="1827" t="s">
        <v>2533</v>
      </c>
      <c r="E44" s="1827" t="s">
        <v>2534</v>
      </c>
      <c r="F44" s="1827" t="s">
        <v>2401</v>
      </c>
      <c r="G44" s="1827" t="s">
        <v>24</v>
      </c>
      <c r="H44" s="1827" t="s">
        <v>24</v>
      </c>
      <c r="I44" s="1827" t="s">
        <v>746</v>
      </c>
    </row>
    <row r="45" spans="1:9" ht="11.25" customHeight="1">
      <c r="A45" s="1827" t="s">
        <v>2349</v>
      </c>
      <c r="B45" s="1827" t="s">
        <v>14</v>
      </c>
      <c r="C45" s="1827" t="s">
        <v>2535</v>
      </c>
      <c r="D45" s="1827" t="s">
        <v>2536</v>
      </c>
      <c r="E45" s="1827" t="s">
        <v>2537</v>
      </c>
      <c r="F45" s="1827" t="s">
        <v>2367</v>
      </c>
      <c r="G45" s="1827" t="s">
        <v>24</v>
      </c>
      <c r="H45" s="1827" t="s">
        <v>24</v>
      </c>
      <c r="I45" s="1827" t="s">
        <v>746</v>
      </c>
    </row>
    <row r="46" spans="1:9" ht="11.25" customHeight="1">
      <c r="A46" s="1827" t="s">
        <v>2349</v>
      </c>
      <c r="B46" s="1827" t="s">
        <v>14</v>
      </c>
      <c r="C46" s="1827" t="s">
        <v>2538</v>
      </c>
      <c r="D46" s="1827" t="s">
        <v>2539</v>
      </c>
      <c r="E46" s="1827" t="s">
        <v>2540</v>
      </c>
      <c r="F46" s="1827" t="s">
        <v>50</v>
      </c>
      <c r="G46" s="1827" t="s">
        <v>2541</v>
      </c>
      <c r="H46" s="1827" t="s">
        <v>24</v>
      </c>
      <c r="I46" s="1827" t="s">
        <v>746</v>
      </c>
    </row>
    <row r="47" spans="1:9" ht="11.25" customHeight="1">
      <c r="A47" s="1827" t="s">
        <v>2349</v>
      </c>
      <c r="B47" s="1827" t="s">
        <v>14</v>
      </c>
      <c r="C47" s="1827" t="s">
        <v>2542</v>
      </c>
      <c r="D47" s="1827" t="s">
        <v>2543</v>
      </c>
      <c r="E47" s="1827" t="s">
        <v>2544</v>
      </c>
      <c r="F47" s="1827" t="s">
        <v>2545</v>
      </c>
      <c r="G47" s="1827" t="s">
        <v>2546</v>
      </c>
      <c r="H47" s="1827" t="s">
        <v>24</v>
      </c>
      <c r="I47" s="1827" t="s">
        <v>746</v>
      </c>
    </row>
    <row r="48" spans="1:9" ht="11.25" customHeight="1">
      <c r="A48" s="1827" t="s">
        <v>2349</v>
      </c>
      <c r="B48" s="1827" t="s">
        <v>14</v>
      </c>
      <c r="C48" s="1827" t="s">
        <v>2547</v>
      </c>
      <c r="D48" s="1827" t="s">
        <v>2548</v>
      </c>
      <c r="E48" s="1827" t="s">
        <v>2549</v>
      </c>
      <c r="F48" s="1827" t="s">
        <v>2353</v>
      </c>
      <c r="G48" s="1827" t="s">
        <v>2550</v>
      </c>
      <c r="H48" s="1827" t="s">
        <v>24</v>
      </c>
      <c r="I48" s="1827" t="s">
        <v>746</v>
      </c>
    </row>
    <row r="49" spans="1:9" ht="11.25" customHeight="1">
      <c r="A49" s="1827" t="s">
        <v>2349</v>
      </c>
      <c r="B49" s="1827" t="s">
        <v>14</v>
      </c>
      <c r="C49" s="1827" t="s">
        <v>2551</v>
      </c>
      <c r="D49" s="1827" t="s">
        <v>2552</v>
      </c>
      <c r="E49" s="1827" t="s">
        <v>2553</v>
      </c>
      <c r="F49" s="1827" t="s">
        <v>2367</v>
      </c>
      <c r="G49" s="1827" t="s">
        <v>24</v>
      </c>
      <c r="H49" s="1827" t="s">
        <v>24</v>
      </c>
      <c r="I49" s="1827" t="s">
        <v>746</v>
      </c>
    </row>
    <row r="50" spans="1:9" ht="11.25" customHeight="1">
      <c r="A50" s="1827" t="s">
        <v>2349</v>
      </c>
      <c r="B50" s="1827" t="s">
        <v>14</v>
      </c>
      <c r="C50" s="1827" t="s">
        <v>2554</v>
      </c>
      <c r="D50" s="1827" t="s">
        <v>2555</v>
      </c>
      <c r="E50" s="1827" t="s">
        <v>2556</v>
      </c>
      <c r="F50" s="1827" t="s">
        <v>2486</v>
      </c>
      <c r="G50" s="1827" t="s">
        <v>2557</v>
      </c>
      <c r="H50" s="1827" t="s">
        <v>24</v>
      </c>
      <c r="I50" s="1827" t="s">
        <v>746</v>
      </c>
    </row>
    <row r="51" spans="1:9" ht="11.25" customHeight="1">
      <c r="A51" s="1827" t="s">
        <v>2349</v>
      </c>
      <c r="B51" s="1827" t="s">
        <v>14</v>
      </c>
      <c r="C51" s="1827" t="s">
        <v>2558</v>
      </c>
      <c r="D51" s="1827" t="s">
        <v>2559</v>
      </c>
      <c r="E51" s="1827" t="s">
        <v>2560</v>
      </c>
      <c r="F51" s="1827" t="s">
        <v>2367</v>
      </c>
      <c r="G51" s="1827" t="s">
        <v>24</v>
      </c>
      <c r="H51" s="1827" t="s">
        <v>24</v>
      </c>
      <c r="I51" s="1827" t="s">
        <v>746</v>
      </c>
    </row>
    <row r="52" spans="1:9" ht="11.25" customHeight="1">
      <c r="A52" s="1827" t="s">
        <v>2349</v>
      </c>
      <c r="B52" s="1827" t="s">
        <v>14</v>
      </c>
      <c r="C52" s="1827" t="s">
        <v>2561</v>
      </c>
      <c r="D52" s="1827" t="s">
        <v>2562</v>
      </c>
      <c r="E52" s="1827" t="s">
        <v>2563</v>
      </c>
      <c r="F52" s="1827" t="s">
        <v>2396</v>
      </c>
      <c r="G52" s="1827" t="s">
        <v>2564</v>
      </c>
      <c r="H52" s="1827" t="s">
        <v>24</v>
      </c>
      <c r="I52" s="1827" t="s">
        <v>746</v>
      </c>
    </row>
    <row r="53" spans="1:9" ht="11.25" customHeight="1">
      <c r="A53" s="1827" t="s">
        <v>2349</v>
      </c>
      <c r="B53" s="1827" t="s">
        <v>14</v>
      </c>
      <c r="C53" s="1827" t="s">
        <v>2565</v>
      </c>
      <c r="D53" s="1827" t="s">
        <v>2566</v>
      </c>
      <c r="E53" s="1827" t="s">
        <v>2567</v>
      </c>
      <c r="F53" s="1827" t="s">
        <v>2358</v>
      </c>
      <c r="G53" s="1827" t="s">
        <v>2568</v>
      </c>
      <c r="H53" s="1827" t="s">
        <v>24</v>
      </c>
      <c r="I53" s="1827" t="s">
        <v>746</v>
      </c>
    </row>
    <row r="54" spans="1:9" ht="11.25" customHeight="1">
      <c r="A54" s="1827" t="s">
        <v>2349</v>
      </c>
      <c r="B54" s="1827" t="s">
        <v>14</v>
      </c>
      <c r="C54" s="1827" t="s">
        <v>2569</v>
      </c>
      <c r="D54" s="1827" t="s">
        <v>2570</v>
      </c>
      <c r="E54" s="1827" t="s">
        <v>2571</v>
      </c>
      <c r="F54" s="1827" t="s">
        <v>2396</v>
      </c>
      <c r="G54" s="1827" t="s">
        <v>2572</v>
      </c>
      <c r="H54" s="1827" t="s">
        <v>24</v>
      </c>
      <c r="I54" s="1827" t="s">
        <v>746</v>
      </c>
    </row>
    <row r="55" spans="1:9" ht="11.25" customHeight="1">
      <c r="A55" s="1827" t="s">
        <v>2349</v>
      </c>
      <c r="B55" s="1827" t="s">
        <v>14</v>
      </c>
      <c r="C55" s="1827" t="s">
        <v>2573</v>
      </c>
      <c r="D55" s="1827" t="s">
        <v>2574</v>
      </c>
      <c r="E55" s="1827" t="s">
        <v>2575</v>
      </c>
      <c r="F55" s="1827" t="s">
        <v>2576</v>
      </c>
      <c r="G55" s="1827" t="s">
        <v>2577</v>
      </c>
      <c r="H55" s="1827" t="s">
        <v>24</v>
      </c>
      <c r="I55" s="1827" t="s">
        <v>746</v>
      </c>
    </row>
    <row r="56" spans="1:9" ht="11.25" customHeight="1">
      <c r="A56" s="1827" t="s">
        <v>2349</v>
      </c>
      <c r="B56" s="1827" t="s">
        <v>14</v>
      </c>
      <c r="C56" s="1827" t="s">
        <v>2578</v>
      </c>
      <c r="D56" s="1827" t="s">
        <v>2579</v>
      </c>
      <c r="E56" s="1827" t="s">
        <v>2580</v>
      </c>
      <c r="F56" s="1827" t="s">
        <v>2486</v>
      </c>
      <c r="G56" s="1827" t="s">
        <v>2581</v>
      </c>
      <c r="H56" s="1827" t="s">
        <v>24</v>
      </c>
      <c r="I56" s="1827" t="s">
        <v>746</v>
      </c>
    </row>
    <row r="57" spans="1:9" ht="11.25" customHeight="1">
      <c r="A57" s="1827" t="s">
        <v>2349</v>
      </c>
      <c r="B57" s="1827" t="s">
        <v>14</v>
      </c>
      <c r="C57" s="1827" t="s">
        <v>2582</v>
      </c>
      <c r="D57" s="1827" t="s">
        <v>2583</v>
      </c>
      <c r="E57" s="1827" t="s">
        <v>2584</v>
      </c>
      <c r="F57" s="1827" t="s">
        <v>2576</v>
      </c>
      <c r="G57" s="1827" t="s">
        <v>2585</v>
      </c>
      <c r="H57" s="1827" t="s">
        <v>24</v>
      </c>
      <c r="I57" s="1827" t="s">
        <v>746</v>
      </c>
    </row>
    <row r="58" spans="1:9" ht="11.25" customHeight="1">
      <c r="A58" s="1827" t="s">
        <v>2349</v>
      </c>
      <c r="B58" s="1827" t="s">
        <v>14</v>
      </c>
      <c r="C58" s="1827" t="s">
        <v>2586</v>
      </c>
      <c r="D58" s="1827" t="s">
        <v>2587</v>
      </c>
      <c r="E58" s="1827" t="s">
        <v>2588</v>
      </c>
      <c r="F58" s="1827" t="s">
        <v>2545</v>
      </c>
      <c r="G58" s="1827" t="s">
        <v>2589</v>
      </c>
      <c r="H58" s="1827" t="s">
        <v>24</v>
      </c>
      <c r="I58" s="1827" t="s">
        <v>746</v>
      </c>
    </row>
    <row r="59" spans="1:9" ht="11.25" customHeight="1">
      <c r="A59" s="1827" t="s">
        <v>2349</v>
      </c>
      <c r="B59" s="1827" t="s">
        <v>14</v>
      </c>
      <c r="C59" s="1827" t="s">
        <v>2590</v>
      </c>
      <c r="D59" s="1827" t="s">
        <v>2591</v>
      </c>
      <c r="E59" s="1827" t="s">
        <v>2592</v>
      </c>
      <c r="F59" s="1827" t="s">
        <v>2380</v>
      </c>
      <c r="G59" s="1827" t="s">
        <v>2593</v>
      </c>
      <c r="H59" s="1827" t="s">
        <v>24</v>
      </c>
      <c r="I59" s="1827" t="s">
        <v>746</v>
      </c>
    </row>
    <row r="60" spans="1:9" ht="11.25" customHeight="1">
      <c r="A60" s="1827" t="s">
        <v>2349</v>
      </c>
      <c r="B60" s="1827" t="s">
        <v>14</v>
      </c>
      <c r="C60" s="1827" t="s">
        <v>2594</v>
      </c>
      <c r="D60" s="1827" t="s">
        <v>2595</v>
      </c>
      <c r="E60" s="1827" t="s">
        <v>2596</v>
      </c>
      <c r="F60" s="1827" t="s">
        <v>2597</v>
      </c>
      <c r="G60" s="1827" t="s">
        <v>24</v>
      </c>
      <c r="H60" s="1827" t="s">
        <v>24</v>
      </c>
      <c r="I60" s="1827" t="s">
        <v>746</v>
      </c>
    </row>
    <row r="61" spans="1:9" ht="11.25" customHeight="1">
      <c r="A61" s="1827" t="s">
        <v>2349</v>
      </c>
      <c r="B61" s="1827" t="s">
        <v>14</v>
      </c>
      <c r="C61" s="1827" t="s">
        <v>2598</v>
      </c>
      <c r="D61" s="1827" t="s">
        <v>2599</v>
      </c>
      <c r="E61" s="1827" t="s">
        <v>2600</v>
      </c>
      <c r="F61" s="1827" t="s">
        <v>2601</v>
      </c>
      <c r="G61" s="1827" t="s">
        <v>2602</v>
      </c>
      <c r="H61" s="1827" t="s">
        <v>24</v>
      </c>
      <c r="I61" s="1827" t="s">
        <v>746</v>
      </c>
    </row>
    <row r="62" spans="1:9" ht="11.25" customHeight="1">
      <c r="A62" s="1827" t="s">
        <v>2349</v>
      </c>
      <c r="B62" s="1827" t="s">
        <v>14</v>
      </c>
      <c r="C62" s="1827" t="s">
        <v>2603</v>
      </c>
      <c r="D62" s="1827" t="s">
        <v>2604</v>
      </c>
      <c r="E62" s="1827" t="s">
        <v>2605</v>
      </c>
      <c r="F62" s="1827" t="s">
        <v>2606</v>
      </c>
      <c r="G62" s="1827" t="s">
        <v>2607</v>
      </c>
      <c r="H62" s="1827" t="s">
        <v>24</v>
      </c>
      <c r="I62" s="1827" t="s">
        <v>746</v>
      </c>
    </row>
    <row r="63" spans="1:9" ht="11.25" customHeight="1">
      <c r="A63" s="1827" t="s">
        <v>2349</v>
      </c>
      <c r="B63" s="1827" t="s">
        <v>14</v>
      </c>
      <c r="C63" s="1827" t="s">
        <v>2608</v>
      </c>
      <c r="D63" s="1827" t="s">
        <v>2609</v>
      </c>
      <c r="E63" s="1827" t="s">
        <v>2610</v>
      </c>
      <c r="F63" s="1827" t="s">
        <v>2601</v>
      </c>
      <c r="G63" s="1827" t="s">
        <v>2611</v>
      </c>
      <c r="H63" s="1827" t="s">
        <v>24</v>
      </c>
      <c r="I63" s="1827" t="s">
        <v>746</v>
      </c>
    </row>
    <row r="64" spans="1:9" ht="11.25" customHeight="1">
      <c r="A64" s="1827" t="s">
        <v>2349</v>
      </c>
      <c r="B64" s="1827" t="s">
        <v>14</v>
      </c>
      <c r="C64" s="1827" t="s">
        <v>2612</v>
      </c>
      <c r="D64" s="1827" t="s">
        <v>2613</v>
      </c>
      <c r="E64" s="1827" t="s">
        <v>2614</v>
      </c>
      <c r="F64" s="1827" t="s">
        <v>2615</v>
      </c>
      <c r="G64" s="1827" t="s">
        <v>2616</v>
      </c>
      <c r="H64" s="1827" t="s">
        <v>24</v>
      </c>
      <c r="I64" s="1827" t="s">
        <v>746</v>
      </c>
    </row>
    <row r="65" spans="1:9" ht="11.25" customHeight="1">
      <c r="A65" s="1827" t="s">
        <v>2349</v>
      </c>
      <c r="B65" s="1827" t="s">
        <v>14</v>
      </c>
      <c r="C65" s="1827" t="s">
        <v>2617</v>
      </c>
      <c r="D65" s="1827" t="s">
        <v>2618</v>
      </c>
      <c r="E65" s="1827" t="s">
        <v>2619</v>
      </c>
      <c r="F65" s="1827" t="s">
        <v>2620</v>
      </c>
      <c r="G65" s="1827" t="s">
        <v>2621</v>
      </c>
      <c r="H65" s="1827" t="s">
        <v>24</v>
      </c>
      <c r="I65" s="1827" t="s">
        <v>746</v>
      </c>
    </row>
    <row r="66" spans="1:9" ht="11.25" customHeight="1">
      <c r="A66" s="1827" t="s">
        <v>2349</v>
      </c>
      <c r="B66" s="1827" t="s">
        <v>14</v>
      </c>
      <c r="C66" s="1827" t="s">
        <v>2622</v>
      </c>
      <c r="D66" s="1827" t="s">
        <v>2623</v>
      </c>
      <c r="E66" s="1827" t="s">
        <v>2624</v>
      </c>
      <c r="F66" s="1827" t="s">
        <v>50</v>
      </c>
      <c r="G66" s="1827" t="s">
        <v>24</v>
      </c>
      <c r="H66" s="1827" t="s">
        <v>24</v>
      </c>
      <c r="I66" s="1827" t="s">
        <v>746</v>
      </c>
    </row>
    <row r="67" spans="1:9" ht="11.25" customHeight="1">
      <c r="A67" s="1827" t="s">
        <v>2349</v>
      </c>
      <c r="B67" s="1827" t="s">
        <v>14</v>
      </c>
      <c r="C67" s="1827" t="s">
        <v>2625</v>
      </c>
      <c r="D67" s="1827" t="s">
        <v>2626</v>
      </c>
      <c r="E67" s="1827" t="s">
        <v>2627</v>
      </c>
      <c r="F67" s="1827" t="s">
        <v>2628</v>
      </c>
      <c r="G67" s="1827" t="s">
        <v>2629</v>
      </c>
      <c r="H67" s="1827" t="s">
        <v>24</v>
      </c>
      <c r="I67" s="1827" t="s">
        <v>746</v>
      </c>
    </row>
    <row r="68" spans="1:9" ht="11.25" customHeight="1">
      <c r="A68" s="1827" t="s">
        <v>2349</v>
      </c>
      <c r="B68" s="1827" t="s">
        <v>14</v>
      </c>
      <c r="C68" s="1827" t="s">
        <v>24</v>
      </c>
      <c r="D68" s="1827" t="s">
        <v>2630</v>
      </c>
      <c r="E68" s="1827" t="s">
        <v>2631</v>
      </c>
      <c r="F68" s="1827" t="s">
        <v>2632</v>
      </c>
      <c r="G68" s="1827" t="s">
        <v>24</v>
      </c>
      <c r="H68" s="1827" t="s">
        <v>24</v>
      </c>
      <c r="I68" s="1827" t="s">
        <v>746</v>
      </c>
    </row>
    <row r="69" spans="1:9" ht="11.25" customHeight="1">
      <c r="A69" s="1827" t="s">
        <v>2349</v>
      </c>
      <c r="B69" s="1827" t="s">
        <v>14</v>
      </c>
      <c r="C69" s="1827" t="s">
        <v>2633</v>
      </c>
      <c r="D69" s="1827" t="s">
        <v>2634</v>
      </c>
      <c r="E69" s="1827" t="s">
        <v>2635</v>
      </c>
      <c r="F69" s="1827" t="s">
        <v>2636</v>
      </c>
      <c r="G69" s="1827" t="s">
        <v>2637</v>
      </c>
      <c r="H69" s="1827" t="s">
        <v>24</v>
      </c>
      <c r="I69" s="1827" t="s">
        <v>746</v>
      </c>
    </row>
    <row r="70" spans="1:9" ht="11.25" customHeight="1">
      <c r="A70" s="1827" t="s">
        <v>2349</v>
      </c>
      <c r="B70" s="1827" t="s">
        <v>14</v>
      </c>
      <c r="C70" s="1827" t="s">
        <v>2638</v>
      </c>
      <c r="D70" s="1827" t="s">
        <v>2639</v>
      </c>
      <c r="E70" s="1827" t="s">
        <v>2640</v>
      </c>
      <c r="F70" s="1827" t="s">
        <v>2641</v>
      </c>
      <c r="G70" s="1827" t="s">
        <v>24</v>
      </c>
      <c r="H70" s="1827" t="s">
        <v>24</v>
      </c>
      <c r="I70" s="1827" t="s">
        <v>746</v>
      </c>
    </row>
    <row r="71" spans="1:9" ht="11.25" customHeight="1">
      <c r="A71" s="1827" t="s">
        <v>2349</v>
      </c>
      <c r="B71" s="1827" t="s">
        <v>14</v>
      </c>
      <c r="C71" s="1827" t="s">
        <v>2642</v>
      </c>
      <c r="D71" s="1827" t="s">
        <v>2643</v>
      </c>
      <c r="E71" s="1827" t="s">
        <v>2644</v>
      </c>
      <c r="F71" s="1827" t="s">
        <v>2645</v>
      </c>
      <c r="G71" s="1827" t="s">
        <v>2646</v>
      </c>
      <c r="H71" s="1827" t="s">
        <v>24</v>
      </c>
      <c r="I71" s="1827" t="s">
        <v>746</v>
      </c>
    </row>
    <row r="72" spans="1:9" ht="11.25" customHeight="1">
      <c r="A72" s="1827" t="s">
        <v>2349</v>
      </c>
      <c r="B72" s="1827" t="s">
        <v>14</v>
      </c>
      <c r="C72" s="1827" t="s">
        <v>2647</v>
      </c>
      <c r="D72" s="1827" t="s">
        <v>2648</v>
      </c>
      <c r="E72" s="1827" t="s">
        <v>2649</v>
      </c>
      <c r="F72" s="1827" t="s">
        <v>2632</v>
      </c>
      <c r="G72" s="1827" t="s">
        <v>24</v>
      </c>
      <c r="H72" s="1827" t="s">
        <v>24</v>
      </c>
      <c r="I72" s="1827" t="s">
        <v>746</v>
      </c>
    </row>
    <row r="73" spans="1:9" ht="11.25" customHeight="1">
      <c r="A73" s="1827" t="s">
        <v>2349</v>
      </c>
      <c r="B73" s="1827" t="s">
        <v>14</v>
      </c>
      <c r="C73" s="1827" t="s">
        <v>2650</v>
      </c>
      <c r="D73" s="1827" t="s">
        <v>2651</v>
      </c>
      <c r="E73" s="1827" t="s">
        <v>2652</v>
      </c>
      <c r="F73" s="1827" t="s">
        <v>2653</v>
      </c>
      <c r="G73" s="1827" t="s">
        <v>2467</v>
      </c>
      <c r="H73" s="1827" t="s">
        <v>24</v>
      </c>
      <c r="I73" s="1827" t="s">
        <v>746</v>
      </c>
    </row>
    <row r="74" spans="1:9" ht="11.25" customHeight="1">
      <c r="A74" s="1827" t="s">
        <v>2349</v>
      </c>
      <c r="B74" s="1827" t="s">
        <v>14</v>
      </c>
      <c r="C74" s="1827" t="s">
        <v>2654</v>
      </c>
      <c r="D74" s="1827" t="s">
        <v>2655</v>
      </c>
      <c r="E74" s="1827" t="s">
        <v>2656</v>
      </c>
      <c r="F74" s="1827" t="s">
        <v>2657</v>
      </c>
      <c r="G74" s="1827" t="s">
        <v>2658</v>
      </c>
      <c r="H74" s="1827" t="s">
        <v>24</v>
      </c>
      <c r="I74" s="1827" t="s">
        <v>746</v>
      </c>
    </row>
    <row r="75" spans="1:9" ht="11.25" customHeight="1">
      <c r="A75" s="1827" t="s">
        <v>2349</v>
      </c>
      <c r="B75" s="1827" t="s">
        <v>14</v>
      </c>
      <c r="C75" s="1827" t="s">
        <v>2659</v>
      </c>
      <c r="D75" s="1827" t="s">
        <v>2660</v>
      </c>
      <c r="E75" s="1827" t="s">
        <v>2661</v>
      </c>
      <c r="F75" s="1827" t="s">
        <v>2406</v>
      </c>
      <c r="G75" s="1827" t="s">
        <v>2662</v>
      </c>
      <c r="H75" s="1827" t="s">
        <v>24</v>
      </c>
      <c r="I75" s="1827" t="s">
        <v>746</v>
      </c>
    </row>
    <row r="76" spans="1:9" ht="11.25" customHeight="1">
      <c r="A76" s="1827" t="s">
        <v>2349</v>
      </c>
      <c r="B76" s="1827" t="s">
        <v>14</v>
      </c>
      <c r="C76" s="1827" t="s">
        <v>2663</v>
      </c>
      <c r="D76" s="1827" t="s">
        <v>2664</v>
      </c>
      <c r="E76" s="1827" t="s">
        <v>2619</v>
      </c>
      <c r="F76" s="1827" t="s">
        <v>2665</v>
      </c>
      <c r="G76" s="1827" t="s">
        <v>2621</v>
      </c>
      <c r="H76" s="1827" t="s">
        <v>24</v>
      </c>
      <c r="I76" s="1827" t="s">
        <v>746</v>
      </c>
    </row>
    <row r="77" spans="1:9" ht="11.25" customHeight="1">
      <c r="A77" s="1827" t="s">
        <v>2349</v>
      </c>
      <c r="B77" s="1827" t="s">
        <v>14</v>
      </c>
      <c r="C77" s="1827" t="s">
        <v>2386</v>
      </c>
      <c r="D77" s="1827" t="s">
        <v>2387</v>
      </c>
      <c r="E77" s="1827" t="s">
        <v>2388</v>
      </c>
      <c r="F77" s="1827" t="s">
        <v>2358</v>
      </c>
      <c r="G77" s="1827" t="s">
        <v>24</v>
      </c>
      <c r="H77" s="1827" t="s">
        <v>24</v>
      </c>
      <c r="I77" s="1827" t="s">
        <v>830</v>
      </c>
    </row>
    <row r="78" spans="1:9" ht="11.25" customHeight="1">
      <c r="A78" s="1827" t="s">
        <v>2349</v>
      </c>
      <c r="B78" s="1827" t="s">
        <v>14</v>
      </c>
      <c r="C78" s="1827" t="s">
        <v>2393</v>
      </c>
      <c r="D78" s="1827" t="s">
        <v>2394</v>
      </c>
      <c r="E78" s="1827" t="s">
        <v>2395</v>
      </c>
      <c r="F78" s="1827" t="s">
        <v>2396</v>
      </c>
      <c r="G78" s="1827" t="s">
        <v>2397</v>
      </c>
      <c r="H78" s="1827" t="s">
        <v>24</v>
      </c>
      <c r="I78" s="1827" t="s">
        <v>830</v>
      </c>
    </row>
    <row r="79" spans="1:9" ht="11.25" customHeight="1">
      <c r="A79" s="1827" t="s">
        <v>2349</v>
      </c>
      <c r="B79" s="1827" t="s">
        <v>14</v>
      </c>
      <c r="C79" s="1827" t="s">
        <v>2398</v>
      </c>
      <c r="D79" s="1827" t="s">
        <v>2399</v>
      </c>
      <c r="E79" s="1827" t="s">
        <v>2400</v>
      </c>
      <c r="F79" s="1827" t="s">
        <v>2401</v>
      </c>
      <c r="G79" s="1827" t="s">
        <v>2402</v>
      </c>
      <c r="H79" s="1827" t="s">
        <v>24</v>
      </c>
      <c r="I79" s="1827" t="s">
        <v>830</v>
      </c>
    </row>
    <row r="80" spans="1:9" ht="11.25" customHeight="1">
      <c r="A80" s="1827" t="s">
        <v>2349</v>
      </c>
      <c r="B80" s="1827" t="s">
        <v>14</v>
      </c>
      <c r="C80" s="1827" t="s">
        <v>2407</v>
      </c>
      <c r="D80" s="1827" t="s">
        <v>2408</v>
      </c>
      <c r="E80" s="1827" t="s">
        <v>2409</v>
      </c>
      <c r="F80" s="1827" t="s">
        <v>2410</v>
      </c>
      <c r="G80" s="1827" t="s">
        <v>2411</v>
      </c>
      <c r="H80" s="1827" t="s">
        <v>24</v>
      </c>
      <c r="I80" s="1827" t="s">
        <v>830</v>
      </c>
    </row>
    <row r="81" spans="1:9" ht="11.25" customHeight="1">
      <c r="A81" s="1827" t="s">
        <v>2349</v>
      </c>
      <c r="B81" s="1827" t="s">
        <v>14</v>
      </c>
      <c r="C81" s="1827" t="s">
        <v>2425</v>
      </c>
      <c r="D81" s="1827" t="s">
        <v>2426</v>
      </c>
      <c r="E81" s="1827" t="s">
        <v>2427</v>
      </c>
      <c r="F81" s="1827" t="s">
        <v>50</v>
      </c>
      <c r="G81" s="1827" t="s">
        <v>2428</v>
      </c>
      <c r="H81" s="1827" t="s">
        <v>24</v>
      </c>
      <c r="I81" s="1827" t="s">
        <v>830</v>
      </c>
    </row>
    <row r="82" spans="1:9" ht="11.25" customHeight="1">
      <c r="A82" s="1827" t="s">
        <v>2349</v>
      </c>
      <c r="B82" s="1827" t="s">
        <v>14</v>
      </c>
      <c r="C82" s="1827" t="s">
        <v>2429</v>
      </c>
      <c r="D82" s="1827" t="s">
        <v>45</v>
      </c>
      <c r="E82" s="1827" t="s">
        <v>48</v>
      </c>
      <c r="F82" s="1827" t="s">
        <v>50</v>
      </c>
      <c r="G82" s="1827" t="s">
        <v>2430</v>
      </c>
      <c r="H82" s="1827" t="s">
        <v>24</v>
      </c>
      <c r="I82" s="1827" t="s">
        <v>830</v>
      </c>
    </row>
    <row r="83" spans="1:9" ht="11.25" customHeight="1">
      <c r="A83" s="1827" t="s">
        <v>2349</v>
      </c>
      <c r="B83" s="1827" t="s">
        <v>14</v>
      </c>
      <c r="C83" s="1827" t="s">
        <v>2431</v>
      </c>
      <c r="D83" s="1827" t="s">
        <v>2432</v>
      </c>
      <c r="E83" s="1827" t="s">
        <v>2433</v>
      </c>
      <c r="F83" s="1827" t="s">
        <v>2434</v>
      </c>
      <c r="G83" s="1827" t="s">
        <v>2435</v>
      </c>
      <c r="H83" s="1827" t="s">
        <v>24</v>
      </c>
      <c r="I83" s="1827" t="s">
        <v>830</v>
      </c>
    </row>
    <row r="84" spans="1:9" ht="11.25" customHeight="1">
      <c r="A84" s="1827" t="s">
        <v>2349</v>
      </c>
      <c r="B84" s="1827" t="s">
        <v>14</v>
      </c>
      <c r="C84" s="1827" t="s">
        <v>2460</v>
      </c>
      <c r="D84" s="1827" t="s">
        <v>2461</v>
      </c>
      <c r="E84" s="1827" t="s">
        <v>2462</v>
      </c>
      <c r="F84" s="1827" t="s">
        <v>2367</v>
      </c>
      <c r="G84" s="1827" t="s">
        <v>2463</v>
      </c>
      <c r="H84" s="1827" t="s">
        <v>24</v>
      </c>
      <c r="I84" s="1827" t="s">
        <v>830</v>
      </c>
    </row>
    <row r="85" spans="1:9" ht="11.25" customHeight="1">
      <c r="A85" s="1827" t="s">
        <v>2349</v>
      </c>
      <c r="B85" s="1827" t="s">
        <v>14</v>
      </c>
      <c r="C85" s="1827" t="s">
        <v>2478</v>
      </c>
      <c r="D85" s="1827" t="s">
        <v>2479</v>
      </c>
      <c r="E85" s="1827" t="s">
        <v>2480</v>
      </c>
      <c r="F85" s="1827" t="s">
        <v>2481</v>
      </c>
      <c r="G85" s="1827" t="s">
        <v>2482</v>
      </c>
      <c r="H85" s="1827" t="s">
        <v>24</v>
      </c>
      <c r="I85" s="1827" t="s">
        <v>830</v>
      </c>
    </row>
    <row r="86" spans="1:9" ht="11.25" customHeight="1">
      <c r="A86" s="1827" t="s">
        <v>2349</v>
      </c>
      <c r="B86" s="1827" t="s">
        <v>14</v>
      </c>
      <c r="C86" s="1827" t="s">
        <v>2497</v>
      </c>
      <c r="D86" s="1827" t="s">
        <v>2498</v>
      </c>
      <c r="E86" s="1827" t="s">
        <v>2371</v>
      </c>
      <c r="F86" s="1827" t="s">
        <v>2499</v>
      </c>
      <c r="G86" s="1827" t="s">
        <v>2500</v>
      </c>
      <c r="H86" s="1827" t="s">
        <v>24</v>
      </c>
      <c r="I86" s="1827" t="s">
        <v>830</v>
      </c>
    </row>
    <row r="87" spans="1:9" ht="11.25" customHeight="1">
      <c r="A87" s="1827" t="s">
        <v>2349</v>
      </c>
      <c r="B87" s="1827" t="s">
        <v>14</v>
      </c>
      <c r="C87" s="1827" t="s">
        <v>2501</v>
      </c>
      <c r="D87" s="1827" t="s">
        <v>2502</v>
      </c>
      <c r="E87" s="1827" t="s">
        <v>2503</v>
      </c>
      <c r="F87" s="1827" t="s">
        <v>2504</v>
      </c>
      <c r="G87" s="1827" t="s">
        <v>24</v>
      </c>
      <c r="H87" s="1827" t="s">
        <v>2505</v>
      </c>
      <c r="I87" s="1827" t="s">
        <v>830</v>
      </c>
    </row>
    <row r="88" spans="1:9" ht="11.25" customHeight="1">
      <c r="A88" s="1827" t="s">
        <v>2349</v>
      </c>
      <c r="B88" s="1827" t="s">
        <v>14</v>
      </c>
      <c r="C88" s="1827" t="s">
        <v>2506</v>
      </c>
      <c r="D88" s="1827" t="s">
        <v>2507</v>
      </c>
      <c r="E88" s="1827" t="s">
        <v>2508</v>
      </c>
      <c r="F88" s="1827" t="s">
        <v>2367</v>
      </c>
      <c r="G88" s="1827" t="s">
        <v>2509</v>
      </c>
      <c r="H88" s="1827" t="s">
        <v>24</v>
      </c>
      <c r="I88" s="1827" t="s">
        <v>830</v>
      </c>
    </row>
    <row r="89" spans="1:9" ht="11.25" customHeight="1">
      <c r="A89" s="1827" t="s">
        <v>2349</v>
      </c>
      <c r="B89" s="1827" t="s">
        <v>14</v>
      </c>
      <c r="C89" s="1827" t="s">
        <v>2515</v>
      </c>
      <c r="D89" s="1827" t="s">
        <v>2516</v>
      </c>
      <c r="E89" s="1827" t="s">
        <v>2517</v>
      </c>
      <c r="F89" s="1827" t="s">
        <v>2380</v>
      </c>
      <c r="G89" s="1827" t="s">
        <v>24</v>
      </c>
      <c r="H89" s="1827" t="s">
        <v>24</v>
      </c>
      <c r="I89" s="1827" t="s">
        <v>830</v>
      </c>
    </row>
    <row r="90" spans="1:9" ht="11.25" customHeight="1">
      <c r="A90" s="1827" t="s">
        <v>2349</v>
      </c>
      <c r="B90" s="1827" t="s">
        <v>14</v>
      </c>
      <c r="C90" s="1827" t="s">
        <v>2523</v>
      </c>
      <c r="D90" s="1827" t="s">
        <v>2524</v>
      </c>
      <c r="E90" s="1827" t="s">
        <v>2525</v>
      </c>
      <c r="F90" s="1827" t="s">
        <v>2415</v>
      </c>
      <c r="G90" s="1827" t="s">
        <v>2526</v>
      </c>
      <c r="H90" s="1827" t="s">
        <v>24</v>
      </c>
      <c r="I90" s="1827" t="s">
        <v>830</v>
      </c>
    </row>
    <row r="91" spans="1:9" ht="11.25" customHeight="1">
      <c r="A91" s="1827" t="s">
        <v>2349</v>
      </c>
      <c r="B91" s="1827" t="s">
        <v>14</v>
      </c>
      <c r="C91" s="1827" t="s">
        <v>2532</v>
      </c>
      <c r="D91" s="1827" t="s">
        <v>2533</v>
      </c>
      <c r="E91" s="1827" t="s">
        <v>2534</v>
      </c>
      <c r="F91" s="1827" t="s">
        <v>2401</v>
      </c>
      <c r="G91" s="1827" t="s">
        <v>24</v>
      </c>
      <c r="H91" s="1827" t="s">
        <v>24</v>
      </c>
      <c r="I91" s="1827" t="s">
        <v>830</v>
      </c>
    </row>
    <row r="92" spans="1:9" ht="11.25" customHeight="1">
      <c r="A92" s="1827" t="s">
        <v>2349</v>
      </c>
      <c r="B92" s="1827" t="s">
        <v>14</v>
      </c>
      <c r="C92" s="1827" t="s">
        <v>2535</v>
      </c>
      <c r="D92" s="1827" t="s">
        <v>2536</v>
      </c>
      <c r="E92" s="1827" t="s">
        <v>2537</v>
      </c>
      <c r="F92" s="1827" t="s">
        <v>2367</v>
      </c>
      <c r="G92" s="1827" t="s">
        <v>24</v>
      </c>
      <c r="H92" s="1827" t="s">
        <v>24</v>
      </c>
      <c r="I92" s="1827" t="s">
        <v>830</v>
      </c>
    </row>
    <row r="93" spans="1:9" ht="11.25" customHeight="1">
      <c r="A93" s="1827" t="s">
        <v>2349</v>
      </c>
      <c r="B93" s="1827" t="s">
        <v>14</v>
      </c>
      <c r="C93" s="1827" t="s">
        <v>2542</v>
      </c>
      <c r="D93" s="1827" t="s">
        <v>2543</v>
      </c>
      <c r="E93" s="1827" t="s">
        <v>2544</v>
      </c>
      <c r="F93" s="1827" t="s">
        <v>2545</v>
      </c>
      <c r="G93" s="1827" t="s">
        <v>2546</v>
      </c>
      <c r="H93" s="1827" t="s">
        <v>24</v>
      </c>
      <c r="I93" s="1827" t="s">
        <v>830</v>
      </c>
    </row>
    <row r="94" spans="1:9" ht="11.25" customHeight="1">
      <c r="A94" s="1827" t="s">
        <v>2349</v>
      </c>
      <c r="B94" s="1827" t="s">
        <v>14</v>
      </c>
      <c r="C94" s="1827" t="s">
        <v>2547</v>
      </c>
      <c r="D94" s="1827" t="s">
        <v>2548</v>
      </c>
      <c r="E94" s="1827" t="s">
        <v>2549</v>
      </c>
      <c r="F94" s="1827" t="s">
        <v>2353</v>
      </c>
      <c r="G94" s="1827" t="s">
        <v>2550</v>
      </c>
      <c r="H94" s="1827" t="s">
        <v>24</v>
      </c>
      <c r="I94" s="1827" t="s">
        <v>830</v>
      </c>
    </row>
    <row r="95" spans="1:9" ht="11.25" customHeight="1">
      <c r="A95" s="1827" t="s">
        <v>2349</v>
      </c>
      <c r="B95" s="1827" t="s">
        <v>14</v>
      </c>
      <c r="C95" s="1827" t="s">
        <v>2558</v>
      </c>
      <c r="D95" s="1827" t="s">
        <v>2559</v>
      </c>
      <c r="E95" s="1827" t="s">
        <v>2560</v>
      </c>
      <c r="F95" s="1827" t="s">
        <v>2367</v>
      </c>
      <c r="G95" s="1827" t="s">
        <v>24</v>
      </c>
      <c r="H95" s="1827" t="s">
        <v>24</v>
      </c>
      <c r="I95" s="1827" t="s">
        <v>830</v>
      </c>
    </row>
    <row r="96" spans="1:9" ht="11.25" customHeight="1">
      <c r="A96" s="1827" t="s">
        <v>2349</v>
      </c>
      <c r="B96" s="1827" t="s">
        <v>14</v>
      </c>
      <c r="C96" s="1827" t="s">
        <v>2561</v>
      </c>
      <c r="D96" s="1827" t="s">
        <v>2562</v>
      </c>
      <c r="E96" s="1827" t="s">
        <v>2563</v>
      </c>
      <c r="F96" s="1827" t="s">
        <v>2396</v>
      </c>
      <c r="G96" s="1827" t="s">
        <v>2564</v>
      </c>
      <c r="H96" s="1827" t="s">
        <v>24</v>
      </c>
      <c r="I96" s="1827" t="s">
        <v>830</v>
      </c>
    </row>
    <row r="97" spans="1:9" ht="11.25" customHeight="1">
      <c r="A97" s="1827" t="s">
        <v>2349</v>
      </c>
      <c r="B97" s="1827" t="s">
        <v>14</v>
      </c>
      <c r="C97" s="1827" t="s">
        <v>2565</v>
      </c>
      <c r="D97" s="1827" t="s">
        <v>2566</v>
      </c>
      <c r="E97" s="1827" t="s">
        <v>2567</v>
      </c>
      <c r="F97" s="1827" t="s">
        <v>2358</v>
      </c>
      <c r="G97" s="1827" t="s">
        <v>2568</v>
      </c>
      <c r="H97" s="1827" t="s">
        <v>24</v>
      </c>
      <c r="I97" s="1827" t="s">
        <v>830</v>
      </c>
    </row>
    <row r="98" spans="1:9" ht="11.25" customHeight="1">
      <c r="A98" s="1827" t="s">
        <v>2349</v>
      </c>
      <c r="B98" s="1827" t="s">
        <v>14</v>
      </c>
      <c r="C98" s="1827" t="s">
        <v>2573</v>
      </c>
      <c r="D98" s="1827" t="s">
        <v>2574</v>
      </c>
      <c r="E98" s="1827" t="s">
        <v>2575</v>
      </c>
      <c r="F98" s="1827" t="s">
        <v>2576</v>
      </c>
      <c r="G98" s="1827" t="s">
        <v>2577</v>
      </c>
      <c r="H98" s="1827" t="s">
        <v>24</v>
      </c>
      <c r="I98" s="1827" t="s">
        <v>830</v>
      </c>
    </row>
    <row r="99" spans="1:9" ht="11.25" customHeight="1">
      <c r="A99" s="1827" t="s">
        <v>2349</v>
      </c>
      <c r="B99" s="1827" t="s">
        <v>14</v>
      </c>
      <c r="C99" s="1827" t="s">
        <v>2590</v>
      </c>
      <c r="D99" s="1827" t="s">
        <v>2591</v>
      </c>
      <c r="E99" s="1827" t="s">
        <v>2592</v>
      </c>
      <c r="F99" s="1827" t="s">
        <v>2380</v>
      </c>
      <c r="G99" s="1827" t="s">
        <v>2593</v>
      </c>
      <c r="H99" s="1827" t="s">
        <v>24</v>
      </c>
      <c r="I99" s="1827" t="s">
        <v>830</v>
      </c>
    </row>
    <row r="100" spans="1:9" ht="11.25" customHeight="1">
      <c r="A100" s="1827" t="s">
        <v>2349</v>
      </c>
      <c r="B100" s="1827" t="s">
        <v>14</v>
      </c>
      <c r="C100" s="1827" t="s">
        <v>2612</v>
      </c>
      <c r="D100" s="1827" t="s">
        <v>2613</v>
      </c>
      <c r="E100" s="1827" t="s">
        <v>2614</v>
      </c>
      <c r="F100" s="1827" t="s">
        <v>2615</v>
      </c>
      <c r="G100" s="1827" t="s">
        <v>2616</v>
      </c>
      <c r="H100" s="1827" t="s">
        <v>24</v>
      </c>
      <c r="I100" s="1827" t="s">
        <v>830</v>
      </c>
    </row>
    <row r="101" spans="1:9" ht="11.25" customHeight="1">
      <c r="A101" s="1827" t="s">
        <v>2349</v>
      </c>
      <c r="B101" s="1827" t="s">
        <v>14</v>
      </c>
      <c r="C101" s="1827" t="s">
        <v>2617</v>
      </c>
      <c r="D101" s="1827" t="s">
        <v>2618</v>
      </c>
      <c r="E101" s="1827" t="s">
        <v>2619</v>
      </c>
      <c r="F101" s="1827" t="s">
        <v>2620</v>
      </c>
      <c r="G101" s="1827" t="s">
        <v>2621</v>
      </c>
      <c r="H101" s="1827" t="s">
        <v>24</v>
      </c>
      <c r="I101" s="1827" t="s">
        <v>830</v>
      </c>
    </row>
    <row r="102" spans="1:9" ht="11.25" customHeight="1">
      <c r="A102" s="1827" t="s">
        <v>2349</v>
      </c>
      <c r="B102" s="1827" t="s">
        <v>14</v>
      </c>
      <c r="C102" s="1827" t="s">
        <v>24</v>
      </c>
      <c r="D102" s="1827" t="s">
        <v>2630</v>
      </c>
      <c r="E102" s="1827" t="s">
        <v>2631</v>
      </c>
      <c r="F102" s="1827" t="s">
        <v>2632</v>
      </c>
      <c r="G102" s="1827" t="s">
        <v>24</v>
      </c>
      <c r="H102" s="1827" t="s">
        <v>24</v>
      </c>
      <c r="I102" s="1827" t="s">
        <v>830</v>
      </c>
    </row>
    <row r="103" spans="1:9" ht="11.25" customHeight="1">
      <c r="A103" s="1827" t="s">
        <v>2349</v>
      </c>
      <c r="B103" s="1827" t="s">
        <v>14</v>
      </c>
      <c r="C103" s="1827" t="s">
        <v>2633</v>
      </c>
      <c r="D103" s="1827" t="s">
        <v>2634</v>
      </c>
      <c r="E103" s="1827" t="s">
        <v>2635</v>
      </c>
      <c r="F103" s="1827" t="s">
        <v>2636</v>
      </c>
      <c r="G103" s="1827" t="s">
        <v>2637</v>
      </c>
      <c r="H103" s="1827" t="s">
        <v>24</v>
      </c>
      <c r="I103" s="1827" t="s">
        <v>830</v>
      </c>
    </row>
    <row r="104" spans="1:9" ht="11.25" customHeight="1">
      <c r="A104" s="1827" t="s">
        <v>2349</v>
      </c>
      <c r="B104" s="1827" t="s">
        <v>14</v>
      </c>
      <c r="C104" s="1827" t="s">
        <v>2638</v>
      </c>
      <c r="D104" s="1827" t="s">
        <v>2639</v>
      </c>
      <c r="E104" s="1827" t="s">
        <v>2640</v>
      </c>
      <c r="F104" s="1827" t="s">
        <v>2641</v>
      </c>
      <c r="G104" s="1827" t="s">
        <v>24</v>
      </c>
      <c r="H104" s="1827" t="s">
        <v>24</v>
      </c>
      <c r="I104" s="1827" t="s">
        <v>830</v>
      </c>
    </row>
    <row r="105" spans="1:9" ht="11.25" customHeight="1">
      <c r="A105" s="1827" t="s">
        <v>2349</v>
      </c>
      <c r="B105" s="1827" t="s">
        <v>14</v>
      </c>
      <c r="C105" s="1827" t="s">
        <v>2642</v>
      </c>
      <c r="D105" s="1827" t="s">
        <v>2643</v>
      </c>
      <c r="E105" s="1827" t="s">
        <v>2644</v>
      </c>
      <c r="F105" s="1827" t="s">
        <v>2645</v>
      </c>
      <c r="G105" s="1827" t="s">
        <v>2646</v>
      </c>
      <c r="H105" s="1827" t="s">
        <v>24</v>
      </c>
      <c r="I105" s="1827" t="s">
        <v>830</v>
      </c>
    </row>
    <row r="106" spans="1:9" ht="11.25" customHeight="1">
      <c r="A106" s="1827" t="s">
        <v>2349</v>
      </c>
      <c r="B106" s="1827" t="s">
        <v>14</v>
      </c>
      <c r="C106" s="1827" t="s">
        <v>2647</v>
      </c>
      <c r="D106" s="1827" t="s">
        <v>2648</v>
      </c>
      <c r="E106" s="1827" t="s">
        <v>2649</v>
      </c>
      <c r="F106" s="1827" t="s">
        <v>2632</v>
      </c>
      <c r="G106" s="1827" t="s">
        <v>24</v>
      </c>
      <c r="H106" s="1827" t="s">
        <v>24</v>
      </c>
      <c r="I106" s="1827" t="s">
        <v>830</v>
      </c>
    </row>
    <row r="107" spans="1:9" ht="11.25" customHeight="1">
      <c r="A107" s="1827" t="s">
        <v>2349</v>
      </c>
      <c r="B107" s="1827" t="s">
        <v>14</v>
      </c>
      <c r="C107" s="1827" t="s">
        <v>2650</v>
      </c>
      <c r="D107" s="1827" t="s">
        <v>2651</v>
      </c>
      <c r="E107" s="1827" t="s">
        <v>2652</v>
      </c>
      <c r="F107" s="1827" t="s">
        <v>2653</v>
      </c>
      <c r="G107" s="1827" t="s">
        <v>2467</v>
      </c>
      <c r="H107" s="1827" t="s">
        <v>24</v>
      </c>
      <c r="I107" s="1827" t="s">
        <v>830</v>
      </c>
    </row>
    <row r="108" spans="1:9" ht="11.25" customHeight="1">
      <c r="A108" s="1827" t="s">
        <v>2349</v>
      </c>
      <c r="B108" s="1827" t="s">
        <v>14</v>
      </c>
      <c r="C108" s="1827" t="s">
        <v>2659</v>
      </c>
      <c r="D108" s="1827" t="s">
        <v>2660</v>
      </c>
      <c r="E108" s="1827" t="s">
        <v>2661</v>
      </c>
      <c r="F108" s="1827" t="s">
        <v>2406</v>
      </c>
      <c r="G108" s="1827" t="s">
        <v>2662</v>
      </c>
      <c r="H108" s="1827" t="s">
        <v>24</v>
      </c>
      <c r="I108" s="1827" t="s">
        <v>830</v>
      </c>
    </row>
    <row r="109" spans="1:9" ht="11.25" customHeight="1">
      <c r="A109" s="1827" t="s">
        <v>2349</v>
      </c>
      <c r="B109" s="1827" t="s">
        <v>14</v>
      </c>
      <c r="C109" s="1827" t="s">
        <v>2663</v>
      </c>
      <c r="D109" s="1827" t="s">
        <v>2664</v>
      </c>
      <c r="E109" s="1827" t="s">
        <v>2619</v>
      </c>
      <c r="F109" s="1827" t="s">
        <v>2665</v>
      </c>
      <c r="G109" s="1827" t="s">
        <v>2621</v>
      </c>
      <c r="H109" s="1827" t="s">
        <v>24</v>
      </c>
      <c r="I109" s="1827" t="s">
        <v>830</v>
      </c>
    </row>
    <row r="110" spans="1:9" ht="11.25" customHeight="1">
      <c r="A110" s="1827" t="s">
        <v>2349</v>
      </c>
      <c r="B110" s="1827" t="s">
        <v>14</v>
      </c>
      <c r="C110" s="1827" t="s">
        <v>2666</v>
      </c>
      <c r="D110" s="1827" t="s">
        <v>2667</v>
      </c>
      <c r="E110" s="1827" t="s">
        <v>2668</v>
      </c>
      <c r="F110" s="1827" t="s">
        <v>2358</v>
      </c>
      <c r="G110" s="1827" t="s">
        <v>2669</v>
      </c>
      <c r="H110" s="1827" t="s">
        <v>24</v>
      </c>
      <c r="I110" s="1827" t="s">
        <v>792</v>
      </c>
    </row>
    <row r="111" spans="1:9" ht="11.25" customHeight="1">
      <c r="A111" s="1827" t="s">
        <v>2349</v>
      </c>
      <c r="B111" s="1827" t="s">
        <v>14</v>
      </c>
      <c r="C111" s="1827" t="s">
        <v>2670</v>
      </c>
      <c r="D111" s="1827" t="s">
        <v>2671</v>
      </c>
      <c r="E111" s="1827" t="s">
        <v>2672</v>
      </c>
      <c r="F111" s="1827" t="s">
        <v>50</v>
      </c>
      <c r="G111" s="1827" t="s">
        <v>2673</v>
      </c>
      <c r="H111" s="1827" t="s">
        <v>24</v>
      </c>
      <c r="I111" s="1827" t="s">
        <v>792</v>
      </c>
    </row>
    <row r="112" spans="1:9" ht="11.25" customHeight="1">
      <c r="A112" s="1827" t="s">
        <v>2349</v>
      </c>
      <c r="B112" s="1827" t="s">
        <v>14</v>
      </c>
      <c r="C112" s="1827" t="s">
        <v>2360</v>
      </c>
      <c r="D112" s="1827" t="s">
        <v>2361</v>
      </c>
      <c r="E112" s="1827" t="s">
        <v>2362</v>
      </c>
      <c r="F112" s="1827" t="s">
        <v>2358</v>
      </c>
      <c r="G112" s="1827" t="s">
        <v>2363</v>
      </c>
      <c r="H112" s="1827" t="s">
        <v>24</v>
      </c>
      <c r="I112" s="1827" t="s">
        <v>792</v>
      </c>
    </row>
    <row r="113" spans="1:9" ht="11.25" customHeight="1">
      <c r="A113" s="1827" t="s">
        <v>2349</v>
      </c>
      <c r="B113" s="1827" t="s">
        <v>14</v>
      </c>
      <c r="C113" s="1827" t="s">
        <v>2674</v>
      </c>
      <c r="D113" s="1827" t="s">
        <v>2675</v>
      </c>
      <c r="E113" s="1827" t="s">
        <v>2676</v>
      </c>
      <c r="F113" s="1827" t="s">
        <v>2632</v>
      </c>
      <c r="G113" s="1827" t="s">
        <v>2677</v>
      </c>
      <c r="H113" s="1827" t="s">
        <v>24</v>
      </c>
      <c r="I113" s="1827" t="s">
        <v>792</v>
      </c>
    </row>
    <row r="114" spans="1:9" ht="11.25" customHeight="1">
      <c r="A114" s="1827" t="s">
        <v>2349</v>
      </c>
      <c r="B114" s="1827" t="s">
        <v>14</v>
      </c>
      <c r="C114" s="1827" t="s">
        <v>2412</v>
      </c>
      <c r="D114" s="1827" t="s">
        <v>2413</v>
      </c>
      <c r="E114" s="1827" t="s">
        <v>2414</v>
      </c>
      <c r="F114" s="1827" t="s">
        <v>2415</v>
      </c>
      <c r="G114" s="1827" t="s">
        <v>2416</v>
      </c>
      <c r="H114" s="1827" t="s">
        <v>24</v>
      </c>
      <c r="I114" s="1827" t="s">
        <v>792</v>
      </c>
    </row>
    <row r="115" spans="1:9" ht="11.25" customHeight="1">
      <c r="A115" s="1827" t="s">
        <v>2349</v>
      </c>
      <c r="B115" s="1827" t="s">
        <v>14</v>
      </c>
      <c r="C115" s="1827" t="s">
        <v>2678</v>
      </c>
      <c r="D115" s="1827" t="s">
        <v>2679</v>
      </c>
      <c r="E115" s="1827" t="s">
        <v>2680</v>
      </c>
      <c r="F115" s="1827" t="s">
        <v>2632</v>
      </c>
      <c r="G115" s="1827" t="s">
        <v>2681</v>
      </c>
      <c r="H115" s="1827" t="s">
        <v>24</v>
      </c>
      <c r="I115" s="1827" t="s">
        <v>792</v>
      </c>
    </row>
    <row r="116" spans="1:9" ht="11.25" customHeight="1">
      <c r="A116" s="1827" t="s">
        <v>2349</v>
      </c>
      <c r="B116" s="1827" t="s">
        <v>14</v>
      </c>
      <c r="C116" s="1827" t="s">
        <v>2682</v>
      </c>
      <c r="D116" s="1827" t="s">
        <v>2683</v>
      </c>
      <c r="E116" s="1827" t="s">
        <v>2684</v>
      </c>
      <c r="F116" s="1827" t="s">
        <v>2685</v>
      </c>
      <c r="G116" s="1827" t="s">
        <v>2686</v>
      </c>
      <c r="H116" s="1827" t="s">
        <v>24</v>
      </c>
      <c r="I116" s="1827" t="s">
        <v>792</v>
      </c>
    </row>
    <row r="117" spans="1:9" ht="11.25" customHeight="1">
      <c r="A117" s="1827" t="s">
        <v>2349</v>
      </c>
      <c r="B117" s="1827" t="s">
        <v>14</v>
      </c>
      <c r="C117" s="1827" t="s">
        <v>2687</v>
      </c>
      <c r="D117" s="1827" t="s">
        <v>2688</v>
      </c>
      <c r="E117" s="1827" t="s">
        <v>2689</v>
      </c>
      <c r="F117" s="1827" t="s">
        <v>2690</v>
      </c>
      <c r="G117" s="1827" t="s">
        <v>2691</v>
      </c>
      <c r="H117" s="1827" t="s">
        <v>24</v>
      </c>
      <c r="I117" s="1827" t="s">
        <v>792</v>
      </c>
    </row>
    <row r="118" spans="1:9" ht="11.25" customHeight="1">
      <c r="A118" s="1827" t="s">
        <v>2349</v>
      </c>
      <c r="B118" s="1827" t="s">
        <v>14</v>
      </c>
      <c r="C118" s="1827" t="s">
        <v>2692</v>
      </c>
      <c r="D118" s="1827" t="s">
        <v>2693</v>
      </c>
      <c r="E118" s="1827" t="s">
        <v>2694</v>
      </c>
      <c r="F118" s="1827" t="s">
        <v>2690</v>
      </c>
      <c r="G118" s="1827" t="s">
        <v>2695</v>
      </c>
      <c r="H118" s="1827" t="s">
        <v>24</v>
      </c>
      <c r="I118" s="1827" t="s">
        <v>792</v>
      </c>
    </row>
    <row r="119" spans="1:9" ht="11.25" customHeight="1">
      <c r="A119" s="1827" t="s">
        <v>2349</v>
      </c>
      <c r="B119" s="1827" t="s">
        <v>14</v>
      </c>
      <c r="C119" s="1827" t="s">
        <v>2696</v>
      </c>
      <c r="D119" s="1827" t="s">
        <v>2697</v>
      </c>
      <c r="E119" s="1827" t="s">
        <v>2698</v>
      </c>
      <c r="F119" s="1827" t="s">
        <v>2685</v>
      </c>
      <c r="G119" s="1827" t="s">
        <v>2699</v>
      </c>
      <c r="H119" s="1827" t="s">
        <v>24</v>
      </c>
      <c r="I119" s="1827" t="s">
        <v>792</v>
      </c>
    </row>
    <row r="120" spans="1:9" ht="11.25" customHeight="1">
      <c r="A120" s="1827" t="s">
        <v>2349</v>
      </c>
      <c r="B120" s="1827" t="s">
        <v>14</v>
      </c>
      <c r="C120" s="1827" t="s">
        <v>2700</v>
      </c>
      <c r="D120" s="1827" t="s">
        <v>2701</v>
      </c>
      <c r="E120" s="1827" t="s">
        <v>2702</v>
      </c>
      <c r="F120" s="1827" t="s">
        <v>2601</v>
      </c>
      <c r="G120" s="1827" t="s">
        <v>2703</v>
      </c>
      <c r="H120" s="1827" t="s">
        <v>24</v>
      </c>
      <c r="I120" s="1827" t="s">
        <v>792</v>
      </c>
    </row>
    <row r="121" spans="1:9" ht="11.25" customHeight="1">
      <c r="A121" s="1827" t="s">
        <v>2349</v>
      </c>
      <c r="B121" s="1827" t="s">
        <v>14</v>
      </c>
      <c r="C121" s="1827" t="s">
        <v>2429</v>
      </c>
      <c r="D121" s="1827" t="s">
        <v>45</v>
      </c>
      <c r="E121" s="1827" t="s">
        <v>48</v>
      </c>
      <c r="F121" s="1827" t="s">
        <v>50</v>
      </c>
      <c r="G121" s="1827" t="s">
        <v>2430</v>
      </c>
      <c r="H121" s="1827" t="s">
        <v>24</v>
      </c>
      <c r="I121" s="1827" t="s">
        <v>792</v>
      </c>
    </row>
    <row r="122" spans="1:9" ht="11.25" customHeight="1">
      <c r="A122" s="1827" t="s">
        <v>2349</v>
      </c>
      <c r="B122" s="1827" t="s">
        <v>14</v>
      </c>
      <c r="C122" s="1827" t="s">
        <v>2704</v>
      </c>
      <c r="D122" s="1827" t="s">
        <v>2705</v>
      </c>
      <c r="E122" s="1827" t="s">
        <v>2706</v>
      </c>
      <c r="F122" s="1827" t="s">
        <v>2415</v>
      </c>
      <c r="G122" s="1827" t="s">
        <v>2707</v>
      </c>
      <c r="H122" s="1827" t="s">
        <v>24</v>
      </c>
      <c r="I122" s="1827" t="s">
        <v>792</v>
      </c>
    </row>
    <row r="123" spans="1:9" ht="11.25" customHeight="1">
      <c r="A123" s="1827" t="s">
        <v>2349</v>
      </c>
      <c r="B123" s="1827" t="s">
        <v>14</v>
      </c>
      <c r="C123" s="1827" t="s">
        <v>2708</v>
      </c>
      <c r="D123" s="1827" t="s">
        <v>2709</v>
      </c>
      <c r="E123" s="1827" t="s">
        <v>2710</v>
      </c>
      <c r="F123" s="1827" t="s">
        <v>2545</v>
      </c>
      <c r="G123" s="1827" t="s">
        <v>2711</v>
      </c>
      <c r="H123" s="1827" t="s">
        <v>24</v>
      </c>
      <c r="I123" s="1827" t="s">
        <v>792</v>
      </c>
    </row>
    <row r="124" spans="1:9" ht="11.25" customHeight="1">
      <c r="A124" s="1827" t="s">
        <v>2349</v>
      </c>
      <c r="B124" s="1827" t="s">
        <v>14</v>
      </c>
      <c r="C124" s="1827" t="s">
        <v>2712</v>
      </c>
      <c r="D124" s="1827" t="s">
        <v>2713</v>
      </c>
      <c r="E124" s="1827" t="s">
        <v>2714</v>
      </c>
      <c r="F124" s="1827" t="s">
        <v>599</v>
      </c>
      <c r="G124" s="1827" t="s">
        <v>2715</v>
      </c>
      <c r="H124" s="1827" t="s">
        <v>24</v>
      </c>
      <c r="I124" s="1827" t="s">
        <v>792</v>
      </c>
    </row>
    <row r="125" spans="1:9" ht="11.25" customHeight="1">
      <c r="A125" s="1827" t="s">
        <v>2349</v>
      </c>
      <c r="B125" s="1827" t="s">
        <v>14</v>
      </c>
      <c r="C125" s="1827" t="s">
        <v>2716</v>
      </c>
      <c r="D125" s="1827" t="s">
        <v>2717</v>
      </c>
      <c r="E125" s="1827" t="s">
        <v>2718</v>
      </c>
      <c r="F125" s="1827" t="s">
        <v>2719</v>
      </c>
      <c r="G125" s="1827" t="s">
        <v>2720</v>
      </c>
      <c r="H125" s="1827" t="s">
        <v>24</v>
      </c>
      <c r="I125" s="1827" t="s">
        <v>792</v>
      </c>
    </row>
    <row r="126" spans="1:9" ht="11.25" customHeight="1">
      <c r="A126" s="1827" t="s">
        <v>2349</v>
      </c>
      <c r="B126" s="1827" t="s">
        <v>14</v>
      </c>
      <c r="C126" s="1827" t="s">
        <v>2721</v>
      </c>
      <c r="D126" s="1827" t="s">
        <v>2722</v>
      </c>
      <c r="E126" s="1827" t="s">
        <v>2723</v>
      </c>
      <c r="F126" s="1827" t="s">
        <v>2724</v>
      </c>
      <c r="G126" s="1827" t="s">
        <v>2725</v>
      </c>
      <c r="H126" s="1827" t="s">
        <v>24</v>
      </c>
      <c r="I126" s="1827" t="s">
        <v>792</v>
      </c>
    </row>
    <row r="127" spans="1:9" ht="11.25" customHeight="1">
      <c r="A127" s="1827" t="s">
        <v>2349</v>
      </c>
      <c r="B127" s="1827" t="s">
        <v>14</v>
      </c>
      <c r="C127" s="1827" t="s">
        <v>2726</v>
      </c>
      <c r="D127" s="1827" t="s">
        <v>2727</v>
      </c>
      <c r="E127" s="1827" t="s">
        <v>2728</v>
      </c>
      <c r="F127" s="1827" t="s">
        <v>2724</v>
      </c>
      <c r="G127" s="1827" t="s">
        <v>2729</v>
      </c>
      <c r="H127" s="1827" t="s">
        <v>24</v>
      </c>
      <c r="I127" s="1827" t="s">
        <v>792</v>
      </c>
    </row>
    <row r="128" spans="1:9" ht="11.25" customHeight="1">
      <c r="A128" s="1827" t="s">
        <v>2349</v>
      </c>
      <c r="B128" s="1827" t="s">
        <v>14</v>
      </c>
      <c r="C128" s="1827" t="s">
        <v>2730</v>
      </c>
      <c r="D128" s="1827" t="s">
        <v>2731</v>
      </c>
      <c r="E128" s="1827" t="s">
        <v>2732</v>
      </c>
      <c r="F128" s="1827" t="s">
        <v>2733</v>
      </c>
      <c r="G128" s="1827" t="s">
        <v>2734</v>
      </c>
      <c r="H128" s="1827" t="s">
        <v>24</v>
      </c>
      <c r="I128" s="1827" t="s">
        <v>792</v>
      </c>
    </row>
    <row r="129" spans="1:9" ht="11.25" customHeight="1">
      <c r="A129" s="1827" t="s">
        <v>2349</v>
      </c>
      <c r="B129" s="1827" t="s">
        <v>14</v>
      </c>
      <c r="C129" s="1827" t="s">
        <v>2735</v>
      </c>
      <c r="D129" s="1827" t="s">
        <v>2736</v>
      </c>
      <c r="E129" s="1827" t="s">
        <v>2737</v>
      </c>
      <c r="F129" s="1827" t="s">
        <v>2733</v>
      </c>
      <c r="G129" s="1827" t="s">
        <v>2738</v>
      </c>
      <c r="H129" s="1827" t="s">
        <v>24</v>
      </c>
      <c r="I129" s="1827" t="s">
        <v>792</v>
      </c>
    </row>
    <row r="130" spans="1:9" ht="11.25" customHeight="1">
      <c r="A130" s="1827" t="s">
        <v>2349</v>
      </c>
      <c r="B130" s="1827" t="s">
        <v>14</v>
      </c>
      <c r="C130" s="1827" t="s">
        <v>2739</v>
      </c>
      <c r="D130" s="1827" t="s">
        <v>2740</v>
      </c>
      <c r="E130" s="1827" t="s">
        <v>2741</v>
      </c>
      <c r="F130" s="1827" t="s">
        <v>50</v>
      </c>
      <c r="G130" s="1827" t="s">
        <v>2742</v>
      </c>
      <c r="H130" s="1827" t="s">
        <v>24</v>
      </c>
      <c r="I130" s="1827" t="s">
        <v>792</v>
      </c>
    </row>
    <row r="131" spans="1:9" ht="11.25" customHeight="1">
      <c r="A131" s="1827" t="s">
        <v>2349</v>
      </c>
      <c r="B131" s="1827" t="s">
        <v>14</v>
      </c>
      <c r="C131" s="1827" t="s">
        <v>2743</v>
      </c>
      <c r="D131" s="1827" t="s">
        <v>2744</v>
      </c>
      <c r="E131" s="1827" t="s">
        <v>2745</v>
      </c>
      <c r="F131" s="1827" t="s">
        <v>2476</v>
      </c>
      <c r="G131" s="1827" t="s">
        <v>2746</v>
      </c>
      <c r="H131" s="1827" t="s">
        <v>24</v>
      </c>
      <c r="I131" s="1827" t="s">
        <v>792</v>
      </c>
    </row>
    <row r="132" spans="1:9" ht="11.25" customHeight="1">
      <c r="A132" s="1827" t="s">
        <v>2349</v>
      </c>
      <c r="B132" s="1827" t="s">
        <v>14</v>
      </c>
      <c r="C132" s="1827" t="s">
        <v>2747</v>
      </c>
      <c r="D132" s="1827" t="s">
        <v>2748</v>
      </c>
      <c r="E132" s="1827" t="s">
        <v>2749</v>
      </c>
      <c r="F132" s="1827" t="s">
        <v>2685</v>
      </c>
      <c r="G132" s="1827" t="s">
        <v>2750</v>
      </c>
      <c r="H132" s="1827" t="s">
        <v>24</v>
      </c>
      <c r="I132" s="1827" t="s">
        <v>792</v>
      </c>
    </row>
    <row r="133" spans="1:9" ht="11.25" customHeight="1">
      <c r="A133" s="1827" t="s">
        <v>2349</v>
      </c>
      <c r="B133" s="1827" t="s">
        <v>14</v>
      </c>
      <c r="C133" s="1827" t="s">
        <v>2751</v>
      </c>
      <c r="D133" s="1827" t="s">
        <v>2752</v>
      </c>
      <c r="E133" s="1827" t="s">
        <v>2753</v>
      </c>
      <c r="F133" s="1827" t="s">
        <v>2733</v>
      </c>
      <c r="G133" s="1827" t="s">
        <v>2754</v>
      </c>
      <c r="H133" s="1827" t="s">
        <v>24</v>
      </c>
      <c r="I133" s="1827" t="s">
        <v>792</v>
      </c>
    </row>
    <row r="134" spans="1:9" ht="11.25" customHeight="1">
      <c r="A134" s="1827" t="s">
        <v>2349</v>
      </c>
      <c r="B134" s="1827" t="s">
        <v>14</v>
      </c>
      <c r="C134" s="1827" t="s">
        <v>2473</v>
      </c>
      <c r="D134" s="1827" t="s">
        <v>2474</v>
      </c>
      <c r="E134" s="1827" t="s">
        <v>2475</v>
      </c>
      <c r="F134" s="1827" t="s">
        <v>2476</v>
      </c>
      <c r="G134" s="1827" t="s">
        <v>2477</v>
      </c>
      <c r="H134" s="1827" t="s">
        <v>24</v>
      </c>
      <c r="I134" s="1827" t="s">
        <v>792</v>
      </c>
    </row>
    <row r="135" spans="1:9" ht="11.25" customHeight="1">
      <c r="A135" s="1827" t="s">
        <v>2349</v>
      </c>
      <c r="B135" s="1827" t="s">
        <v>14</v>
      </c>
      <c r="C135" s="1827" t="s">
        <v>2755</v>
      </c>
      <c r="D135" s="1827" t="s">
        <v>2756</v>
      </c>
      <c r="E135" s="1827" t="s">
        <v>2757</v>
      </c>
      <c r="F135" s="1827" t="s">
        <v>2690</v>
      </c>
      <c r="G135" s="1827" t="s">
        <v>2758</v>
      </c>
      <c r="H135" s="1827" t="s">
        <v>24</v>
      </c>
      <c r="I135" s="1827" t="s">
        <v>792</v>
      </c>
    </row>
    <row r="136" spans="1:9" ht="11.25" customHeight="1">
      <c r="A136" s="1827" t="s">
        <v>2349</v>
      </c>
      <c r="B136" s="1827" t="s">
        <v>14</v>
      </c>
      <c r="C136" s="1827" t="s">
        <v>2759</v>
      </c>
      <c r="D136" s="1827" t="s">
        <v>2760</v>
      </c>
      <c r="E136" s="1827" t="s">
        <v>2761</v>
      </c>
      <c r="F136" s="1827" t="s">
        <v>2762</v>
      </c>
      <c r="G136" s="1827" t="s">
        <v>2763</v>
      </c>
      <c r="H136" s="1827" t="s">
        <v>24</v>
      </c>
      <c r="I136" s="1827" t="s">
        <v>792</v>
      </c>
    </row>
    <row r="137" spans="1:9" ht="11.25" customHeight="1">
      <c r="A137" s="1827" t="s">
        <v>2349</v>
      </c>
      <c r="B137" s="1827" t="s">
        <v>14</v>
      </c>
      <c r="C137" s="1827" t="s">
        <v>2764</v>
      </c>
      <c r="D137" s="1827" t="s">
        <v>2760</v>
      </c>
      <c r="E137" s="1827" t="s">
        <v>2765</v>
      </c>
      <c r="F137" s="1827" t="s">
        <v>2685</v>
      </c>
      <c r="G137" s="1827" t="s">
        <v>2766</v>
      </c>
      <c r="H137" s="1827" t="s">
        <v>24</v>
      </c>
      <c r="I137" s="1827" t="s">
        <v>792</v>
      </c>
    </row>
    <row r="138" spans="1:9" ht="11.25" customHeight="1">
      <c r="A138" s="1827" t="s">
        <v>2349</v>
      </c>
      <c r="B138" s="1827" t="s">
        <v>14</v>
      </c>
      <c r="C138" s="1827" t="s">
        <v>2767</v>
      </c>
      <c r="D138" s="1827" t="s">
        <v>2768</v>
      </c>
      <c r="E138" s="1827" t="s">
        <v>2769</v>
      </c>
      <c r="F138" s="1827" t="s">
        <v>2733</v>
      </c>
      <c r="G138" s="1827" t="s">
        <v>2770</v>
      </c>
      <c r="H138" s="1827" t="s">
        <v>24</v>
      </c>
      <c r="I138" s="1827" t="s">
        <v>792</v>
      </c>
    </row>
    <row r="139" spans="1:9" ht="11.25" customHeight="1">
      <c r="A139" s="1827" t="s">
        <v>2349</v>
      </c>
      <c r="B139" s="1827" t="s">
        <v>14</v>
      </c>
      <c r="C139" s="1827" t="s">
        <v>2771</v>
      </c>
      <c r="D139" s="1827" t="s">
        <v>2772</v>
      </c>
      <c r="E139" s="1827" t="s">
        <v>2773</v>
      </c>
      <c r="F139" s="1827" t="s">
        <v>2685</v>
      </c>
      <c r="G139" s="1827" t="s">
        <v>2774</v>
      </c>
      <c r="H139" s="1827" t="s">
        <v>24</v>
      </c>
      <c r="I139" s="1827" t="s">
        <v>792</v>
      </c>
    </row>
    <row r="140" spans="1:9" ht="11.25" customHeight="1">
      <c r="A140" s="1827" t="s">
        <v>2349</v>
      </c>
      <c r="B140" s="1827" t="s">
        <v>14</v>
      </c>
      <c r="C140" s="1827" t="s">
        <v>2775</v>
      </c>
      <c r="D140" s="1827" t="s">
        <v>2776</v>
      </c>
      <c r="E140" s="1827" t="s">
        <v>2777</v>
      </c>
      <c r="F140" s="1827" t="s">
        <v>2733</v>
      </c>
      <c r="G140" s="1827" t="s">
        <v>2778</v>
      </c>
      <c r="H140" s="1827" t="s">
        <v>2779</v>
      </c>
      <c r="I140" s="1827" t="s">
        <v>792</v>
      </c>
    </row>
    <row r="141" spans="1:9" ht="11.25" customHeight="1">
      <c r="A141" s="1827" t="s">
        <v>2349</v>
      </c>
      <c r="B141" s="1827" t="s">
        <v>14</v>
      </c>
      <c r="C141" s="1827" t="s">
        <v>2780</v>
      </c>
      <c r="D141" s="1827" t="s">
        <v>2781</v>
      </c>
      <c r="E141" s="1827" t="s">
        <v>2782</v>
      </c>
      <c r="F141" s="1827" t="s">
        <v>2380</v>
      </c>
      <c r="G141" s="1827" t="s">
        <v>2783</v>
      </c>
      <c r="H141" s="1827" t="s">
        <v>24</v>
      </c>
      <c r="I141" s="1827" t="s">
        <v>792</v>
      </c>
    </row>
    <row r="142" spans="1:9" ht="11.25" customHeight="1">
      <c r="A142" s="1827" t="s">
        <v>2349</v>
      </c>
      <c r="B142" s="1827" t="s">
        <v>14</v>
      </c>
      <c r="C142" s="1827" t="s">
        <v>2784</v>
      </c>
      <c r="D142" s="1827" t="s">
        <v>2785</v>
      </c>
      <c r="E142" s="1827" t="s">
        <v>2786</v>
      </c>
      <c r="F142" s="1827" t="s">
        <v>2415</v>
      </c>
      <c r="G142" s="1827" t="s">
        <v>2787</v>
      </c>
      <c r="H142" s="1827" t="s">
        <v>24</v>
      </c>
      <c r="I142" s="1827" t="s">
        <v>792</v>
      </c>
    </row>
    <row r="143" spans="1:9" ht="11.25" customHeight="1">
      <c r="A143" s="1827" t="s">
        <v>2349</v>
      </c>
      <c r="B143" s="1827" t="s">
        <v>14</v>
      </c>
      <c r="C143" s="1827" t="s">
        <v>2788</v>
      </c>
      <c r="D143" s="1827" t="s">
        <v>2789</v>
      </c>
      <c r="E143" s="1827" t="s">
        <v>2790</v>
      </c>
      <c r="F143" s="1827" t="s">
        <v>2353</v>
      </c>
      <c r="G143" s="1827" t="s">
        <v>2791</v>
      </c>
      <c r="H143" s="1827" t="s">
        <v>24</v>
      </c>
      <c r="I143" s="1827" t="s">
        <v>792</v>
      </c>
    </row>
    <row r="144" spans="1:9" ht="11.25" customHeight="1">
      <c r="A144" s="1827" t="s">
        <v>2349</v>
      </c>
      <c r="B144" s="1827" t="s">
        <v>14</v>
      </c>
      <c r="C144" s="1827" t="s">
        <v>2792</v>
      </c>
      <c r="D144" s="1827" t="s">
        <v>2793</v>
      </c>
      <c r="E144" s="1827" t="s">
        <v>2794</v>
      </c>
      <c r="F144" s="1827" t="s">
        <v>2762</v>
      </c>
      <c r="G144" s="1827" t="s">
        <v>2795</v>
      </c>
      <c r="H144" s="1827" t="s">
        <v>24</v>
      </c>
      <c r="I144" s="1827" t="s">
        <v>792</v>
      </c>
    </row>
    <row r="145" spans="1:9" ht="11.25" customHeight="1">
      <c r="A145" s="1827" t="s">
        <v>2349</v>
      </c>
      <c r="B145" s="1827" t="s">
        <v>14</v>
      </c>
      <c r="C145" s="1827" t="s">
        <v>2796</v>
      </c>
      <c r="D145" s="1827" t="s">
        <v>2797</v>
      </c>
      <c r="E145" s="1827" t="s">
        <v>2798</v>
      </c>
      <c r="F145" s="1827" t="s">
        <v>2685</v>
      </c>
      <c r="G145" s="1827" t="s">
        <v>2799</v>
      </c>
      <c r="H145" s="1827" t="s">
        <v>24</v>
      </c>
      <c r="I145" s="1827" t="s">
        <v>792</v>
      </c>
    </row>
    <row r="146" spans="1:9" ht="11.25" customHeight="1">
      <c r="A146" s="1827" t="s">
        <v>2349</v>
      </c>
      <c r="B146" s="1827" t="s">
        <v>14</v>
      </c>
      <c r="C146" s="1827" t="s">
        <v>2800</v>
      </c>
      <c r="D146" s="1827" t="s">
        <v>2801</v>
      </c>
      <c r="E146" s="1827" t="s">
        <v>2802</v>
      </c>
      <c r="F146" s="1827" t="s">
        <v>2803</v>
      </c>
      <c r="G146" s="1827" t="s">
        <v>2804</v>
      </c>
      <c r="H146" s="1827" t="s">
        <v>24</v>
      </c>
      <c r="I146" s="1827" t="s">
        <v>792</v>
      </c>
    </row>
    <row r="147" spans="1:9" ht="11.25" customHeight="1">
      <c r="A147" s="1827" t="s">
        <v>2349</v>
      </c>
      <c r="B147" s="1827" t="s">
        <v>14</v>
      </c>
      <c r="C147" s="1827" t="s">
        <v>2493</v>
      </c>
      <c r="D147" s="1827" t="s">
        <v>2494</v>
      </c>
      <c r="E147" s="1827" t="s">
        <v>2495</v>
      </c>
      <c r="F147" s="1827" t="s">
        <v>2380</v>
      </c>
      <c r="G147" s="1827" t="s">
        <v>2496</v>
      </c>
      <c r="H147" s="1827" t="s">
        <v>24</v>
      </c>
      <c r="I147" s="1827" t="s">
        <v>792</v>
      </c>
    </row>
    <row r="148" spans="1:9" ht="11.25" customHeight="1">
      <c r="A148" s="1827" t="s">
        <v>2349</v>
      </c>
      <c r="B148" s="1827" t="s">
        <v>14</v>
      </c>
      <c r="C148" s="1827" t="s">
        <v>2805</v>
      </c>
      <c r="D148" s="1827" t="s">
        <v>2806</v>
      </c>
      <c r="E148" s="1827" t="s">
        <v>2807</v>
      </c>
      <c r="F148" s="1827" t="s">
        <v>2353</v>
      </c>
      <c r="G148" s="1827" t="s">
        <v>2808</v>
      </c>
      <c r="H148" s="1827" t="s">
        <v>24</v>
      </c>
      <c r="I148" s="1827" t="s">
        <v>792</v>
      </c>
    </row>
    <row r="149" spans="1:9" ht="11.25" customHeight="1">
      <c r="A149" s="1827" t="s">
        <v>2349</v>
      </c>
      <c r="B149" s="1827" t="s">
        <v>14</v>
      </c>
      <c r="C149" s="1827" t="s">
        <v>2809</v>
      </c>
      <c r="D149" s="1827" t="s">
        <v>2810</v>
      </c>
      <c r="E149" s="1827" t="s">
        <v>2811</v>
      </c>
      <c r="F149" s="1827" t="s">
        <v>2724</v>
      </c>
      <c r="G149" s="1827" t="s">
        <v>2812</v>
      </c>
      <c r="H149" s="1827" t="s">
        <v>24</v>
      </c>
      <c r="I149" s="1827" t="s">
        <v>792</v>
      </c>
    </row>
    <row r="150" spans="1:9" ht="11.25" customHeight="1">
      <c r="A150" s="1827" t="s">
        <v>2349</v>
      </c>
      <c r="B150" s="1827" t="s">
        <v>14</v>
      </c>
      <c r="C150" s="1827" t="s">
        <v>2813</v>
      </c>
      <c r="D150" s="1827" t="s">
        <v>2814</v>
      </c>
      <c r="E150" s="1827" t="s">
        <v>2815</v>
      </c>
      <c r="F150" s="1827" t="s">
        <v>2690</v>
      </c>
      <c r="G150" s="1827" t="s">
        <v>2816</v>
      </c>
      <c r="H150" s="1827" t="s">
        <v>2817</v>
      </c>
      <c r="I150" s="1827" t="s">
        <v>792</v>
      </c>
    </row>
    <row r="151" spans="1:9" ht="11.25" customHeight="1">
      <c r="A151" s="1827" t="s">
        <v>2349</v>
      </c>
      <c r="B151" s="1827" t="s">
        <v>14</v>
      </c>
      <c r="C151" s="1827" t="s">
        <v>2818</v>
      </c>
      <c r="D151" s="1827" t="s">
        <v>2819</v>
      </c>
      <c r="E151" s="1827" t="s">
        <v>2820</v>
      </c>
      <c r="F151" s="1827" t="s">
        <v>2415</v>
      </c>
      <c r="G151" s="1827" t="s">
        <v>2821</v>
      </c>
      <c r="H151" s="1827" t="s">
        <v>24</v>
      </c>
      <c r="I151" s="1827" t="s">
        <v>792</v>
      </c>
    </row>
    <row r="152" spans="1:9" ht="11.25" customHeight="1">
      <c r="A152" s="1827" t="s">
        <v>2349</v>
      </c>
      <c r="B152" s="1827" t="s">
        <v>14</v>
      </c>
      <c r="C152" s="1827" t="s">
        <v>2822</v>
      </c>
      <c r="D152" s="1827" t="s">
        <v>2823</v>
      </c>
      <c r="E152" s="1827" t="s">
        <v>2824</v>
      </c>
      <c r="F152" s="1827" t="s">
        <v>2719</v>
      </c>
      <c r="G152" s="1827" t="s">
        <v>2825</v>
      </c>
      <c r="H152" s="1827" t="s">
        <v>24</v>
      </c>
      <c r="I152" s="1827" t="s">
        <v>792</v>
      </c>
    </row>
    <row r="153" spans="1:9" ht="11.25" customHeight="1">
      <c r="A153" s="1827" t="s">
        <v>2349</v>
      </c>
      <c r="B153" s="1827" t="s">
        <v>14</v>
      </c>
      <c r="C153" s="1827" t="s">
        <v>2826</v>
      </c>
      <c r="D153" s="1827" t="s">
        <v>2827</v>
      </c>
      <c r="E153" s="1827" t="s">
        <v>2828</v>
      </c>
      <c r="F153" s="1827" t="s">
        <v>2803</v>
      </c>
      <c r="G153" s="1827" t="s">
        <v>24</v>
      </c>
      <c r="H153" s="1827" t="s">
        <v>24</v>
      </c>
      <c r="I153" s="1827" t="s">
        <v>792</v>
      </c>
    </row>
    <row r="154" spans="1:9" ht="11.25" customHeight="1">
      <c r="A154" s="1827" t="s">
        <v>2349</v>
      </c>
      <c r="B154" s="1827" t="s">
        <v>14</v>
      </c>
      <c r="C154" s="1827" t="s">
        <v>2829</v>
      </c>
      <c r="D154" s="1827" t="s">
        <v>2830</v>
      </c>
      <c r="E154" s="1827" t="s">
        <v>2831</v>
      </c>
      <c r="F154" s="1827" t="s">
        <v>2415</v>
      </c>
      <c r="G154" s="1827" t="s">
        <v>2821</v>
      </c>
      <c r="H154" s="1827" t="s">
        <v>24</v>
      </c>
      <c r="I154" s="1827" t="s">
        <v>792</v>
      </c>
    </row>
    <row r="155" spans="1:9" ht="11.25" customHeight="1">
      <c r="A155" s="1827" t="s">
        <v>2349</v>
      </c>
      <c r="B155" s="1827" t="s">
        <v>14</v>
      </c>
      <c r="C155" s="1827" t="s">
        <v>2523</v>
      </c>
      <c r="D155" s="1827" t="s">
        <v>2524</v>
      </c>
      <c r="E155" s="1827" t="s">
        <v>2525</v>
      </c>
      <c r="F155" s="1827" t="s">
        <v>2415</v>
      </c>
      <c r="G155" s="1827" t="s">
        <v>2526</v>
      </c>
      <c r="H155" s="1827" t="s">
        <v>24</v>
      </c>
      <c r="I155" s="1827" t="s">
        <v>792</v>
      </c>
    </row>
    <row r="156" spans="1:9" ht="11.25" customHeight="1">
      <c r="A156" s="1827" t="s">
        <v>2349</v>
      </c>
      <c r="B156" s="1827" t="s">
        <v>14</v>
      </c>
      <c r="C156" s="1827" t="s">
        <v>2832</v>
      </c>
      <c r="D156" s="1827" t="s">
        <v>2833</v>
      </c>
      <c r="E156" s="1827" t="s">
        <v>2834</v>
      </c>
      <c r="F156" s="1827" t="s">
        <v>2835</v>
      </c>
      <c r="G156" s="1827" t="s">
        <v>2836</v>
      </c>
      <c r="H156" s="1827" t="s">
        <v>24</v>
      </c>
      <c r="I156" s="1827" t="s">
        <v>792</v>
      </c>
    </row>
    <row r="157" spans="1:9" ht="11.25" customHeight="1">
      <c r="A157" s="1827" t="s">
        <v>2349</v>
      </c>
      <c r="B157" s="1827" t="s">
        <v>14</v>
      </c>
      <c r="C157" s="1827" t="s">
        <v>2837</v>
      </c>
      <c r="D157" s="1827" t="s">
        <v>2838</v>
      </c>
      <c r="E157" s="1827" t="s">
        <v>2839</v>
      </c>
      <c r="F157" s="1827" t="s">
        <v>2762</v>
      </c>
      <c r="G157" s="1827" t="s">
        <v>2840</v>
      </c>
      <c r="H157" s="1827" t="s">
        <v>24</v>
      </c>
      <c r="I157" s="1827" t="s">
        <v>792</v>
      </c>
    </row>
    <row r="158" spans="1:9" ht="11.25" customHeight="1">
      <c r="A158" s="1827" t="s">
        <v>2349</v>
      </c>
      <c r="B158" s="1827" t="s">
        <v>14</v>
      </c>
      <c r="C158" s="1827" t="s">
        <v>2841</v>
      </c>
      <c r="D158" s="1827" t="s">
        <v>2842</v>
      </c>
      <c r="E158" s="1827" t="s">
        <v>2843</v>
      </c>
      <c r="F158" s="1827" t="s">
        <v>2545</v>
      </c>
      <c r="G158" s="1827" t="s">
        <v>2844</v>
      </c>
      <c r="H158" s="1827" t="s">
        <v>24</v>
      </c>
      <c r="I158" s="1827" t="s">
        <v>792</v>
      </c>
    </row>
    <row r="159" spans="1:9" ht="11.25" customHeight="1">
      <c r="A159" s="1827" t="s">
        <v>2349</v>
      </c>
      <c r="B159" s="1827" t="s">
        <v>14</v>
      </c>
      <c r="C159" s="1827" t="s">
        <v>2845</v>
      </c>
      <c r="D159" s="1827" t="s">
        <v>2846</v>
      </c>
      <c r="E159" s="1827" t="s">
        <v>2847</v>
      </c>
      <c r="F159" s="1827" t="s">
        <v>2545</v>
      </c>
      <c r="G159" s="1827" t="s">
        <v>2848</v>
      </c>
      <c r="H159" s="1827" t="s">
        <v>24</v>
      </c>
      <c r="I159" s="1827" t="s">
        <v>792</v>
      </c>
    </row>
    <row r="160" spans="1:9" ht="11.25" customHeight="1">
      <c r="A160" s="1827" t="s">
        <v>2349</v>
      </c>
      <c r="B160" s="1827" t="s">
        <v>14</v>
      </c>
      <c r="C160" s="1827" t="s">
        <v>2849</v>
      </c>
      <c r="D160" s="1827" t="s">
        <v>2850</v>
      </c>
      <c r="E160" s="1827" t="s">
        <v>2851</v>
      </c>
      <c r="F160" s="1827" t="s">
        <v>50</v>
      </c>
      <c r="G160" s="1827" t="s">
        <v>2557</v>
      </c>
      <c r="H160" s="1827" t="s">
        <v>24</v>
      </c>
      <c r="I160" s="1827" t="s">
        <v>792</v>
      </c>
    </row>
    <row r="161" spans="1:9" ht="11.25" customHeight="1">
      <c r="A161" s="1827" t="s">
        <v>2349</v>
      </c>
      <c r="B161" s="1827" t="s">
        <v>14</v>
      </c>
      <c r="C161" s="1827" t="s">
        <v>2852</v>
      </c>
      <c r="D161" s="1827" t="s">
        <v>2853</v>
      </c>
      <c r="E161" s="1827" t="s">
        <v>2854</v>
      </c>
      <c r="F161" s="1827" t="s">
        <v>2719</v>
      </c>
      <c r="G161" s="1827" t="s">
        <v>2855</v>
      </c>
      <c r="H161" s="1827" t="s">
        <v>24</v>
      </c>
      <c r="I161" s="1827" t="s">
        <v>792</v>
      </c>
    </row>
    <row r="162" spans="1:9" ht="11.25" customHeight="1">
      <c r="A162" s="1827" t="s">
        <v>2349</v>
      </c>
      <c r="B162" s="1827" t="s">
        <v>14</v>
      </c>
      <c r="C162" s="1827" t="s">
        <v>2856</v>
      </c>
      <c r="D162" s="1827" t="s">
        <v>2857</v>
      </c>
      <c r="E162" s="1827" t="s">
        <v>2858</v>
      </c>
      <c r="F162" s="1827" t="s">
        <v>2401</v>
      </c>
      <c r="G162" s="1827" t="s">
        <v>2859</v>
      </c>
      <c r="H162" s="1827" t="s">
        <v>24</v>
      </c>
      <c r="I162" s="1827" t="s">
        <v>792</v>
      </c>
    </row>
    <row r="163" spans="1:9" ht="11.25" customHeight="1">
      <c r="A163" s="1827" t="s">
        <v>2349</v>
      </c>
      <c r="B163" s="1827" t="s">
        <v>14</v>
      </c>
      <c r="C163" s="1827" t="s">
        <v>2612</v>
      </c>
      <c r="D163" s="1827" t="s">
        <v>2613</v>
      </c>
      <c r="E163" s="1827" t="s">
        <v>2614</v>
      </c>
      <c r="F163" s="1827" t="s">
        <v>2615</v>
      </c>
      <c r="G163" s="1827" t="s">
        <v>2616</v>
      </c>
      <c r="H163" s="1827" t="s">
        <v>24</v>
      </c>
      <c r="I163" s="1827" t="s">
        <v>792</v>
      </c>
    </row>
    <row r="164" spans="1:9" ht="11.25" customHeight="1">
      <c r="A164" s="1827" t="s">
        <v>2349</v>
      </c>
      <c r="B164" s="1827" t="s">
        <v>14</v>
      </c>
      <c r="C164" s="1827" t="s">
        <v>24</v>
      </c>
      <c r="D164" s="1827" t="s">
        <v>2630</v>
      </c>
      <c r="E164" s="1827" t="s">
        <v>2631</v>
      </c>
      <c r="F164" s="1827" t="s">
        <v>2632</v>
      </c>
      <c r="G164" s="1827" t="s">
        <v>24</v>
      </c>
      <c r="H164" s="1827" t="s">
        <v>24</v>
      </c>
      <c r="I164" s="1827" t="s">
        <v>792</v>
      </c>
    </row>
    <row r="165" spans="1:9" ht="11.25" customHeight="1">
      <c r="A165" s="1827" t="s">
        <v>2349</v>
      </c>
      <c r="B165" s="1827" t="s">
        <v>14</v>
      </c>
      <c r="C165" s="1827" t="s">
        <v>2860</v>
      </c>
      <c r="D165" s="1827" t="s">
        <v>2861</v>
      </c>
      <c r="E165" s="1827" t="s">
        <v>2862</v>
      </c>
      <c r="F165" s="1827" t="s">
        <v>2415</v>
      </c>
      <c r="G165" s="1827" t="s">
        <v>2863</v>
      </c>
      <c r="H165" s="1827" t="s">
        <v>24</v>
      </c>
      <c r="I165" s="1827" t="s">
        <v>792</v>
      </c>
    </row>
    <row r="166" spans="1:9" ht="11.25" customHeight="1">
      <c r="A166" s="1827" t="s">
        <v>2349</v>
      </c>
      <c r="B166" s="1827" t="s">
        <v>14</v>
      </c>
      <c r="C166" s="1827" t="s">
        <v>2864</v>
      </c>
      <c r="D166" s="1827" t="s">
        <v>2865</v>
      </c>
      <c r="E166" s="1827" t="s">
        <v>2866</v>
      </c>
      <c r="F166" s="1827" t="s">
        <v>2724</v>
      </c>
      <c r="G166" s="1827" t="s">
        <v>2867</v>
      </c>
      <c r="H166" s="1827" t="s">
        <v>24</v>
      </c>
      <c r="I166" s="1827" t="s">
        <v>792</v>
      </c>
    </row>
    <row r="167" spans="1:9" ht="11.25" customHeight="1">
      <c r="A167" s="1827" t="s">
        <v>2349</v>
      </c>
      <c r="B167" s="1827" t="s">
        <v>14</v>
      </c>
      <c r="C167" s="1827" t="s">
        <v>2868</v>
      </c>
      <c r="D167" s="1827" t="s">
        <v>2869</v>
      </c>
      <c r="E167" s="1827" t="s">
        <v>2870</v>
      </c>
      <c r="F167" s="1827" t="s">
        <v>2690</v>
      </c>
      <c r="G167" s="1827" t="s">
        <v>2871</v>
      </c>
      <c r="H167" s="1827" t="s">
        <v>2872</v>
      </c>
      <c r="I167" s="1827" t="s">
        <v>792</v>
      </c>
    </row>
    <row r="168" spans="1:9" ht="11.25" customHeight="1">
      <c r="A168" s="1827" t="s">
        <v>2349</v>
      </c>
      <c r="B168" s="1827" t="s">
        <v>14</v>
      </c>
      <c r="C168" s="1827" t="s">
        <v>2873</v>
      </c>
      <c r="D168" s="1827" t="s">
        <v>2874</v>
      </c>
      <c r="E168" s="1827" t="s">
        <v>2875</v>
      </c>
      <c r="F168" s="1827" t="s">
        <v>2690</v>
      </c>
      <c r="G168" s="1827" t="s">
        <v>2876</v>
      </c>
      <c r="H168" s="1827" t="s">
        <v>24</v>
      </c>
      <c r="I168" s="1827" t="s">
        <v>792</v>
      </c>
    </row>
    <row r="169" spans="1:9" ht="11.25" customHeight="1">
      <c r="A169" s="1827" t="s">
        <v>2349</v>
      </c>
      <c r="B169" s="1827" t="s">
        <v>14</v>
      </c>
      <c r="C169" s="1827" t="s">
        <v>2877</v>
      </c>
      <c r="D169" s="1827" t="s">
        <v>2878</v>
      </c>
      <c r="E169" s="1827" t="s">
        <v>2879</v>
      </c>
      <c r="F169" s="1827" t="s">
        <v>2724</v>
      </c>
      <c r="G169" s="1827" t="s">
        <v>2880</v>
      </c>
      <c r="H169" s="1827" t="s">
        <v>24</v>
      </c>
      <c r="I169" s="1827" t="s">
        <v>792</v>
      </c>
    </row>
    <row r="170" spans="1:9" ht="11.25" customHeight="1">
      <c r="A170" s="1827" t="s">
        <v>2349</v>
      </c>
      <c r="B170" s="1827" t="s">
        <v>14</v>
      </c>
      <c r="C170" s="1827" t="s">
        <v>2638</v>
      </c>
      <c r="D170" s="1827" t="s">
        <v>2639</v>
      </c>
      <c r="E170" s="1827" t="s">
        <v>2640</v>
      </c>
      <c r="F170" s="1827" t="s">
        <v>2641</v>
      </c>
      <c r="G170" s="1827" t="s">
        <v>24</v>
      </c>
      <c r="H170" s="1827" t="s">
        <v>24</v>
      </c>
      <c r="I170" s="1827" t="s">
        <v>792</v>
      </c>
    </row>
    <row r="171" spans="1:9" ht="11.25" customHeight="1">
      <c r="A171" s="1827" t="s">
        <v>2349</v>
      </c>
      <c r="B171" s="1827" t="s">
        <v>14</v>
      </c>
      <c r="C171" s="1827" t="s">
        <v>2642</v>
      </c>
      <c r="D171" s="1827" t="s">
        <v>2643</v>
      </c>
      <c r="E171" s="1827" t="s">
        <v>2644</v>
      </c>
      <c r="F171" s="1827" t="s">
        <v>2645</v>
      </c>
      <c r="G171" s="1827" t="s">
        <v>2646</v>
      </c>
      <c r="H171" s="1827" t="s">
        <v>24</v>
      </c>
      <c r="I171" s="1827" t="s">
        <v>792</v>
      </c>
    </row>
    <row r="172" spans="1:9" ht="11.25" customHeight="1">
      <c r="A172" s="1827" t="s">
        <v>2349</v>
      </c>
      <c r="B172" s="1827" t="s">
        <v>14</v>
      </c>
      <c r="C172" s="1827" t="s">
        <v>2650</v>
      </c>
      <c r="D172" s="1827" t="s">
        <v>2651</v>
      </c>
      <c r="E172" s="1827" t="s">
        <v>2652</v>
      </c>
      <c r="F172" s="1827" t="s">
        <v>2653</v>
      </c>
      <c r="G172" s="1827" t="s">
        <v>2467</v>
      </c>
      <c r="H172" s="1827" t="s">
        <v>24</v>
      </c>
      <c r="I172" s="1827" t="s">
        <v>792</v>
      </c>
    </row>
    <row r="173" spans="1:9" ht="11.25" customHeight="1">
      <c r="A173" s="1827" t="s">
        <v>2349</v>
      </c>
      <c r="B173" s="1827" t="s">
        <v>14</v>
      </c>
      <c r="C173" s="1827" t="s">
        <v>2881</v>
      </c>
      <c r="D173" s="1827" t="s">
        <v>2882</v>
      </c>
      <c r="E173" s="1827" t="s">
        <v>2883</v>
      </c>
      <c r="F173" s="1827" t="s">
        <v>2719</v>
      </c>
      <c r="G173" s="1827" t="s">
        <v>2884</v>
      </c>
      <c r="H173" s="1827" t="s">
        <v>24</v>
      </c>
      <c r="I173" s="1827" t="s">
        <v>792</v>
      </c>
    </row>
    <row r="174" spans="1:9" ht="11.25" customHeight="1">
      <c r="A174" s="1827" t="s">
        <v>2349</v>
      </c>
      <c r="B174" s="1827" t="s">
        <v>14</v>
      </c>
      <c r="C174" s="1827" t="s">
        <v>2654</v>
      </c>
      <c r="D174" s="1827" t="s">
        <v>2655</v>
      </c>
      <c r="E174" s="1827" t="s">
        <v>2656</v>
      </c>
      <c r="F174" s="1827" t="s">
        <v>2657</v>
      </c>
      <c r="G174" s="1827" t="s">
        <v>2658</v>
      </c>
      <c r="H174" s="1827" t="s">
        <v>24</v>
      </c>
      <c r="I174" s="1827" t="s">
        <v>792</v>
      </c>
    </row>
    <row r="175" spans="1:9" ht="11.25" customHeight="1">
      <c r="A175" s="1827" t="s">
        <v>2349</v>
      </c>
      <c r="B175" s="1827" t="s">
        <v>14</v>
      </c>
      <c r="C175" s="1827" t="s">
        <v>2666</v>
      </c>
      <c r="D175" s="1827" t="s">
        <v>2667</v>
      </c>
      <c r="E175" s="1827" t="s">
        <v>2668</v>
      </c>
      <c r="F175" s="1827" t="s">
        <v>2358</v>
      </c>
      <c r="G175" s="1827" t="s">
        <v>2669</v>
      </c>
      <c r="H175" s="1827" t="s">
        <v>24</v>
      </c>
      <c r="I175" s="1827" t="s">
        <v>844</v>
      </c>
    </row>
    <row r="176" spans="1:9" ht="11.25" customHeight="1">
      <c r="A176" s="1827" t="s">
        <v>2349</v>
      </c>
      <c r="B176" s="1827" t="s">
        <v>14</v>
      </c>
      <c r="C176" s="1827" t="s">
        <v>2360</v>
      </c>
      <c r="D176" s="1827" t="s">
        <v>2361</v>
      </c>
      <c r="E176" s="1827" t="s">
        <v>2362</v>
      </c>
      <c r="F176" s="1827" t="s">
        <v>2358</v>
      </c>
      <c r="G176" s="1827" t="s">
        <v>2363</v>
      </c>
      <c r="H176" s="1827" t="s">
        <v>24</v>
      </c>
      <c r="I176" s="1827" t="s">
        <v>844</v>
      </c>
    </row>
    <row r="177" spans="1:9" ht="11.25" customHeight="1">
      <c r="A177" s="1827" t="s">
        <v>2349</v>
      </c>
      <c r="B177" s="1827" t="s">
        <v>14</v>
      </c>
      <c r="C177" s="1827" t="s">
        <v>2412</v>
      </c>
      <c r="D177" s="1827" t="s">
        <v>2413</v>
      </c>
      <c r="E177" s="1827" t="s">
        <v>2414</v>
      </c>
      <c r="F177" s="1827" t="s">
        <v>2415</v>
      </c>
      <c r="G177" s="1827" t="s">
        <v>2416</v>
      </c>
      <c r="H177" s="1827" t="s">
        <v>24</v>
      </c>
      <c r="I177" s="1827" t="s">
        <v>844</v>
      </c>
    </row>
    <row r="178" spans="1:9" ht="11.25" customHeight="1">
      <c r="A178" s="1827" t="s">
        <v>2349</v>
      </c>
      <c r="B178" s="1827" t="s">
        <v>14</v>
      </c>
      <c r="C178" s="1827" t="s">
        <v>2692</v>
      </c>
      <c r="D178" s="1827" t="s">
        <v>2693</v>
      </c>
      <c r="E178" s="1827" t="s">
        <v>2694</v>
      </c>
      <c r="F178" s="1827" t="s">
        <v>2690</v>
      </c>
      <c r="G178" s="1827" t="s">
        <v>2695</v>
      </c>
      <c r="H178" s="1827" t="s">
        <v>24</v>
      </c>
      <c r="I178" s="1827" t="s">
        <v>844</v>
      </c>
    </row>
    <row r="179" spans="1:9" ht="11.25" customHeight="1">
      <c r="A179" s="1827" t="s">
        <v>2349</v>
      </c>
      <c r="B179" s="1827" t="s">
        <v>14</v>
      </c>
      <c r="C179" s="1827" t="s">
        <v>2700</v>
      </c>
      <c r="D179" s="1827" t="s">
        <v>2701</v>
      </c>
      <c r="E179" s="1827" t="s">
        <v>2702</v>
      </c>
      <c r="F179" s="1827" t="s">
        <v>2601</v>
      </c>
      <c r="G179" s="1827" t="s">
        <v>2703</v>
      </c>
      <c r="H179" s="1827" t="s">
        <v>24</v>
      </c>
      <c r="I179" s="1827" t="s">
        <v>844</v>
      </c>
    </row>
    <row r="180" spans="1:9" ht="11.25" customHeight="1">
      <c r="A180" s="1827" t="s">
        <v>2349</v>
      </c>
      <c r="B180" s="1827" t="s">
        <v>14</v>
      </c>
      <c r="C180" s="1827" t="s">
        <v>2429</v>
      </c>
      <c r="D180" s="1827" t="s">
        <v>45</v>
      </c>
      <c r="E180" s="1827" t="s">
        <v>48</v>
      </c>
      <c r="F180" s="1827" t="s">
        <v>50</v>
      </c>
      <c r="G180" s="1827" t="s">
        <v>2430</v>
      </c>
      <c r="H180" s="1827" t="s">
        <v>24</v>
      </c>
      <c r="I180" s="1827" t="s">
        <v>844</v>
      </c>
    </row>
    <row r="181" spans="1:9" ht="11.25" customHeight="1">
      <c r="A181" s="1827" t="s">
        <v>2349</v>
      </c>
      <c r="B181" s="1827" t="s">
        <v>14</v>
      </c>
      <c r="C181" s="1827" t="s">
        <v>2885</v>
      </c>
      <c r="D181" s="1827" t="s">
        <v>2886</v>
      </c>
      <c r="E181" s="1827" t="s">
        <v>2887</v>
      </c>
      <c r="F181" s="1827" t="s">
        <v>50</v>
      </c>
      <c r="G181" s="1827" t="s">
        <v>2888</v>
      </c>
      <c r="H181" s="1827" t="s">
        <v>24</v>
      </c>
      <c r="I181" s="1827" t="s">
        <v>844</v>
      </c>
    </row>
    <row r="182" spans="1:9" ht="11.25" customHeight="1">
      <c r="A182" s="1827" t="s">
        <v>2349</v>
      </c>
      <c r="B182" s="1827" t="s">
        <v>14</v>
      </c>
      <c r="C182" s="1827" t="s">
        <v>2708</v>
      </c>
      <c r="D182" s="1827" t="s">
        <v>2709</v>
      </c>
      <c r="E182" s="1827" t="s">
        <v>2710</v>
      </c>
      <c r="F182" s="1827" t="s">
        <v>2545</v>
      </c>
      <c r="G182" s="1827" t="s">
        <v>2711</v>
      </c>
      <c r="H182" s="1827" t="s">
        <v>24</v>
      </c>
      <c r="I182" s="1827" t="s">
        <v>844</v>
      </c>
    </row>
    <row r="183" spans="1:9" ht="11.25" customHeight="1">
      <c r="A183" s="1827" t="s">
        <v>2349</v>
      </c>
      <c r="B183" s="1827" t="s">
        <v>14</v>
      </c>
      <c r="C183" s="1827" t="s">
        <v>2739</v>
      </c>
      <c r="D183" s="1827" t="s">
        <v>2740</v>
      </c>
      <c r="E183" s="1827" t="s">
        <v>2741</v>
      </c>
      <c r="F183" s="1827" t="s">
        <v>50</v>
      </c>
      <c r="G183" s="1827" t="s">
        <v>2742</v>
      </c>
      <c r="H183" s="1827" t="s">
        <v>24</v>
      </c>
      <c r="I183" s="1827" t="s">
        <v>844</v>
      </c>
    </row>
    <row r="184" spans="1:9" ht="11.25" customHeight="1">
      <c r="A184" s="1827" t="s">
        <v>2349</v>
      </c>
      <c r="B184" s="1827" t="s">
        <v>14</v>
      </c>
      <c r="C184" s="1827" t="s">
        <v>2889</v>
      </c>
      <c r="D184" s="1827" t="s">
        <v>2890</v>
      </c>
      <c r="E184" s="1827" t="s">
        <v>2891</v>
      </c>
      <c r="F184" s="1827" t="s">
        <v>2476</v>
      </c>
      <c r="G184" s="1827" t="s">
        <v>2892</v>
      </c>
      <c r="H184" s="1827" t="s">
        <v>24</v>
      </c>
      <c r="I184" s="1827" t="s">
        <v>844</v>
      </c>
    </row>
    <row r="185" spans="1:9" ht="11.25" customHeight="1">
      <c r="A185" s="1827" t="s">
        <v>2349</v>
      </c>
      <c r="B185" s="1827" t="s">
        <v>14</v>
      </c>
      <c r="C185" s="1827" t="s">
        <v>2493</v>
      </c>
      <c r="D185" s="1827" t="s">
        <v>2494</v>
      </c>
      <c r="E185" s="1827" t="s">
        <v>2495</v>
      </c>
      <c r="F185" s="1827" t="s">
        <v>2380</v>
      </c>
      <c r="G185" s="1827" t="s">
        <v>2496</v>
      </c>
      <c r="H185" s="1827" t="s">
        <v>24</v>
      </c>
      <c r="I185" s="1827" t="s">
        <v>844</v>
      </c>
    </row>
    <row r="186" spans="1:9" ht="11.25" customHeight="1">
      <c r="A186" s="1827" t="s">
        <v>2349</v>
      </c>
      <c r="B186" s="1827" t="s">
        <v>14</v>
      </c>
      <c r="C186" s="1827" t="s">
        <v>2893</v>
      </c>
      <c r="D186" s="1827" t="s">
        <v>2894</v>
      </c>
      <c r="E186" s="1827" t="s">
        <v>2895</v>
      </c>
      <c r="F186" s="1827" t="s">
        <v>2896</v>
      </c>
      <c r="G186" s="1827" t="s">
        <v>24</v>
      </c>
      <c r="H186" s="1827" t="s">
        <v>24</v>
      </c>
      <c r="I186" s="1827" t="s">
        <v>844</v>
      </c>
    </row>
    <row r="187" spans="1:9" ht="11.25" customHeight="1">
      <c r="A187" s="1827" t="s">
        <v>2349</v>
      </c>
      <c r="B187" s="1827" t="s">
        <v>14</v>
      </c>
      <c r="C187" s="1827" t="s">
        <v>2829</v>
      </c>
      <c r="D187" s="1827" t="s">
        <v>2830</v>
      </c>
      <c r="E187" s="1827" t="s">
        <v>2831</v>
      </c>
      <c r="F187" s="1827" t="s">
        <v>2415</v>
      </c>
      <c r="G187" s="1827" t="s">
        <v>2821</v>
      </c>
      <c r="H187" s="1827" t="s">
        <v>24</v>
      </c>
      <c r="I187" s="1827" t="s">
        <v>844</v>
      </c>
    </row>
    <row r="188" spans="1:9" ht="11.25" customHeight="1">
      <c r="A188" s="1827" t="s">
        <v>2349</v>
      </c>
      <c r="B188" s="1827" t="s">
        <v>14</v>
      </c>
      <c r="C188" s="1827" t="s">
        <v>2523</v>
      </c>
      <c r="D188" s="1827" t="s">
        <v>2524</v>
      </c>
      <c r="E188" s="1827" t="s">
        <v>2525</v>
      </c>
      <c r="F188" s="1827" t="s">
        <v>2415</v>
      </c>
      <c r="G188" s="1827" t="s">
        <v>2526</v>
      </c>
      <c r="H188" s="1827" t="s">
        <v>24</v>
      </c>
      <c r="I188" s="1827" t="s">
        <v>844</v>
      </c>
    </row>
    <row r="189" spans="1:9" ht="11.25" customHeight="1">
      <c r="A189" s="1827" t="s">
        <v>2349</v>
      </c>
      <c r="B189" s="1827" t="s">
        <v>14</v>
      </c>
      <c r="C189" s="1827" t="s">
        <v>2832</v>
      </c>
      <c r="D189" s="1827" t="s">
        <v>2833</v>
      </c>
      <c r="E189" s="1827" t="s">
        <v>2834</v>
      </c>
      <c r="F189" s="1827" t="s">
        <v>2835</v>
      </c>
      <c r="G189" s="1827" t="s">
        <v>2836</v>
      </c>
      <c r="H189" s="1827" t="s">
        <v>24</v>
      </c>
      <c r="I189" s="1827" t="s">
        <v>844</v>
      </c>
    </row>
    <row r="190" spans="1:9" ht="11.25" customHeight="1">
      <c r="A190" s="1827" t="s">
        <v>2349</v>
      </c>
      <c r="B190" s="1827" t="s">
        <v>14</v>
      </c>
      <c r="C190" s="1827" t="s">
        <v>2527</v>
      </c>
      <c r="D190" s="1827" t="s">
        <v>2528</v>
      </c>
      <c r="E190" s="1827" t="s">
        <v>2529</v>
      </c>
      <c r="F190" s="1827" t="s">
        <v>2530</v>
      </c>
      <c r="G190" s="1827" t="s">
        <v>2531</v>
      </c>
      <c r="H190" s="1827" t="s">
        <v>24</v>
      </c>
      <c r="I190" s="1827" t="s">
        <v>844</v>
      </c>
    </row>
    <row r="191" spans="1:9" ht="11.25" customHeight="1">
      <c r="A191" s="1827" t="s">
        <v>2349</v>
      </c>
      <c r="B191" s="1827" t="s">
        <v>14</v>
      </c>
      <c r="C191" s="1827" t="s">
        <v>2845</v>
      </c>
      <c r="D191" s="1827" t="s">
        <v>2846</v>
      </c>
      <c r="E191" s="1827" t="s">
        <v>2847</v>
      </c>
      <c r="F191" s="1827" t="s">
        <v>2545</v>
      </c>
      <c r="G191" s="1827" t="s">
        <v>2848</v>
      </c>
      <c r="H191" s="1827" t="s">
        <v>24</v>
      </c>
      <c r="I191" s="1827" t="s">
        <v>844</v>
      </c>
    </row>
    <row r="192" spans="1:9" ht="11.25" customHeight="1">
      <c r="A192" s="1827" t="s">
        <v>2349</v>
      </c>
      <c r="B192" s="1827" t="s">
        <v>14</v>
      </c>
      <c r="C192" s="1827" t="s">
        <v>2849</v>
      </c>
      <c r="D192" s="1827" t="s">
        <v>2850</v>
      </c>
      <c r="E192" s="1827" t="s">
        <v>2851</v>
      </c>
      <c r="F192" s="1827" t="s">
        <v>50</v>
      </c>
      <c r="G192" s="1827" t="s">
        <v>2557</v>
      </c>
      <c r="H192" s="1827" t="s">
        <v>24</v>
      </c>
      <c r="I192" s="1827" t="s">
        <v>844</v>
      </c>
    </row>
    <row r="193" spans="1:9" ht="11.25" customHeight="1">
      <c r="A193" s="1827" t="s">
        <v>2349</v>
      </c>
      <c r="B193" s="1827" t="s">
        <v>14</v>
      </c>
      <c r="C193" s="1827" t="s">
        <v>2897</v>
      </c>
      <c r="D193" s="1827" t="s">
        <v>2898</v>
      </c>
      <c r="E193" s="1827" t="s">
        <v>2899</v>
      </c>
      <c r="F193" s="1827" t="s">
        <v>2353</v>
      </c>
      <c r="G193" s="1827" t="s">
        <v>2900</v>
      </c>
      <c r="H193" s="1827" t="s">
        <v>24</v>
      </c>
      <c r="I193" s="1827" t="s">
        <v>844</v>
      </c>
    </row>
    <row r="194" spans="1:9" ht="11.25" customHeight="1">
      <c r="A194" s="1827" t="s">
        <v>2349</v>
      </c>
      <c r="B194" s="1827" t="s">
        <v>14</v>
      </c>
      <c r="C194" s="1827" t="s">
        <v>2901</v>
      </c>
      <c r="D194" s="1827" t="s">
        <v>2902</v>
      </c>
      <c r="E194" s="1827" t="s">
        <v>2903</v>
      </c>
      <c r="F194" s="1827" t="s">
        <v>2601</v>
      </c>
      <c r="G194" s="1827" t="s">
        <v>2904</v>
      </c>
      <c r="H194" s="1827" t="s">
        <v>24</v>
      </c>
      <c r="I194" s="1827" t="s">
        <v>844</v>
      </c>
    </row>
    <row r="195" spans="1:9" ht="11.25" customHeight="1">
      <c r="A195" s="1827" t="s">
        <v>2349</v>
      </c>
      <c r="B195" s="1827" t="s">
        <v>14</v>
      </c>
      <c r="C195" s="1827" t="s">
        <v>2905</v>
      </c>
      <c r="D195" s="1827" t="s">
        <v>2906</v>
      </c>
      <c r="E195" s="1827" t="s">
        <v>2907</v>
      </c>
      <c r="F195" s="1827" t="s">
        <v>2908</v>
      </c>
      <c r="G195" s="1827" t="s">
        <v>2909</v>
      </c>
      <c r="H195" s="1827" t="s">
        <v>24</v>
      </c>
      <c r="I195" s="1827" t="s">
        <v>844</v>
      </c>
    </row>
    <row r="196" spans="1:9" ht="11.25" customHeight="1">
      <c r="A196" s="1827" t="s">
        <v>2349</v>
      </c>
      <c r="B196" s="1827" t="s">
        <v>14</v>
      </c>
      <c r="C196" s="1827" t="s">
        <v>2910</v>
      </c>
      <c r="D196" s="1827" t="s">
        <v>2911</v>
      </c>
      <c r="E196" s="1827" t="s">
        <v>2912</v>
      </c>
      <c r="F196" s="1827" t="s">
        <v>2415</v>
      </c>
      <c r="G196" s="1827" t="s">
        <v>2913</v>
      </c>
      <c r="H196" s="1827" t="s">
        <v>24</v>
      </c>
      <c r="I196" s="1827" t="s">
        <v>844</v>
      </c>
    </row>
    <row r="197" spans="1:9" ht="11.25" customHeight="1">
      <c r="A197" s="1827" t="s">
        <v>2349</v>
      </c>
      <c r="B197" s="1827" t="s">
        <v>14</v>
      </c>
      <c r="C197" s="1827" t="s">
        <v>2603</v>
      </c>
      <c r="D197" s="1827" t="s">
        <v>2604</v>
      </c>
      <c r="E197" s="1827" t="s">
        <v>2605</v>
      </c>
      <c r="F197" s="1827" t="s">
        <v>2606</v>
      </c>
      <c r="G197" s="1827" t="s">
        <v>2607</v>
      </c>
      <c r="H197" s="1827" t="s">
        <v>24</v>
      </c>
      <c r="I197" s="1827" t="s">
        <v>844</v>
      </c>
    </row>
    <row r="198" spans="1:9" ht="11.25" customHeight="1">
      <c r="A198" s="1827" t="s">
        <v>2349</v>
      </c>
      <c r="B198" s="1827" t="s">
        <v>14</v>
      </c>
      <c r="C198" s="1827" t="s">
        <v>2856</v>
      </c>
      <c r="D198" s="1827" t="s">
        <v>2857</v>
      </c>
      <c r="E198" s="1827" t="s">
        <v>2858</v>
      </c>
      <c r="F198" s="1827" t="s">
        <v>2401</v>
      </c>
      <c r="G198" s="1827" t="s">
        <v>2859</v>
      </c>
      <c r="H198" s="1827" t="s">
        <v>24</v>
      </c>
      <c r="I198" s="1827" t="s">
        <v>844</v>
      </c>
    </row>
    <row r="199" spans="1:9" ht="11.25" customHeight="1">
      <c r="A199" s="1827" t="s">
        <v>2349</v>
      </c>
      <c r="B199" s="1827" t="s">
        <v>14</v>
      </c>
      <c r="C199" s="1827" t="s">
        <v>2612</v>
      </c>
      <c r="D199" s="1827" t="s">
        <v>2613</v>
      </c>
      <c r="E199" s="1827" t="s">
        <v>2614</v>
      </c>
      <c r="F199" s="1827" t="s">
        <v>2615</v>
      </c>
      <c r="G199" s="1827" t="s">
        <v>2616</v>
      </c>
      <c r="H199" s="1827" t="s">
        <v>24</v>
      </c>
      <c r="I199" s="1827" t="s">
        <v>844</v>
      </c>
    </row>
    <row r="200" spans="1:9" ht="11.25" customHeight="1">
      <c r="A200" s="1827" t="s">
        <v>2349</v>
      </c>
      <c r="B200" s="1827" t="s">
        <v>14</v>
      </c>
      <c r="C200" s="1827" t="s">
        <v>24</v>
      </c>
      <c r="D200" s="1827" t="s">
        <v>2630</v>
      </c>
      <c r="E200" s="1827" t="s">
        <v>2631</v>
      </c>
      <c r="F200" s="1827" t="s">
        <v>2632</v>
      </c>
      <c r="G200" s="1827" t="s">
        <v>24</v>
      </c>
      <c r="H200" s="1827" t="s">
        <v>24</v>
      </c>
      <c r="I200" s="1827" t="s">
        <v>844</v>
      </c>
    </row>
    <row r="201" spans="1:9" ht="11.25" customHeight="1">
      <c r="A201" s="1827" t="s">
        <v>2349</v>
      </c>
      <c r="B201" s="1827" t="s">
        <v>14</v>
      </c>
      <c r="C201" s="1827" t="s">
        <v>2638</v>
      </c>
      <c r="D201" s="1827" t="s">
        <v>2639</v>
      </c>
      <c r="E201" s="1827" t="s">
        <v>2640</v>
      </c>
      <c r="F201" s="1827" t="s">
        <v>2641</v>
      </c>
      <c r="G201" s="1827" t="s">
        <v>24</v>
      </c>
      <c r="H201" s="1827" t="s">
        <v>24</v>
      </c>
      <c r="I201" s="1827" t="s">
        <v>844</v>
      </c>
    </row>
    <row r="202" spans="1:9" ht="11.25" customHeight="1">
      <c r="A202" s="1827" t="s">
        <v>2349</v>
      </c>
      <c r="B202" s="1827" t="s">
        <v>14</v>
      </c>
      <c r="C202" s="1827" t="s">
        <v>2642</v>
      </c>
      <c r="D202" s="1827" t="s">
        <v>2643</v>
      </c>
      <c r="E202" s="1827" t="s">
        <v>2644</v>
      </c>
      <c r="F202" s="1827" t="s">
        <v>2645</v>
      </c>
      <c r="G202" s="1827" t="s">
        <v>2646</v>
      </c>
      <c r="H202" s="1827" t="s">
        <v>24</v>
      </c>
      <c r="I202" s="1827" t="s">
        <v>844</v>
      </c>
    </row>
    <row r="203" spans="1:9" ht="11.25" customHeight="1">
      <c r="A203" s="1827" t="s">
        <v>2349</v>
      </c>
      <c r="B203" s="1827" t="s">
        <v>14</v>
      </c>
      <c r="C203" s="1827" t="s">
        <v>2650</v>
      </c>
      <c r="D203" s="1827" t="s">
        <v>2651</v>
      </c>
      <c r="E203" s="1827" t="s">
        <v>2652</v>
      </c>
      <c r="F203" s="1827" t="s">
        <v>2653</v>
      </c>
      <c r="G203" s="1827" t="s">
        <v>2467</v>
      </c>
      <c r="H203" s="1827" t="s">
        <v>24</v>
      </c>
      <c r="I203" s="1827" t="s">
        <v>844</v>
      </c>
    </row>
    <row r="204" spans="1:9" ht="11.25" customHeight="1">
      <c r="A204" s="1827" t="s">
        <v>2349</v>
      </c>
      <c r="B204" s="1827" t="s">
        <v>14</v>
      </c>
      <c r="C204" s="1827" t="s">
        <v>2654</v>
      </c>
      <c r="D204" s="1827" t="s">
        <v>2655</v>
      </c>
      <c r="E204" s="1827" t="s">
        <v>2656</v>
      </c>
      <c r="F204" s="1827" t="s">
        <v>2657</v>
      </c>
      <c r="G204" s="1827" t="s">
        <v>2658</v>
      </c>
      <c r="H204" s="1827" t="s">
        <v>24</v>
      </c>
      <c r="I204" s="1827" t="s">
        <v>844</v>
      </c>
    </row>
    <row r="205" spans="1:9" ht="11.25" customHeight="1">
      <c r="A205" s="1827" t="s">
        <v>2349</v>
      </c>
      <c r="B205" s="1827" t="s">
        <v>14</v>
      </c>
      <c r="C205" s="1827" t="s">
        <v>2364</v>
      </c>
      <c r="D205" s="1827" t="s">
        <v>2365</v>
      </c>
      <c r="E205" s="1827" t="s">
        <v>2366</v>
      </c>
      <c r="F205" s="1827" t="s">
        <v>2367</v>
      </c>
      <c r="G205" s="1827" t="s">
        <v>2368</v>
      </c>
      <c r="H205" s="1827" t="s">
        <v>24</v>
      </c>
      <c r="I205" s="1827" t="s">
        <v>1791</v>
      </c>
    </row>
    <row r="206" spans="1:9" ht="11.25" customHeight="1">
      <c r="A206" s="1827" t="s">
        <v>2349</v>
      </c>
      <c r="B206" s="1827" t="s">
        <v>14</v>
      </c>
      <c r="C206" s="1827" t="s">
        <v>2914</v>
      </c>
      <c r="D206" s="1827" t="s">
        <v>2915</v>
      </c>
      <c r="E206" s="1827" t="s">
        <v>2916</v>
      </c>
      <c r="F206" s="1827" t="s">
        <v>599</v>
      </c>
      <c r="G206" s="1827" t="s">
        <v>2917</v>
      </c>
      <c r="H206" s="1827" t="s">
        <v>24</v>
      </c>
      <c r="I206" s="1827" t="s">
        <v>1791</v>
      </c>
    </row>
    <row r="207" spans="1:9" ht="11.25" customHeight="1">
      <c r="A207" s="1827" t="s">
        <v>2349</v>
      </c>
      <c r="B207" s="1827" t="s">
        <v>14</v>
      </c>
      <c r="C207" s="1827" t="s">
        <v>2918</v>
      </c>
      <c r="D207" s="1827" t="s">
        <v>2919</v>
      </c>
      <c r="E207" s="1827" t="s">
        <v>2920</v>
      </c>
      <c r="F207" s="1827" t="s">
        <v>599</v>
      </c>
      <c r="G207" s="1827" t="s">
        <v>2921</v>
      </c>
      <c r="H207" s="1827" t="s">
        <v>24</v>
      </c>
      <c r="I207" s="1827" t="s">
        <v>1791</v>
      </c>
    </row>
    <row r="208" spans="1:9" ht="11.25" customHeight="1">
      <c r="A208" s="1827" t="s">
        <v>2349</v>
      </c>
      <c r="B208" s="1827" t="s">
        <v>14</v>
      </c>
      <c r="C208" s="1827" t="s">
        <v>2922</v>
      </c>
      <c r="D208" s="1827" t="s">
        <v>2923</v>
      </c>
      <c r="E208" s="1827" t="s">
        <v>2924</v>
      </c>
      <c r="F208" s="1827" t="s">
        <v>599</v>
      </c>
      <c r="G208" s="1827" t="s">
        <v>2921</v>
      </c>
      <c r="H208" s="1827" t="s">
        <v>24</v>
      </c>
      <c r="I208" s="1827" t="s">
        <v>1791</v>
      </c>
    </row>
    <row r="209" spans="1:9" ht="11.25" customHeight="1">
      <c r="A209" s="1827" t="s">
        <v>2349</v>
      </c>
      <c r="B209" s="1827" t="s">
        <v>14</v>
      </c>
      <c r="C209" s="1827" t="s">
        <v>2925</v>
      </c>
      <c r="D209" s="1827" t="s">
        <v>2926</v>
      </c>
      <c r="E209" s="1827" t="s">
        <v>2927</v>
      </c>
      <c r="F209" s="1827" t="s">
        <v>599</v>
      </c>
      <c r="G209" s="1827" t="s">
        <v>2928</v>
      </c>
      <c r="H209" s="1827" t="s">
        <v>24</v>
      </c>
      <c r="I209" s="1827" t="s">
        <v>1791</v>
      </c>
    </row>
    <row r="210" spans="1:9" ht="11.25" customHeight="1">
      <c r="A210" s="1827" t="s">
        <v>2349</v>
      </c>
      <c r="B210" s="1827" t="s">
        <v>14</v>
      </c>
      <c r="C210" s="1827" t="s">
        <v>2929</v>
      </c>
      <c r="D210" s="1827" t="s">
        <v>2930</v>
      </c>
      <c r="E210" s="1827" t="s">
        <v>2931</v>
      </c>
      <c r="F210" s="1827" t="s">
        <v>599</v>
      </c>
      <c r="G210" s="1827" t="s">
        <v>2932</v>
      </c>
      <c r="H210" s="1827" t="s">
        <v>24</v>
      </c>
      <c r="I210" s="1827" t="s">
        <v>1791</v>
      </c>
    </row>
    <row r="211" spans="1:9" ht="11.25" customHeight="1">
      <c r="A211" s="1827" t="s">
        <v>2349</v>
      </c>
      <c r="B211" s="1827" t="s">
        <v>14</v>
      </c>
      <c r="C211" s="1827" t="s">
        <v>2933</v>
      </c>
      <c r="D211" s="1827" t="s">
        <v>2934</v>
      </c>
      <c r="E211" s="1827" t="s">
        <v>2935</v>
      </c>
      <c r="F211" s="1827" t="s">
        <v>599</v>
      </c>
      <c r="G211" s="1827" t="s">
        <v>24</v>
      </c>
      <c r="H211" s="1827" t="s">
        <v>24</v>
      </c>
      <c r="I211" s="1827" t="s">
        <v>1791</v>
      </c>
    </row>
    <row r="212" spans="1:9" ht="11.25" customHeight="1">
      <c r="A212" s="1827" t="s">
        <v>2349</v>
      </c>
      <c r="B212" s="1827" t="s">
        <v>14</v>
      </c>
      <c r="C212" s="1827" t="s">
        <v>2936</v>
      </c>
      <c r="D212" s="1827" t="s">
        <v>2937</v>
      </c>
      <c r="E212" s="1827" t="s">
        <v>2938</v>
      </c>
      <c r="F212" s="1827" t="s">
        <v>599</v>
      </c>
      <c r="G212" s="1827" t="s">
        <v>2939</v>
      </c>
      <c r="H212" s="1827" t="s">
        <v>24</v>
      </c>
      <c r="I212" s="1827" t="s">
        <v>1791</v>
      </c>
    </row>
    <row r="213" spans="1:9" ht="11.25" customHeight="1">
      <c r="A213" s="1827" t="s">
        <v>2349</v>
      </c>
      <c r="B213" s="1827" t="s">
        <v>14</v>
      </c>
      <c r="C213" s="1827" t="s">
        <v>2940</v>
      </c>
      <c r="D213" s="1827" t="s">
        <v>2941</v>
      </c>
      <c r="E213" s="1827" t="s">
        <v>2942</v>
      </c>
      <c r="F213" s="1827" t="s">
        <v>599</v>
      </c>
      <c r="G213" s="1827" t="s">
        <v>2943</v>
      </c>
      <c r="H213" s="1827" t="s">
        <v>24</v>
      </c>
      <c r="I213" s="1827" t="s">
        <v>1791</v>
      </c>
    </row>
    <row r="214" spans="1:9" ht="11.25" customHeight="1">
      <c r="A214" s="1827" t="s">
        <v>2349</v>
      </c>
      <c r="B214" s="1827" t="s">
        <v>14</v>
      </c>
      <c r="C214" s="1827" t="s">
        <v>2944</v>
      </c>
      <c r="D214" s="1827" t="s">
        <v>2945</v>
      </c>
      <c r="E214" s="1827" t="s">
        <v>2946</v>
      </c>
      <c r="F214" s="1827" t="s">
        <v>599</v>
      </c>
      <c r="G214" s="1827" t="s">
        <v>2947</v>
      </c>
      <c r="H214" s="1827" t="s">
        <v>24</v>
      </c>
      <c r="I214" s="1827" t="s">
        <v>1791</v>
      </c>
    </row>
    <row r="215" spans="1:9" ht="11.25" customHeight="1">
      <c r="A215" s="1827" t="s">
        <v>2349</v>
      </c>
      <c r="B215" s="1827" t="s">
        <v>14</v>
      </c>
      <c r="C215" s="1827" t="s">
        <v>2948</v>
      </c>
      <c r="D215" s="1827" t="s">
        <v>2949</v>
      </c>
      <c r="E215" s="1827" t="s">
        <v>2950</v>
      </c>
      <c r="F215" s="1827" t="s">
        <v>599</v>
      </c>
      <c r="G215" s="1827" t="s">
        <v>2921</v>
      </c>
      <c r="H215" s="1827" t="s">
        <v>24</v>
      </c>
      <c r="I215" s="1827" t="s">
        <v>1791</v>
      </c>
    </row>
    <row r="216" spans="1:9" ht="11.25" customHeight="1">
      <c r="A216" s="1827" t="s">
        <v>2349</v>
      </c>
      <c r="B216" s="1827" t="s">
        <v>14</v>
      </c>
      <c r="C216" s="1827" t="s">
        <v>2951</v>
      </c>
      <c r="D216" s="1827" t="s">
        <v>2952</v>
      </c>
      <c r="E216" s="1827" t="s">
        <v>2953</v>
      </c>
      <c r="F216" s="1827" t="s">
        <v>599</v>
      </c>
      <c r="G216" s="1827" t="s">
        <v>2954</v>
      </c>
      <c r="H216" s="1827" t="s">
        <v>24</v>
      </c>
      <c r="I216" s="1827" t="s">
        <v>1791</v>
      </c>
    </row>
    <row r="217" spans="1:9" ht="11.25" customHeight="1">
      <c r="A217" s="1827" t="s">
        <v>2349</v>
      </c>
      <c r="B217" s="1827" t="s">
        <v>14</v>
      </c>
      <c r="C217" s="1827" t="s">
        <v>2955</v>
      </c>
      <c r="D217" s="1827" t="s">
        <v>2956</v>
      </c>
      <c r="E217" s="1827" t="s">
        <v>2957</v>
      </c>
      <c r="F217" s="1827" t="s">
        <v>599</v>
      </c>
      <c r="G217" s="1827" t="s">
        <v>2958</v>
      </c>
      <c r="H217" s="1827" t="s">
        <v>24</v>
      </c>
      <c r="I217" s="1827" t="s">
        <v>1791</v>
      </c>
    </row>
    <row r="218" spans="1:9" ht="11.25" customHeight="1">
      <c r="A218" s="1827" t="s">
        <v>2349</v>
      </c>
      <c r="B218" s="1827" t="s">
        <v>14</v>
      </c>
      <c r="C218" s="1827" t="s">
        <v>2959</v>
      </c>
      <c r="D218" s="1827" t="s">
        <v>2960</v>
      </c>
      <c r="E218" s="1827" t="s">
        <v>2961</v>
      </c>
      <c r="F218" s="1827" t="s">
        <v>2962</v>
      </c>
      <c r="G218" s="1827" t="s">
        <v>2963</v>
      </c>
      <c r="H218" s="1827" t="s">
        <v>24</v>
      </c>
      <c r="I218" s="1827" t="s">
        <v>1791</v>
      </c>
    </row>
    <row r="219" spans="1:9" ht="11.25" customHeight="1">
      <c r="A219" s="1827" t="s">
        <v>2349</v>
      </c>
      <c r="B219" s="1827" t="s">
        <v>14</v>
      </c>
      <c r="C219" s="1827" t="s">
        <v>2483</v>
      </c>
      <c r="D219" s="1827" t="s">
        <v>2484</v>
      </c>
      <c r="E219" s="1827" t="s">
        <v>2485</v>
      </c>
      <c r="F219" s="1827" t="s">
        <v>2486</v>
      </c>
      <c r="G219" s="1827" t="s">
        <v>2487</v>
      </c>
      <c r="H219" s="1827" t="s">
        <v>24</v>
      </c>
      <c r="I219" s="1827" t="s">
        <v>1791</v>
      </c>
    </row>
    <row r="220" spans="1:9" ht="11.25" customHeight="1">
      <c r="A220" s="1827" t="s">
        <v>2349</v>
      </c>
      <c r="B220" s="1827" t="s">
        <v>14</v>
      </c>
      <c r="C220" s="1827" t="s">
        <v>2964</v>
      </c>
      <c r="D220" s="1827" t="s">
        <v>2965</v>
      </c>
      <c r="E220" s="1827" t="s">
        <v>2966</v>
      </c>
      <c r="F220" s="1827" t="s">
        <v>2380</v>
      </c>
      <c r="G220" s="1827" t="s">
        <v>2967</v>
      </c>
      <c r="H220" s="1827" t="s">
        <v>24</v>
      </c>
      <c r="I220" s="1827" t="s">
        <v>1791</v>
      </c>
    </row>
    <row r="221" spans="1:9" ht="11.25" customHeight="1">
      <c r="A221" s="1827" t="s">
        <v>2349</v>
      </c>
      <c r="B221" s="1827" t="s">
        <v>14</v>
      </c>
      <c r="C221" s="1827" t="s">
        <v>2968</v>
      </c>
      <c r="D221" s="1827" t="s">
        <v>2969</v>
      </c>
      <c r="E221" s="1827" t="s">
        <v>2970</v>
      </c>
      <c r="F221" s="1827" t="s">
        <v>2380</v>
      </c>
      <c r="G221" s="1827" t="s">
        <v>2971</v>
      </c>
      <c r="H221" s="1827" t="s">
        <v>24</v>
      </c>
      <c r="I221" s="1827" t="s">
        <v>1791</v>
      </c>
    </row>
    <row r="222" spans="1:9" ht="11.25" customHeight="1">
      <c r="A222" s="1827" t="s">
        <v>2349</v>
      </c>
      <c r="B222" s="1827" t="s">
        <v>14</v>
      </c>
      <c r="C222" s="1827" t="s">
        <v>2972</v>
      </c>
      <c r="D222" s="1827" t="s">
        <v>2973</v>
      </c>
      <c r="E222" s="1827" t="s">
        <v>2974</v>
      </c>
      <c r="F222" s="1827" t="s">
        <v>2401</v>
      </c>
      <c r="G222" s="1827" t="s">
        <v>2975</v>
      </c>
      <c r="H222" s="1827" t="s">
        <v>24</v>
      </c>
      <c r="I222" s="1827" t="s">
        <v>1791</v>
      </c>
    </row>
    <row r="223" spans="1:9" ht="11.25" customHeight="1">
      <c r="A223" s="1827" t="s">
        <v>2349</v>
      </c>
      <c r="B223" s="1827" t="s">
        <v>14</v>
      </c>
      <c r="C223" s="1827" t="s">
        <v>2976</v>
      </c>
      <c r="D223" s="1827" t="s">
        <v>2977</v>
      </c>
      <c r="E223" s="1827" t="s">
        <v>2978</v>
      </c>
      <c r="F223" s="1827" t="s">
        <v>2576</v>
      </c>
      <c r="G223" s="1827" t="s">
        <v>2979</v>
      </c>
      <c r="H223" s="1827" t="s">
        <v>24</v>
      </c>
      <c r="I223" s="1827" t="s">
        <v>1791</v>
      </c>
    </row>
    <row r="224" spans="1:9" ht="11.25" customHeight="1">
      <c r="A224" s="1827" t="s">
        <v>2349</v>
      </c>
      <c r="B224" s="1827" t="s">
        <v>14</v>
      </c>
      <c r="C224" s="1827" t="s">
        <v>2980</v>
      </c>
      <c r="D224" s="1827" t="s">
        <v>2981</v>
      </c>
      <c r="E224" s="1827" t="s">
        <v>2982</v>
      </c>
      <c r="F224" s="1827" t="s">
        <v>2380</v>
      </c>
      <c r="G224" s="1827" t="s">
        <v>2983</v>
      </c>
      <c r="H224" s="1827" t="s">
        <v>24</v>
      </c>
      <c r="I224" s="1827" t="s">
        <v>1791</v>
      </c>
    </row>
    <row r="225" spans="1:9" ht="11.25" customHeight="1">
      <c r="A225" s="1827" t="s">
        <v>2349</v>
      </c>
      <c r="B225" s="1827" t="s">
        <v>14</v>
      </c>
      <c r="C225" s="1827" t="s">
        <v>2984</v>
      </c>
      <c r="D225" s="1827" t="s">
        <v>2985</v>
      </c>
      <c r="E225" s="1827" t="s">
        <v>2986</v>
      </c>
      <c r="F225" s="1827" t="s">
        <v>2380</v>
      </c>
      <c r="G225" s="1827" t="s">
        <v>2987</v>
      </c>
      <c r="H225" s="1827" t="s">
        <v>24</v>
      </c>
      <c r="I225" s="1827" t="s">
        <v>1791</v>
      </c>
    </row>
    <row r="226" spans="1:9" ht="11.25" customHeight="1">
      <c r="A226" s="1827" t="s">
        <v>2349</v>
      </c>
      <c r="B226" s="1827" t="s">
        <v>14</v>
      </c>
      <c r="C226" s="1827" t="s">
        <v>2988</v>
      </c>
      <c r="D226" s="1827" t="s">
        <v>2989</v>
      </c>
      <c r="E226" s="1827" t="s">
        <v>2990</v>
      </c>
      <c r="F226" s="1827" t="s">
        <v>2415</v>
      </c>
      <c r="G226" s="1827" t="s">
        <v>2991</v>
      </c>
      <c r="H226" s="1827" t="s">
        <v>24</v>
      </c>
      <c r="I226" s="1827" t="s">
        <v>1791</v>
      </c>
    </row>
    <row r="227" spans="1:9" ht="11.25" customHeight="1">
      <c r="A227" s="1827" t="s">
        <v>2349</v>
      </c>
      <c r="B227" s="1827" t="s">
        <v>14</v>
      </c>
      <c r="C227" s="1827" t="s">
        <v>2992</v>
      </c>
      <c r="D227" s="1827" t="s">
        <v>2993</v>
      </c>
      <c r="E227" s="1827" t="s">
        <v>2994</v>
      </c>
      <c r="F227" s="1827" t="s">
        <v>2380</v>
      </c>
      <c r="G227" s="1827" t="s">
        <v>2995</v>
      </c>
      <c r="H227" s="1827" t="s">
        <v>24</v>
      </c>
      <c r="I227" s="1827" t="s">
        <v>1791</v>
      </c>
    </row>
    <row r="228" spans="1:9" ht="11.25" customHeight="1">
      <c r="A228" s="1827" t="s">
        <v>2349</v>
      </c>
      <c r="B228" s="1827" t="s">
        <v>14</v>
      </c>
      <c r="C228" s="1827" t="s">
        <v>2996</v>
      </c>
      <c r="D228" s="1827" t="s">
        <v>2997</v>
      </c>
      <c r="E228" s="1827" t="s">
        <v>2998</v>
      </c>
      <c r="F228" s="1827" t="s">
        <v>2410</v>
      </c>
      <c r="G228" s="1827" t="s">
        <v>2999</v>
      </c>
      <c r="H228" s="1827" t="s">
        <v>24</v>
      </c>
      <c r="I228" s="1827" t="s">
        <v>1791</v>
      </c>
    </row>
    <row r="229" spans="1:9" ht="11.25" customHeight="1">
      <c r="A229" s="1827" t="s">
        <v>2349</v>
      </c>
      <c r="B229" s="1827" t="s">
        <v>14</v>
      </c>
      <c r="C229" s="1827" t="s">
        <v>3000</v>
      </c>
      <c r="D229" s="1827" t="s">
        <v>3001</v>
      </c>
      <c r="E229" s="1827" t="s">
        <v>3002</v>
      </c>
      <c r="F229" s="1827" t="s">
        <v>2632</v>
      </c>
      <c r="G229" s="1827" t="s">
        <v>3003</v>
      </c>
      <c r="H229" s="1827" t="s">
        <v>24</v>
      </c>
      <c r="I229" s="1827" t="s">
        <v>1791</v>
      </c>
    </row>
    <row r="230" spans="1:9" ht="11.25" customHeight="1">
      <c r="A230" s="1827" t="s">
        <v>2349</v>
      </c>
      <c r="B230" s="1827" t="s">
        <v>14</v>
      </c>
      <c r="C230" s="1827" t="s">
        <v>3004</v>
      </c>
      <c r="D230" s="1827" t="s">
        <v>3005</v>
      </c>
      <c r="E230" s="1827" t="s">
        <v>3006</v>
      </c>
      <c r="F230" s="1827" t="s">
        <v>50</v>
      </c>
      <c r="G230" s="1827" t="s">
        <v>3007</v>
      </c>
      <c r="H230" s="1827" t="s">
        <v>24</v>
      </c>
      <c r="I230" s="1827" t="s">
        <v>1791</v>
      </c>
    </row>
    <row r="231" spans="1:9" ht="11.25" customHeight="1">
      <c r="A231" s="1827" t="s">
        <v>2349</v>
      </c>
      <c r="B231" s="1827" t="s">
        <v>14</v>
      </c>
      <c r="C231" s="1827" t="s">
        <v>3008</v>
      </c>
      <c r="D231" s="1827" t="s">
        <v>3009</v>
      </c>
      <c r="E231" s="1827" t="s">
        <v>3010</v>
      </c>
      <c r="F231" s="1827" t="s">
        <v>50</v>
      </c>
      <c r="G231" s="1827" t="s">
        <v>3011</v>
      </c>
      <c r="H231" s="1827" t="s">
        <v>24</v>
      </c>
      <c r="I231" s="1827" t="s">
        <v>1791</v>
      </c>
    </row>
    <row r="232" spans="1:9" ht="11.25" customHeight="1">
      <c r="A232" s="1827" t="s">
        <v>2349</v>
      </c>
      <c r="B232" s="1827" t="s">
        <v>14</v>
      </c>
      <c r="C232" s="1827" t="s">
        <v>3012</v>
      </c>
      <c r="D232" s="1827" t="s">
        <v>3013</v>
      </c>
      <c r="E232" s="1827" t="s">
        <v>3014</v>
      </c>
      <c r="F232" s="1827" t="s">
        <v>2401</v>
      </c>
      <c r="G232" s="1827" t="s">
        <v>3015</v>
      </c>
      <c r="H232" s="1827" t="s">
        <v>24</v>
      </c>
      <c r="I232" s="1827" t="s">
        <v>1791</v>
      </c>
    </row>
    <row r="233" spans="1:9" ht="11.25" customHeight="1">
      <c r="A233" s="1827" t="s">
        <v>2349</v>
      </c>
      <c r="B233" s="1827" t="s">
        <v>14</v>
      </c>
      <c r="C233" s="1827" t="s">
        <v>3016</v>
      </c>
      <c r="D233" s="1827" t="s">
        <v>3017</v>
      </c>
      <c r="E233" s="1827" t="s">
        <v>3018</v>
      </c>
      <c r="F233" s="1827" t="s">
        <v>2401</v>
      </c>
      <c r="G233" s="1827" t="s">
        <v>3019</v>
      </c>
      <c r="H233" s="1827" t="s">
        <v>24</v>
      </c>
      <c r="I233" s="1827" t="s">
        <v>1791</v>
      </c>
    </row>
    <row r="234" spans="1:9" ht="11.25" customHeight="1">
      <c r="A234" s="1827" t="s">
        <v>2349</v>
      </c>
      <c r="B234" s="1827" t="s">
        <v>14</v>
      </c>
      <c r="C234" s="1827" t="s">
        <v>3020</v>
      </c>
      <c r="D234" s="1827" t="s">
        <v>3021</v>
      </c>
      <c r="E234" s="1827" t="s">
        <v>3022</v>
      </c>
      <c r="F234" s="1827" t="s">
        <v>50</v>
      </c>
      <c r="G234" s="1827" t="s">
        <v>3023</v>
      </c>
      <c r="H234" s="1827" t="s">
        <v>24</v>
      </c>
      <c r="I234" s="1827" t="s">
        <v>1791</v>
      </c>
    </row>
    <row r="235" spans="1:9" ht="11.25" customHeight="1">
      <c r="A235" s="1827" t="s">
        <v>2349</v>
      </c>
      <c r="B235" s="1827" t="s">
        <v>14</v>
      </c>
      <c r="C235" s="1827" t="s">
        <v>3024</v>
      </c>
      <c r="D235" s="1827" t="s">
        <v>3025</v>
      </c>
      <c r="E235" s="1827" t="s">
        <v>3026</v>
      </c>
      <c r="F235" s="1827" t="s">
        <v>2396</v>
      </c>
      <c r="G235" s="1827" t="s">
        <v>3027</v>
      </c>
      <c r="H235" s="1827" t="s">
        <v>24</v>
      </c>
      <c r="I235" s="1827" t="s">
        <v>1791</v>
      </c>
    </row>
    <row r="236" spans="1:9" ht="11.25" customHeight="1">
      <c r="A236" s="1827" t="s">
        <v>2349</v>
      </c>
      <c r="B236" s="1827" t="s">
        <v>14</v>
      </c>
      <c r="C236" s="1827" t="s">
        <v>3028</v>
      </c>
      <c r="D236" s="1827" t="s">
        <v>3029</v>
      </c>
      <c r="E236" s="1827" t="s">
        <v>3030</v>
      </c>
      <c r="F236" s="1827" t="s">
        <v>2380</v>
      </c>
      <c r="G236" s="1827" t="s">
        <v>3031</v>
      </c>
      <c r="H236" s="1827" t="s">
        <v>24</v>
      </c>
      <c r="I236" s="1827" t="s">
        <v>1791</v>
      </c>
    </row>
    <row r="237" spans="1:9" ht="11.25" customHeight="1">
      <c r="A237" s="1827" t="s">
        <v>2349</v>
      </c>
      <c r="B237" s="1827" t="s">
        <v>14</v>
      </c>
      <c r="C237" s="1827" t="s">
        <v>2582</v>
      </c>
      <c r="D237" s="1827" t="s">
        <v>2583</v>
      </c>
      <c r="E237" s="1827" t="s">
        <v>2584</v>
      </c>
      <c r="F237" s="1827" t="s">
        <v>2576</v>
      </c>
      <c r="G237" s="1827" t="s">
        <v>2585</v>
      </c>
      <c r="H237" s="1827" t="s">
        <v>24</v>
      </c>
      <c r="I237" s="1827" t="s">
        <v>1791</v>
      </c>
    </row>
    <row r="238" spans="1:9" ht="11.25" customHeight="1">
      <c r="A238" s="1827" t="s">
        <v>2349</v>
      </c>
      <c r="B238" s="1827" t="s">
        <v>14</v>
      </c>
      <c r="C238" s="1827" t="s">
        <v>3032</v>
      </c>
      <c r="D238" s="1827" t="s">
        <v>3033</v>
      </c>
      <c r="E238" s="1827" t="s">
        <v>3034</v>
      </c>
      <c r="F238" s="1827" t="s">
        <v>2415</v>
      </c>
      <c r="G238" s="1827" t="s">
        <v>3035</v>
      </c>
      <c r="H238" s="1827" t="s">
        <v>24</v>
      </c>
      <c r="I238" s="1827" t="s">
        <v>1791</v>
      </c>
    </row>
    <row r="239" spans="1:9" ht="11.25" customHeight="1">
      <c r="A239" s="1827" t="s">
        <v>2349</v>
      </c>
      <c r="B239" s="1827" t="s">
        <v>14</v>
      </c>
      <c r="C239" s="1827" t="s">
        <v>3036</v>
      </c>
      <c r="D239" s="1827" t="s">
        <v>3037</v>
      </c>
      <c r="E239" s="1827" t="s">
        <v>3038</v>
      </c>
      <c r="F239" s="1827" t="s">
        <v>2576</v>
      </c>
      <c r="G239" s="1827" t="s">
        <v>3039</v>
      </c>
      <c r="H239" s="1827" t="s">
        <v>24</v>
      </c>
      <c r="I239" s="1827" t="s">
        <v>1791</v>
      </c>
    </row>
    <row r="240" spans="1:9" ht="11.25" customHeight="1">
      <c r="A240" s="1827" t="s">
        <v>2349</v>
      </c>
      <c r="B240" s="1827" t="s">
        <v>14</v>
      </c>
      <c r="C240" s="1827" t="s">
        <v>3040</v>
      </c>
      <c r="D240" s="1827" t="s">
        <v>3041</v>
      </c>
      <c r="E240" s="1827" t="s">
        <v>3042</v>
      </c>
      <c r="F240" s="1827" t="s">
        <v>2576</v>
      </c>
      <c r="G240" s="1827" t="s">
        <v>3043</v>
      </c>
      <c r="H240" s="1827" t="s">
        <v>24</v>
      </c>
      <c r="I240" s="1827" t="s">
        <v>1791</v>
      </c>
    </row>
    <row r="241" spans="1:9" ht="11.25" customHeight="1">
      <c r="A241" s="1827" t="s">
        <v>2349</v>
      </c>
      <c r="B241" s="1827" t="s">
        <v>14</v>
      </c>
      <c r="C241" s="1827" t="s">
        <v>3044</v>
      </c>
      <c r="D241" s="1827" t="s">
        <v>3045</v>
      </c>
      <c r="E241" s="1827" t="s">
        <v>3046</v>
      </c>
      <c r="F241" s="1827" t="s">
        <v>2410</v>
      </c>
      <c r="G241" s="1827" t="s">
        <v>3047</v>
      </c>
      <c r="H241" s="1827" t="s">
        <v>24</v>
      </c>
      <c r="I241" s="1827" t="s">
        <v>1791</v>
      </c>
    </row>
    <row r="242" spans="1:9" ht="11.25" customHeight="1">
      <c r="A242" s="1827" t="s">
        <v>2349</v>
      </c>
      <c r="B242" s="1827" t="s">
        <v>14</v>
      </c>
      <c r="C242" s="1827" t="s">
        <v>3048</v>
      </c>
      <c r="D242" s="1827" t="s">
        <v>3049</v>
      </c>
      <c r="E242" s="1827" t="s">
        <v>3050</v>
      </c>
      <c r="F242" s="1827" t="s">
        <v>2632</v>
      </c>
      <c r="G242" s="1827" t="s">
        <v>3051</v>
      </c>
      <c r="H242" s="1827" t="s">
        <v>24</v>
      </c>
      <c r="I242" s="1827" t="s">
        <v>1791</v>
      </c>
    </row>
    <row r="243" spans="1:9" ht="11.25" customHeight="1">
      <c r="A243" s="1827" t="s">
        <v>2349</v>
      </c>
      <c r="B243" s="1827" t="s">
        <v>14</v>
      </c>
      <c r="C243" s="1827" t="s">
        <v>3052</v>
      </c>
      <c r="D243" s="1827" t="s">
        <v>3053</v>
      </c>
      <c r="E243" s="1827" t="s">
        <v>3054</v>
      </c>
      <c r="F243" s="1827" t="s">
        <v>3055</v>
      </c>
      <c r="G243" s="1827" t="s">
        <v>3056</v>
      </c>
      <c r="H243" s="1827" t="s">
        <v>24</v>
      </c>
      <c r="I243" s="1827" t="s">
        <v>1791</v>
      </c>
    </row>
    <row r="244" spans="1:9" ht="11.25" customHeight="1">
      <c r="A244" s="1827" t="s">
        <v>2349</v>
      </c>
      <c r="B244" s="1827" t="s">
        <v>14</v>
      </c>
      <c r="C244" s="1827" t="s">
        <v>3057</v>
      </c>
      <c r="D244" s="1827" t="s">
        <v>3058</v>
      </c>
      <c r="E244" s="1827" t="s">
        <v>3059</v>
      </c>
      <c r="F244" s="1827" t="s">
        <v>2685</v>
      </c>
      <c r="G244" s="1827" t="s">
        <v>3060</v>
      </c>
      <c r="H244" s="1827" t="s">
        <v>24</v>
      </c>
      <c r="I244" s="1827" t="s">
        <v>1791</v>
      </c>
    </row>
    <row r="245" spans="1:9" ht="11.25" customHeight="1">
      <c r="A245" s="1827" t="s">
        <v>2349</v>
      </c>
      <c r="B245" s="1827" t="s">
        <v>14</v>
      </c>
      <c r="C245" s="1827" t="s">
        <v>3061</v>
      </c>
      <c r="D245" s="1827" t="s">
        <v>3062</v>
      </c>
      <c r="E245" s="1827" t="s">
        <v>3063</v>
      </c>
      <c r="F245" s="1827" t="s">
        <v>2576</v>
      </c>
      <c r="G245" s="1827" t="s">
        <v>3064</v>
      </c>
      <c r="H245" s="1827" t="s">
        <v>24</v>
      </c>
      <c r="I245" s="1827" t="s">
        <v>1791</v>
      </c>
    </row>
    <row r="246" spans="1:9" ht="11.25" customHeight="1">
      <c r="A246" s="1827" t="s">
        <v>2349</v>
      </c>
      <c r="B246" s="1827" t="s">
        <v>14</v>
      </c>
      <c r="C246" s="1827" t="s">
        <v>3065</v>
      </c>
      <c r="D246" s="1827" t="s">
        <v>3066</v>
      </c>
      <c r="E246" s="1827" t="s">
        <v>3067</v>
      </c>
      <c r="F246" s="1827" t="s">
        <v>2576</v>
      </c>
      <c r="G246" s="1827" t="s">
        <v>3068</v>
      </c>
      <c r="H246" s="1827" t="s">
        <v>24</v>
      </c>
      <c r="I246" s="1827" t="s">
        <v>1791</v>
      </c>
    </row>
    <row r="247" spans="1:9" ht="11.25" customHeight="1">
      <c r="A247" s="1827" t="s">
        <v>2349</v>
      </c>
      <c r="B247" s="1827" t="s">
        <v>14</v>
      </c>
      <c r="C247" s="1827" t="s">
        <v>3069</v>
      </c>
      <c r="D247" s="1827" t="s">
        <v>3070</v>
      </c>
      <c r="E247" s="1827" t="s">
        <v>3071</v>
      </c>
      <c r="F247" s="1827" t="s">
        <v>2410</v>
      </c>
      <c r="G247" s="1827" t="s">
        <v>3031</v>
      </c>
      <c r="H247" s="1827" t="s">
        <v>24</v>
      </c>
      <c r="I247" s="1827" t="s">
        <v>1791</v>
      </c>
    </row>
    <row r="248" spans="1:9" ht="11.25" customHeight="1">
      <c r="A248" s="1827" t="s">
        <v>2349</v>
      </c>
      <c r="B248" s="1827" t="s">
        <v>14</v>
      </c>
      <c r="C248" s="1827" t="s">
        <v>3072</v>
      </c>
      <c r="D248" s="1827" t="s">
        <v>3073</v>
      </c>
      <c r="E248" s="1827" t="s">
        <v>3074</v>
      </c>
      <c r="F248" s="1827" t="s">
        <v>2410</v>
      </c>
      <c r="G248" s="1827" t="s">
        <v>3075</v>
      </c>
      <c r="H248" s="1827" t="s">
        <v>24</v>
      </c>
      <c r="I248" s="1827" t="s">
        <v>1791</v>
      </c>
    </row>
    <row r="249" spans="1:9" ht="11.25" customHeight="1">
      <c r="A249" s="1827" t="s">
        <v>2349</v>
      </c>
      <c r="B249" s="1827" t="s">
        <v>14</v>
      </c>
      <c r="C249" s="1827" t="s">
        <v>3076</v>
      </c>
      <c r="D249" s="1827" t="s">
        <v>3077</v>
      </c>
      <c r="E249" s="1827" t="s">
        <v>3078</v>
      </c>
      <c r="F249" s="1827" t="s">
        <v>2367</v>
      </c>
      <c r="G249" s="1827" t="s">
        <v>3031</v>
      </c>
      <c r="H249" s="1827" t="s">
        <v>24</v>
      </c>
      <c r="I249" s="1827" t="s">
        <v>1791</v>
      </c>
    </row>
    <row r="250" spans="1:9" ht="11.25" customHeight="1">
      <c r="A250" s="1827" t="s">
        <v>2349</v>
      </c>
      <c r="B250" s="1827" t="s">
        <v>14</v>
      </c>
      <c r="C250" s="1827" t="s">
        <v>3079</v>
      </c>
      <c r="D250" s="1827" t="s">
        <v>3080</v>
      </c>
      <c r="E250" s="1827" t="s">
        <v>3081</v>
      </c>
      <c r="F250" s="1827" t="s">
        <v>2380</v>
      </c>
      <c r="G250" s="1827" t="s">
        <v>3082</v>
      </c>
      <c r="H250" s="1827" t="s">
        <v>24</v>
      </c>
      <c r="I250" s="1827" t="s">
        <v>1791</v>
      </c>
    </row>
    <row r="251" spans="1:9" ht="11.25" customHeight="1">
      <c r="A251" s="1827" t="s">
        <v>2349</v>
      </c>
      <c r="B251" s="1827" t="s">
        <v>14</v>
      </c>
      <c r="C251" s="1827" t="s">
        <v>3083</v>
      </c>
      <c r="D251" s="1827" t="s">
        <v>3084</v>
      </c>
      <c r="E251" s="1827" t="s">
        <v>3085</v>
      </c>
      <c r="F251" s="1827" t="s">
        <v>2491</v>
      </c>
      <c r="G251" s="1827" t="s">
        <v>3086</v>
      </c>
      <c r="H251" s="1827" t="s">
        <v>24</v>
      </c>
      <c r="I251" s="1827" t="s">
        <v>1791</v>
      </c>
    </row>
    <row r="252" spans="1:9" ht="11.25" customHeight="1">
      <c r="A252" s="1827" t="s">
        <v>2349</v>
      </c>
      <c r="B252" s="1827" t="s">
        <v>14</v>
      </c>
      <c r="C252" s="1827" t="s">
        <v>3087</v>
      </c>
      <c r="D252" s="1827" t="s">
        <v>3088</v>
      </c>
      <c r="E252" s="1827" t="s">
        <v>3089</v>
      </c>
      <c r="F252" s="1827" t="s">
        <v>3090</v>
      </c>
      <c r="G252" s="1827" t="s">
        <v>3091</v>
      </c>
      <c r="H252" s="1827" t="s">
        <v>24</v>
      </c>
      <c r="I252" s="1827" t="s">
        <v>1791</v>
      </c>
    </row>
    <row r="253" spans="1:9" ht="11.25" customHeight="1">
      <c r="A253" s="1827" t="s">
        <v>2349</v>
      </c>
      <c r="B253" s="1827" t="s">
        <v>14</v>
      </c>
      <c r="C253" s="1827" t="s">
        <v>24</v>
      </c>
      <c r="D253" s="1827" t="s">
        <v>2630</v>
      </c>
      <c r="E253" s="1827" t="s">
        <v>2631</v>
      </c>
      <c r="F253" s="1827" t="s">
        <v>2632</v>
      </c>
      <c r="G253" s="1827" t="s">
        <v>24</v>
      </c>
      <c r="H253" s="1827" t="s">
        <v>24</v>
      </c>
      <c r="I253" s="1827" t="s">
        <v>1791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827"/>
  </cols>
  <sheetData>
    <row r="1" spans="1:7" ht="11.25" customHeight="1">
      <c r="A1" t="s">
        <v>3092</v>
      </c>
      <c r="B1" t="s">
        <v>3093</v>
      </c>
      <c r="C1" t="s">
        <v>3094</v>
      </c>
      <c r="D1" t="s">
        <v>3095</v>
      </c>
      <c r="E1" t="s">
        <v>3096</v>
      </c>
      <c r="F1" t="s">
        <v>3097</v>
      </c>
      <c r="G1" t="s">
        <v>3098</v>
      </c>
    </row>
    <row r="2" spans="1:7" ht="11.25" customHeight="1">
      <c r="A2" t="s">
        <v>14</v>
      </c>
      <c r="B2" t="s">
        <v>3099</v>
      </c>
      <c r="C2" t="s">
        <v>3100</v>
      </c>
      <c r="D2" t="s">
        <v>3099</v>
      </c>
      <c r="E2" t="s">
        <v>3100</v>
      </c>
      <c r="F2" t="s">
        <v>3101</v>
      </c>
      <c r="G2" t="s">
        <v>129</v>
      </c>
    </row>
    <row r="3" spans="1:7" ht="11.25" customHeight="1">
      <c r="A3" t="s">
        <v>14</v>
      </c>
      <c r="B3" t="s">
        <v>3102</v>
      </c>
      <c r="C3" t="s">
        <v>3103</v>
      </c>
      <c r="D3" t="s">
        <v>3102</v>
      </c>
      <c r="E3" t="s">
        <v>3103</v>
      </c>
      <c r="F3" t="s">
        <v>3104</v>
      </c>
      <c r="G3" t="s">
        <v>102</v>
      </c>
    </row>
    <row r="4" spans="1:7" ht="11.25" customHeight="1">
      <c r="A4" t="s">
        <v>14</v>
      </c>
      <c r="B4" t="s">
        <v>3102</v>
      </c>
      <c r="C4" t="s">
        <v>3103</v>
      </c>
      <c r="D4" t="s">
        <v>3105</v>
      </c>
      <c r="E4" t="s">
        <v>3106</v>
      </c>
      <c r="F4" t="s">
        <v>3107</v>
      </c>
      <c r="G4" t="s">
        <v>88</v>
      </c>
    </row>
    <row r="5" spans="1:7" ht="11.25" customHeight="1">
      <c r="A5" t="s">
        <v>14</v>
      </c>
      <c r="B5" t="s">
        <v>3102</v>
      </c>
      <c r="C5" t="s">
        <v>3103</v>
      </c>
      <c r="D5" t="s">
        <v>3108</v>
      </c>
      <c r="E5" t="s">
        <v>3109</v>
      </c>
      <c r="F5" t="s">
        <v>3107</v>
      </c>
      <c r="G5" t="s">
        <v>89</v>
      </c>
    </row>
    <row r="6" spans="1:7" ht="11.25" customHeight="1">
      <c r="A6" t="s">
        <v>14</v>
      </c>
      <c r="B6" t="s">
        <v>3102</v>
      </c>
      <c r="C6" t="s">
        <v>3103</v>
      </c>
      <c r="D6" t="s">
        <v>3110</v>
      </c>
      <c r="E6" t="s">
        <v>3111</v>
      </c>
      <c r="F6" t="s">
        <v>3107</v>
      </c>
      <c r="G6" t="s">
        <v>117</v>
      </c>
    </row>
    <row r="7" spans="1:7" ht="11.25" customHeight="1">
      <c r="A7" t="s">
        <v>14</v>
      </c>
      <c r="B7" t="s">
        <v>3102</v>
      </c>
      <c r="C7" t="s">
        <v>3103</v>
      </c>
      <c r="D7" t="s">
        <v>3112</v>
      </c>
      <c r="E7" t="s">
        <v>3113</v>
      </c>
      <c r="F7" t="s">
        <v>3107</v>
      </c>
      <c r="G7" t="s">
        <v>90</v>
      </c>
    </row>
    <row r="8" spans="1:7" ht="11.25" customHeight="1">
      <c r="A8" t="s">
        <v>14</v>
      </c>
      <c r="B8" t="s">
        <v>3102</v>
      </c>
      <c r="C8" t="s">
        <v>3103</v>
      </c>
      <c r="D8" t="s">
        <v>3114</v>
      </c>
      <c r="E8" t="s">
        <v>3115</v>
      </c>
      <c r="F8" t="s">
        <v>3107</v>
      </c>
      <c r="G8" t="s">
        <v>91</v>
      </c>
    </row>
    <row r="9" spans="1:7" ht="11.25" customHeight="1">
      <c r="A9" t="s">
        <v>14</v>
      </c>
      <c r="B9" t="s">
        <v>3102</v>
      </c>
      <c r="C9" t="s">
        <v>3103</v>
      </c>
      <c r="D9" t="s">
        <v>3116</v>
      </c>
      <c r="E9" t="s">
        <v>3117</v>
      </c>
      <c r="F9" t="s">
        <v>3107</v>
      </c>
      <c r="G9" t="s">
        <v>130</v>
      </c>
    </row>
    <row r="10" spans="1:7" ht="11.25" customHeight="1">
      <c r="A10" t="s">
        <v>14</v>
      </c>
      <c r="B10" t="s">
        <v>3102</v>
      </c>
      <c r="C10" t="s">
        <v>3103</v>
      </c>
      <c r="D10" t="s">
        <v>3118</v>
      </c>
      <c r="E10" t="s">
        <v>3119</v>
      </c>
      <c r="F10" t="s">
        <v>3107</v>
      </c>
      <c r="G10" t="s">
        <v>166</v>
      </c>
    </row>
    <row r="11" spans="1:7" ht="11.25" customHeight="1">
      <c r="A11" t="s">
        <v>14</v>
      </c>
      <c r="B11" t="s">
        <v>3102</v>
      </c>
      <c r="C11" t="s">
        <v>3103</v>
      </c>
      <c r="D11" t="s">
        <v>3120</v>
      </c>
      <c r="E11" t="s">
        <v>3121</v>
      </c>
      <c r="F11" t="s">
        <v>3107</v>
      </c>
      <c r="G11" t="s">
        <v>167</v>
      </c>
    </row>
    <row r="12" spans="1:7" ht="11.25" customHeight="1">
      <c r="A12" t="s">
        <v>14</v>
      </c>
      <c r="B12" t="s">
        <v>3122</v>
      </c>
      <c r="C12" t="s">
        <v>3123</v>
      </c>
      <c r="D12" t="s">
        <v>3122</v>
      </c>
      <c r="E12" t="s">
        <v>3123</v>
      </c>
      <c r="F12" t="s">
        <v>3101</v>
      </c>
      <c r="G12" t="s">
        <v>168</v>
      </c>
    </row>
    <row r="13" spans="1:7" ht="11.25" customHeight="1">
      <c r="A13" t="s">
        <v>14</v>
      </c>
      <c r="B13" t="s">
        <v>3124</v>
      </c>
      <c r="C13" t="s">
        <v>3125</v>
      </c>
      <c r="D13" t="s">
        <v>3124</v>
      </c>
      <c r="E13" t="s">
        <v>3125</v>
      </c>
      <c r="F13" t="s">
        <v>3104</v>
      </c>
      <c r="G13" t="s">
        <v>169</v>
      </c>
    </row>
    <row r="14" spans="1:7" ht="11.25" customHeight="1">
      <c r="A14" t="s">
        <v>14</v>
      </c>
      <c r="B14" t="s">
        <v>3124</v>
      </c>
      <c r="C14" t="s">
        <v>3125</v>
      </c>
      <c r="D14" t="s">
        <v>3126</v>
      </c>
      <c r="E14" t="s">
        <v>3127</v>
      </c>
      <c r="F14" t="s">
        <v>3107</v>
      </c>
      <c r="G14" t="s">
        <v>170</v>
      </c>
    </row>
    <row r="15" spans="1:7" ht="11.25" customHeight="1">
      <c r="A15" t="s">
        <v>14</v>
      </c>
      <c r="B15" t="s">
        <v>3124</v>
      </c>
      <c r="C15" t="s">
        <v>3125</v>
      </c>
      <c r="D15" t="s">
        <v>3128</v>
      </c>
      <c r="E15" t="s">
        <v>3129</v>
      </c>
      <c r="F15" t="s">
        <v>3107</v>
      </c>
      <c r="G15" t="s">
        <v>171</v>
      </c>
    </row>
    <row r="16" spans="1:7" ht="11.25" customHeight="1">
      <c r="A16" t="s">
        <v>14</v>
      </c>
      <c r="B16" t="s">
        <v>3124</v>
      </c>
      <c r="C16" t="s">
        <v>3125</v>
      </c>
      <c r="D16" t="s">
        <v>3130</v>
      </c>
      <c r="E16" t="s">
        <v>3131</v>
      </c>
      <c r="F16" t="s">
        <v>3107</v>
      </c>
      <c r="G16" t="s">
        <v>1636</v>
      </c>
    </row>
    <row r="17" spans="1:7" ht="11.25" customHeight="1">
      <c r="A17" t="s">
        <v>14</v>
      </c>
      <c r="B17" t="s">
        <v>3124</v>
      </c>
      <c r="C17" t="s">
        <v>3125</v>
      </c>
      <c r="D17" t="s">
        <v>3132</v>
      </c>
      <c r="E17" t="s">
        <v>3133</v>
      </c>
      <c r="F17" t="s">
        <v>3107</v>
      </c>
      <c r="G17" t="s">
        <v>1642</v>
      </c>
    </row>
    <row r="18" spans="1:7" ht="11.25" customHeight="1">
      <c r="A18" t="s">
        <v>14</v>
      </c>
      <c r="B18" t="s">
        <v>3124</v>
      </c>
      <c r="C18" t="s">
        <v>3125</v>
      </c>
      <c r="D18" t="s">
        <v>3134</v>
      </c>
      <c r="E18" t="s">
        <v>3135</v>
      </c>
      <c r="F18" t="s">
        <v>3107</v>
      </c>
      <c r="G18" t="s">
        <v>1653</v>
      </c>
    </row>
    <row r="19" spans="1:7" ht="11.25" customHeight="1">
      <c r="A19" t="s">
        <v>14</v>
      </c>
      <c r="B19" t="s">
        <v>3124</v>
      </c>
      <c r="C19" t="s">
        <v>3125</v>
      </c>
      <c r="D19" t="s">
        <v>3136</v>
      </c>
      <c r="E19" t="s">
        <v>3137</v>
      </c>
      <c r="F19" t="s">
        <v>3107</v>
      </c>
      <c r="G19" t="s">
        <v>1667</v>
      </c>
    </row>
    <row r="20" spans="1:7" ht="11.25" customHeight="1">
      <c r="A20" t="s">
        <v>14</v>
      </c>
      <c r="B20" t="s">
        <v>3124</v>
      </c>
      <c r="C20" t="s">
        <v>3125</v>
      </c>
      <c r="D20" t="s">
        <v>3138</v>
      </c>
      <c r="E20" t="s">
        <v>3139</v>
      </c>
      <c r="F20" t="s">
        <v>3107</v>
      </c>
      <c r="G20" t="s">
        <v>1679</v>
      </c>
    </row>
    <row r="21" spans="1:7" ht="11.25" customHeight="1">
      <c r="A21" t="s">
        <v>14</v>
      </c>
      <c r="B21" t="s">
        <v>3124</v>
      </c>
      <c r="C21" t="s">
        <v>3125</v>
      </c>
      <c r="D21" t="s">
        <v>3140</v>
      </c>
      <c r="E21" t="s">
        <v>3141</v>
      </c>
      <c r="F21" t="s">
        <v>3107</v>
      </c>
      <c r="G21" t="s">
        <v>1688</v>
      </c>
    </row>
    <row r="22" spans="1:7" ht="11.25" customHeight="1">
      <c r="A22" t="s">
        <v>14</v>
      </c>
      <c r="B22" t="s">
        <v>3124</v>
      </c>
      <c r="C22" t="s">
        <v>3125</v>
      </c>
      <c r="D22" t="s">
        <v>3142</v>
      </c>
      <c r="E22" t="s">
        <v>3143</v>
      </c>
      <c r="F22" t="s">
        <v>3107</v>
      </c>
      <c r="G22" t="s">
        <v>1704</v>
      </c>
    </row>
    <row r="23" spans="1:7" ht="11.25" customHeight="1">
      <c r="A23" t="s">
        <v>14</v>
      </c>
      <c r="B23" t="s">
        <v>3124</v>
      </c>
      <c r="C23" t="s">
        <v>3125</v>
      </c>
      <c r="D23" t="s">
        <v>3144</v>
      </c>
      <c r="E23" t="s">
        <v>3145</v>
      </c>
      <c r="F23" t="s">
        <v>3107</v>
      </c>
      <c r="G23" t="s">
        <v>1711</v>
      </c>
    </row>
    <row r="24" spans="1:7" ht="11.25" customHeight="1">
      <c r="A24" t="s">
        <v>14</v>
      </c>
      <c r="B24" t="s">
        <v>3124</v>
      </c>
      <c r="C24" t="s">
        <v>3125</v>
      </c>
      <c r="D24" t="s">
        <v>3146</v>
      </c>
      <c r="E24" t="s">
        <v>3147</v>
      </c>
      <c r="F24" t="s">
        <v>3107</v>
      </c>
      <c r="G24" t="s">
        <v>1719</v>
      </c>
    </row>
    <row r="25" spans="1:7" ht="11.25" customHeight="1">
      <c r="A25" t="s">
        <v>14</v>
      </c>
      <c r="B25" t="s">
        <v>3148</v>
      </c>
      <c r="C25" t="s">
        <v>3149</v>
      </c>
      <c r="D25" t="s">
        <v>3148</v>
      </c>
      <c r="E25" t="s">
        <v>3149</v>
      </c>
      <c r="F25" t="s">
        <v>3101</v>
      </c>
      <c r="G25" t="s">
        <v>1726</v>
      </c>
    </row>
    <row r="26" spans="1:7" ht="11.25" customHeight="1">
      <c r="A26" t="s">
        <v>14</v>
      </c>
      <c r="B26" t="s">
        <v>3150</v>
      </c>
      <c r="C26" t="s">
        <v>3151</v>
      </c>
      <c r="D26" t="s">
        <v>3152</v>
      </c>
      <c r="E26" t="s">
        <v>3153</v>
      </c>
      <c r="F26" t="s">
        <v>3107</v>
      </c>
      <c r="G26" t="s">
        <v>1730</v>
      </c>
    </row>
    <row r="27" spans="1:7" ht="11.25" customHeight="1">
      <c r="A27" t="s">
        <v>14</v>
      </c>
      <c r="B27" t="s">
        <v>3150</v>
      </c>
      <c r="C27" t="s">
        <v>3151</v>
      </c>
      <c r="D27" t="s">
        <v>3150</v>
      </c>
      <c r="E27" t="s">
        <v>3151</v>
      </c>
      <c r="F27" t="s">
        <v>3104</v>
      </c>
      <c r="G27" t="s">
        <v>1735</v>
      </c>
    </row>
    <row r="28" spans="1:7" ht="11.25" customHeight="1">
      <c r="A28" t="s">
        <v>14</v>
      </c>
      <c r="B28" t="s">
        <v>3150</v>
      </c>
      <c r="C28" t="s">
        <v>3151</v>
      </c>
      <c r="D28" t="s">
        <v>3154</v>
      </c>
      <c r="E28" t="s">
        <v>3155</v>
      </c>
      <c r="F28" t="s">
        <v>3107</v>
      </c>
      <c r="G28" t="s">
        <v>1743</v>
      </c>
    </row>
    <row r="29" spans="1:7" ht="11.25" customHeight="1">
      <c r="A29" t="s">
        <v>14</v>
      </c>
      <c r="B29" t="s">
        <v>3150</v>
      </c>
      <c r="C29" t="s">
        <v>3151</v>
      </c>
      <c r="D29" t="s">
        <v>3156</v>
      </c>
      <c r="E29" t="s">
        <v>3157</v>
      </c>
      <c r="F29" t="s">
        <v>3107</v>
      </c>
      <c r="G29" t="s">
        <v>1745</v>
      </c>
    </row>
    <row r="30" spans="1:7" ht="11.25" customHeight="1">
      <c r="A30" t="s">
        <v>14</v>
      </c>
      <c r="B30" t="s">
        <v>3150</v>
      </c>
      <c r="C30" t="s">
        <v>3151</v>
      </c>
      <c r="D30" t="s">
        <v>3158</v>
      </c>
      <c r="E30" t="s">
        <v>3159</v>
      </c>
      <c r="F30" t="s">
        <v>3107</v>
      </c>
      <c r="G30" t="s">
        <v>1748</v>
      </c>
    </row>
    <row r="31" spans="1:7" ht="11.25" customHeight="1">
      <c r="A31" t="s">
        <v>14</v>
      </c>
      <c r="B31" t="s">
        <v>3150</v>
      </c>
      <c r="C31" t="s">
        <v>3151</v>
      </c>
      <c r="D31" t="s">
        <v>3160</v>
      </c>
      <c r="E31" t="s">
        <v>3161</v>
      </c>
      <c r="F31" t="s">
        <v>3107</v>
      </c>
      <c r="G31" t="s">
        <v>1753</v>
      </c>
    </row>
    <row r="32" spans="1:7" ht="11.25" customHeight="1">
      <c r="A32" t="s">
        <v>14</v>
      </c>
      <c r="B32" t="s">
        <v>3150</v>
      </c>
      <c r="C32" t="s">
        <v>3151</v>
      </c>
      <c r="D32" t="s">
        <v>3162</v>
      </c>
      <c r="E32" t="s">
        <v>3163</v>
      </c>
      <c r="F32" t="s">
        <v>3107</v>
      </c>
      <c r="G32" t="s">
        <v>1755</v>
      </c>
    </row>
    <row r="33" spans="1:7" ht="11.25" customHeight="1">
      <c r="A33" t="s">
        <v>14</v>
      </c>
      <c r="B33" t="s">
        <v>3150</v>
      </c>
      <c r="C33" t="s">
        <v>3151</v>
      </c>
      <c r="D33" t="s">
        <v>3164</v>
      </c>
      <c r="E33" t="s">
        <v>3165</v>
      </c>
      <c r="F33" t="s">
        <v>3107</v>
      </c>
      <c r="G33" t="s">
        <v>1757</v>
      </c>
    </row>
    <row r="34" spans="1:7" ht="11.25" customHeight="1">
      <c r="A34" t="s">
        <v>14</v>
      </c>
      <c r="B34" t="s">
        <v>3150</v>
      </c>
      <c r="C34" t="s">
        <v>3151</v>
      </c>
      <c r="D34" t="s">
        <v>3166</v>
      </c>
      <c r="E34" t="s">
        <v>3167</v>
      </c>
      <c r="F34" t="s">
        <v>3107</v>
      </c>
      <c r="G34" t="s">
        <v>1759</v>
      </c>
    </row>
    <row r="35" spans="1:7" ht="11.25" customHeight="1">
      <c r="A35" t="s">
        <v>14</v>
      </c>
      <c r="B35" t="s">
        <v>3150</v>
      </c>
      <c r="C35" t="s">
        <v>3151</v>
      </c>
      <c r="D35" t="s">
        <v>3168</v>
      </c>
      <c r="E35" t="s">
        <v>3169</v>
      </c>
      <c r="F35" t="s">
        <v>3107</v>
      </c>
      <c r="G35" t="s">
        <v>1764</v>
      </c>
    </row>
    <row r="36" spans="1:7" ht="11.25" customHeight="1">
      <c r="A36" t="s">
        <v>14</v>
      </c>
      <c r="B36" t="s">
        <v>3150</v>
      </c>
      <c r="C36" t="s">
        <v>3151</v>
      </c>
      <c r="D36" t="s">
        <v>3170</v>
      </c>
      <c r="E36" t="s">
        <v>3171</v>
      </c>
      <c r="F36" t="s">
        <v>3107</v>
      </c>
      <c r="G36" t="s">
        <v>1769</v>
      </c>
    </row>
    <row r="37" spans="1:7" ht="11.25" customHeight="1">
      <c r="A37" t="s">
        <v>14</v>
      </c>
      <c r="B37" t="s">
        <v>3150</v>
      </c>
      <c r="C37" t="s">
        <v>3151</v>
      </c>
      <c r="D37" t="s">
        <v>3172</v>
      </c>
      <c r="E37" t="s">
        <v>3173</v>
      </c>
      <c r="F37" t="s">
        <v>3107</v>
      </c>
      <c r="G37" t="s">
        <v>1773</v>
      </c>
    </row>
    <row r="38" spans="1:7" ht="11.25" customHeight="1">
      <c r="A38" t="s">
        <v>14</v>
      </c>
      <c r="B38" t="s">
        <v>3174</v>
      </c>
      <c r="C38" t="s">
        <v>3175</v>
      </c>
      <c r="D38" t="s">
        <v>3174</v>
      </c>
      <c r="E38" t="s">
        <v>3175</v>
      </c>
      <c r="F38" t="s">
        <v>3101</v>
      </c>
      <c r="G38" t="s">
        <v>1781</v>
      </c>
    </row>
    <row r="39" spans="1:7" ht="11.25" customHeight="1">
      <c r="A39" t="s">
        <v>14</v>
      </c>
      <c r="B39" t="s">
        <v>3176</v>
      </c>
      <c r="C39" t="s">
        <v>3177</v>
      </c>
      <c r="D39" t="s">
        <v>3176</v>
      </c>
      <c r="E39" t="s">
        <v>3177</v>
      </c>
      <c r="F39" t="s">
        <v>3104</v>
      </c>
      <c r="G39" t="s">
        <v>1787</v>
      </c>
    </row>
    <row r="40" spans="1:7" ht="11.25" customHeight="1">
      <c r="A40" t="s">
        <v>14</v>
      </c>
      <c r="B40" t="s">
        <v>3176</v>
      </c>
      <c r="C40" t="s">
        <v>3177</v>
      </c>
      <c r="D40" t="s">
        <v>3178</v>
      </c>
      <c r="E40" t="s">
        <v>3179</v>
      </c>
      <c r="F40" t="s">
        <v>3107</v>
      </c>
      <c r="G40" t="s">
        <v>1792</v>
      </c>
    </row>
    <row r="41" spans="1:7" ht="11.25" customHeight="1">
      <c r="A41" t="s">
        <v>14</v>
      </c>
      <c r="B41" t="s">
        <v>3176</v>
      </c>
      <c r="C41" t="s">
        <v>3177</v>
      </c>
      <c r="D41" t="s">
        <v>3180</v>
      </c>
      <c r="E41" t="s">
        <v>3181</v>
      </c>
      <c r="F41" t="s">
        <v>3107</v>
      </c>
      <c r="G41" t="s">
        <v>1796</v>
      </c>
    </row>
    <row r="42" spans="1:7" ht="11.25" customHeight="1">
      <c r="A42" t="s">
        <v>14</v>
      </c>
      <c r="B42" t="s">
        <v>3176</v>
      </c>
      <c r="C42" t="s">
        <v>3177</v>
      </c>
      <c r="D42" t="s">
        <v>3182</v>
      </c>
      <c r="E42" t="s">
        <v>3183</v>
      </c>
      <c r="F42" t="s">
        <v>3107</v>
      </c>
      <c r="G42" t="s">
        <v>1799</v>
      </c>
    </row>
    <row r="43" spans="1:7" ht="11.25" customHeight="1">
      <c r="A43" t="s">
        <v>14</v>
      </c>
      <c r="B43" t="s">
        <v>3176</v>
      </c>
      <c r="C43" t="s">
        <v>3177</v>
      </c>
      <c r="D43" t="s">
        <v>3184</v>
      </c>
      <c r="E43" t="s">
        <v>3185</v>
      </c>
      <c r="F43" t="s">
        <v>3107</v>
      </c>
      <c r="G43" t="s">
        <v>1806</v>
      </c>
    </row>
    <row r="44" spans="1:7" ht="11.25" customHeight="1">
      <c r="A44" t="s">
        <v>14</v>
      </c>
      <c r="B44" t="s">
        <v>3176</v>
      </c>
      <c r="C44" t="s">
        <v>3177</v>
      </c>
      <c r="D44" t="s">
        <v>3186</v>
      </c>
      <c r="E44" t="s">
        <v>3187</v>
      </c>
      <c r="F44" t="s">
        <v>3107</v>
      </c>
      <c r="G44" t="s">
        <v>1815</v>
      </c>
    </row>
    <row r="45" spans="1:7" ht="11.25" customHeight="1">
      <c r="A45" t="s">
        <v>14</v>
      </c>
      <c r="B45" t="s">
        <v>3176</v>
      </c>
      <c r="C45" t="s">
        <v>3177</v>
      </c>
      <c r="D45" t="s">
        <v>3188</v>
      </c>
      <c r="E45" t="s">
        <v>3189</v>
      </c>
      <c r="F45" t="s">
        <v>3107</v>
      </c>
      <c r="G45" t="s">
        <v>1820</v>
      </c>
    </row>
    <row r="46" spans="1:7" ht="11.25" customHeight="1">
      <c r="A46" t="s">
        <v>14</v>
      </c>
      <c r="B46" t="s">
        <v>3176</v>
      </c>
      <c r="C46" t="s">
        <v>3177</v>
      </c>
      <c r="D46" t="s">
        <v>3190</v>
      </c>
      <c r="E46" t="s">
        <v>3191</v>
      </c>
      <c r="F46" t="s">
        <v>3107</v>
      </c>
      <c r="G46" t="s">
        <v>1824</v>
      </c>
    </row>
    <row r="47" spans="1:7" ht="11.25" customHeight="1">
      <c r="A47" t="s">
        <v>14</v>
      </c>
      <c r="B47" t="s">
        <v>3176</v>
      </c>
      <c r="C47" t="s">
        <v>3177</v>
      </c>
      <c r="D47" t="s">
        <v>3192</v>
      </c>
      <c r="E47" t="s">
        <v>3193</v>
      </c>
      <c r="F47" t="s">
        <v>3107</v>
      </c>
      <c r="G47" t="s">
        <v>1830</v>
      </c>
    </row>
    <row r="48" spans="1:7" ht="11.25" customHeight="1">
      <c r="A48" t="s">
        <v>14</v>
      </c>
      <c r="B48" t="s">
        <v>3194</v>
      </c>
      <c r="C48" t="s">
        <v>3195</v>
      </c>
      <c r="D48" t="s">
        <v>3194</v>
      </c>
      <c r="E48" t="s">
        <v>3195</v>
      </c>
      <c r="F48" t="s">
        <v>3196</v>
      </c>
      <c r="G48" t="s">
        <v>1835</v>
      </c>
    </row>
    <row r="49" spans="1:7" ht="11.25" customHeight="1">
      <c r="A49" t="s">
        <v>14</v>
      </c>
      <c r="B49" t="s">
        <v>3197</v>
      </c>
      <c r="C49" t="s">
        <v>3198</v>
      </c>
      <c r="D49" t="s">
        <v>3197</v>
      </c>
      <c r="E49" t="s">
        <v>3198</v>
      </c>
      <c r="F49" t="s">
        <v>3101</v>
      </c>
      <c r="G49" t="s">
        <v>1838</v>
      </c>
    </row>
    <row r="50" spans="1:7" ht="11.25" customHeight="1">
      <c r="A50" t="s">
        <v>14</v>
      </c>
      <c r="B50" t="s">
        <v>3199</v>
      </c>
      <c r="C50" t="s">
        <v>3200</v>
      </c>
      <c r="D50" t="s">
        <v>3201</v>
      </c>
      <c r="E50" t="s">
        <v>3202</v>
      </c>
      <c r="F50" t="s">
        <v>3107</v>
      </c>
      <c r="G50" t="s">
        <v>1842</v>
      </c>
    </row>
    <row r="51" spans="1:7" ht="11.25" customHeight="1">
      <c r="A51" t="s">
        <v>14</v>
      </c>
      <c r="B51" t="s">
        <v>3199</v>
      </c>
      <c r="C51" t="s">
        <v>3200</v>
      </c>
      <c r="D51" t="s">
        <v>3203</v>
      </c>
      <c r="E51" t="s">
        <v>3204</v>
      </c>
      <c r="F51" t="s">
        <v>3107</v>
      </c>
      <c r="G51" t="s">
        <v>1846</v>
      </c>
    </row>
    <row r="52" spans="1:7" ht="11.25" customHeight="1">
      <c r="A52" t="s">
        <v>14</v>
      </c>
      <c r="B52" t="s">
        <v>3199</v>
      </c>
      <c r="C52" t="s">
        <v>3200</v>
      </c>
      <c r="D52" t="s">
        <v>3205</v>
      </c>
      <c r="E52" t="s">
        <v>3206</v>
      </c>
      <c r="F52" t="s">
        <v>3107</v>
      </c>
      <c r="G52" t="s">
        <v>1850</v>
      </c>
    </row>
    <row r="53" spans="1:7" ht="11.25" customHeight="1">
      <c r="A53" t="s">
        <v>14</v>
      </c>
      <c r="B53" t="s">
        <v>3199</v>
      </c>
      <c r="C53" t="s">
        <v>3200</v>
      </c>
      <c r="D53" t="s">
        <v>3199</v>
      </c>
      <c r="E53" t="s">
        <v>3200</v>
      </c>
      <c r="F53" t="s">
        <v>3104</v>
      </c>
      <c r="G53" t="s">
        <v>1852</v>
      </c>
    </row>
    <row r="54" spans="1:7" ht="11.25" customHeight="1">
      <c r="A54" t="s">
        <v>14</v>
      </c>
      <c r="B54" t="s">
        <v>3199</v>
      </c>
      <c r="C54" t="s">
        <v>3200</v>
      </c>
      <c r="D54" t="s">
        <v>3207</v>
      </c>
      <c r="E54" t="s">
        <v>3208</v>
      </c>
      <c r="F54" t="s">
        <v>3209</v>
      </c>
      <c r="G54" t="s">
        <v>1855</v>
      </c>
    </row>
    <row r="55" spans="1:7" ht="11.25" customHeight="1">
      <c r="A55" t="s">
        <v>14</v>
      </c>
      <c r="B55" t="s">
        <v>3199</v>
      </c>
      <c r="C55" t="s">
        <v>3200</v>
      </c>
      <c r="D55" t="s">
        <v>3210</v>
      </c>
      <c r="E55" t="s">
        <v>3211</v>
      </c>
      <c r="F55" t="s">
        <v>3107</v>
      </c>
      <c r="G55" t="s">
        <v>1859</v>
      </c>
    </row>
    <row r="56" spans="1:7" ht="11.25" customHeight="1">
      <c r="A56" t="s">
        <v>14</v>
      </c>
      <c r="B56" t="s">
        <v>3199</v>
      </c>
      <c r="C56" t="s">
        <v>3200</v>
      </c>
      <c r="D56" t="s">
        <v>3212</v>
      </c>
      <c r="E56" t="s">
        <v>3213</v>
      </c>
      <c r="F56" t="s">
        <v>3107</v>
      </c>
      <c r="G56" t="s">
        <v>1862</v>
      </c>
    </row>
    <row r="57" spans="1:7" ht="11.25" customHeight="1">
      <c r="A57" t="s">
        <v>14</v>
      </c>
      <c r="B57" t="s">
        <v>3199</v>
      </c>
      <c r="C57" t="s">
        <v>3200</v>
      </c>
      <c r="D57" t="s">
        <v>3214</v>
      </c>
      <c r="E57" t="s">
        <v>3215</v>
      </c>
      <c r="F57" t="s">
        <v>3107</v>
      </c>
      <c r="G57" t="s">
        <v>1865</v>
      </c>
    </row>
    <row r="58" spans="1:7" ht="11.25" customHeight="1">
      <c r="A58" t="s">
        <v>14</v>
      </c>
      <c r="B58" t="s">
        <v>3199</v>
      </c>
      <c r="C58" t="s">
        <v>3200</v>
      </c>
      <c r="D58" t="s">
        <v>3216</v>
      </c>
      <c r="E58" t="s">
        <v>3217</v>
      </c>
      <c r="F58" t="s">
        <v>3107</v>
      </c>
      <c r="G58" t="s">
        <v>1868</v>
      </c>
    </row>
    <row r="59" spans="1:7" ht="11.25" customHeight="1">
      <c r="A59" t="s">
        <v>14</v>
      </c>
      <c r="B59" t="s">
        <v>3199</v>
      </c>
      <c r="C59" t="s">
        <v>3200</v>
      </c>
      <c r="D59" t="s">
        <v>3218</v>
      </c>
      <c r="E59" t="s">
        <v>3219</v>
      </c>
      <c r="F59" t="s">
        <v>3107</v>
      </c>
      <c r="G59" t="s">
        <v>1872</v>
      </c>
    </row>
    <row r="60" spans="1:7" ht="11.25" customHeight="1">
      <c r="A60" t="s">
        <v>14</v>
      </c>
      <c r="B60" t="s">
        <v>3199</v>
      </c>
      <c r="C60" t="s">
        <v>3200</v>
      </c>
      <c r="D60" t="s">
        <v>3220</v>
      </c>
      <c r="E60" t="s">
        <v>3221</v>
      </c>
      <c r="F60" t="s">
        <v>3107</v>
      </c>
      <c r="G60" t="s">
        <v>1875</v>
      </c>
    </row>
    <row r="61" spans="1:7" ht="11.25" customHeight="1">
      <c r="A61" t="s">
        <v>14</v>
      </c>
      <c r="B61" t="s">
        <v>3199</v>
      </c>
      <c r="C61" t="s">
        <v>3200</v>
      </c>
      <c r="D61" t="s">
        <v>3222</v>
      </c>
      <c r="E61" t="s">
        <v>3223</v>
      </c>
      <c r="F61" t="s">
        <v>3107</v>
      </c>
      <c r="G61" t="s">
        <v>3224</v>
      </c>
    </row>
    <row r="62" spans="1:7" ht="11.25" customHeight="1">
      <c r="A62" t="s">
        <v>14</v>
      </c>
      <c r="B62" t="s">
        <v>3199</v>
      </c>
      <c r="C62" t="s">
        <v>3200</v>
      </c>
      <c r="D62" t="s">
        <v>3225</v>
      </c>
      <c r="E62" t="s">
        <v>3226</v>
      </c>
      <c r="F62" t="s">
        <v>3107</v>
      </c>
      <c r="G62" t="s">
        <v>3227</v>
      </c>
    </row>
    <row r="63" spans="1:7" ht="11.25" customHeight="1">
      <c r="A63" t="s">
        <v>14</v>
      </c>
      <c r="B63" t="s">
        <v>3199</v>
      </c>
      <c r="C63" t="s">
        <v>3200</v>
      </c>
      <c r="D63" t="s">
        <v>3228</v>
      </c>
      <c r="E63" t="s">
        <v>3229</v>
      </c>
      <c r="F63" t="s">
        <v>3107</v>
      </c>
      <c r="G63" t="s">
        <v>3230</v>
      </c>
    </row>
    <row r="64" spans="1:7" ht="11.25" customHeight="1">
      <c r="A64" t="s">
        <v>14</v>
      </c>
      <c r="B64" t="s">
        <v>3199</v>
      </c>
      <c r="C64" t="s">
        <v>3200</v>
      </c>
      <c r="D64" t="s">
        <v>3231</v>
      </c>
      <c r="E64" t="s">
        <v>3232</v>
      </c>
      <c r="F64" t="s">
        <v>3107</v>
      </c>
      <c r="G64" t="s">
        <v>3233</v>
      </c>
    </row>
    <row r="65" spans="1:7" ht="11.25" customHeight="1">
      <c r="A65" t="s">
        <v>14</v>
      </c>
      <c r="B65" t="s">
        <v>3234</v>
      </c>
      <c r="C65" t="s">
        <v>3235</v>
      </c>
      <c r="D65" t="s">
        <v>3234</v>
      </c>
      <c r="E65" t="s">
        <v>3235</v>
      </c>
      <c r="F65" t="s">
        <v>3101</v>
      </c>
      <c r="G65" t="s">
        <v>3236</v>
      </c>
    </row>
    <row r="66" spans="1:7" ht="11.25" customHeight="1">
      <c r="A66" t="s">
        <v>14</v>
      </c>
      <c r="B66" t="s">
        <v>98</v>
      </c>
      <c r="C66" t="s">
        <v>3237</v>
      </c>
      <c r="D66" t="s">
        <v>3238</v>
      </c>
      <c r="E66" t="s">
        <v>3239</v>
      </c>
      <c r="F66" t="s">
        <v>3107</v>
      </c>
      <c r="G66" t="s">
        <v>3240</v>
      </c>
    </row>
    <row r="67" spans="1:7" ht="11.25" customHeight="1">
      <c r="A67" t="s">
        <v>14</v>
      </c>
      <c r="B67" t="s">
        <v>98</v>
      </c>
      <c r="C67" t="s">
        <v>3237</v>
      </c>
      <c r="D67" t="s">
        <v>98</v>
      </c>
      <c r="E67" t="s">
        <v>3237</v>
      </c>
      <c r="F67" t="s">
        <v>3104</v>
      </c>
      <c r="G67" t="s">
        <v>2096</v>
      </c>
    </row>
    <row r="68" spans="1:7" ht="11.25" customHeight="1">
      <c r="A68" t="s">
        <v>14</v>
      </c>
      <c r="B68" t="s">
        <v>98</v>
      </c>
      <c r="C68" t="s">
        <v>3237</v>
      </c>
      <c r="D68" t="s">
        <v>99</v>
      </c>
      <c r="E68" t="s">
        <v>100</v>
      </c>
      <c r="F68" t="s">
        <v>3209</v>
      </c>
      <c r="G68" t="s">
        <v>97</v>
      </c>
    </row>
    <row r="69" spans="1:7" ht="11.25" customHeight="1">
      <c r="A69" t="s">
        <v>14</v>
      </c>
      <c r="B69" t="s">
        <v>98</v>
      </c>
      <c r="C69" t="s">
        <v>3237</v>
      </c>
      <c r="D69" t="s">
        <v>3241</v>
      </c>
      <c r="E69" t="s">
        <v>3242</v>
      </c>
      <c r="F69" t="s">
        <v>3107</v>
      </c>
      <c r="G69" t="s">
        <v>2306</v>
      </c>
    </row>
    <row r="70" spans="1:7" ht="11.25" customHeight="1">
      <c r="A70" t="s">
        <v>14</v>
      </c>
      <c r="B70" t="s">
        <v>98</v>
      </c>
      <c r="C70" t="s">
        <v>3237</v>
      </c>
      <c r="D70" t="s">
        <v>3243</v>
      </c>
      <c r="E70" t="s">
        <v>3244</v>
      </c>
      <c r="F70" t="s">
        <v>3107</v>
      </c>
      <c r="G70" t="s">
        <v>3245</v>
      </c>
    </row>
    <row r="71" spans="1:7" ht="11.25" customHeight="1">
      <c r="A71" t="s">
        <v>14</v>
      </c>
      <c r="B71" t="s">
        <v>98</v>
      </c>
      <c r="C71" t="s">
        <v>3237</v>
      </c>
      <c r="D71" t="s">
        <v>3246</v>
      </c>
      <c r="E71" t="s">
        <v>3247</v>
      </c>
      <c r="F71" t="s">
        <v>3107</v>
      </c>
      <c r="G71" t="s">
        <v>3248</v>
      </c>
    </row>
    <row r="72" spans="1:7" ht="11.25" customHeight="1">
      <c r="A72" t="s">
        <v>14</v>
      </c>
      <c r="B72" t="s">
        <v>98</v>
      </c>
      <c r="C72" t="s">
        <v>3237</v>
      </c>
      <c r="D72" t="s">
        <v>3249</v>
      </c>
      <c r="E72" t="s">
        <v>3250</v>
      </c>
      <c r="F72" t="s">
        <v>3107</v>
      </c>
      <c r="G72" t="s">
        <v>3251</v>
      </c>
    </row>
    <row r="73" spans="1:7" ht="11.25" customHeight="1">
      <c r="A73" t="s">
        <v>14</v>
      </c>
      <c r="B73" t="s">
        <v>98</v>
      </c>
      <c r="C73" t="s">
        <v>3237</v>
      </c>
      <c r="D73" t="s">
        <v>3252</v>
      </c>
      <c r="E73" t="s">
        <v>3253</v>
      </c>
      <c r="F73" t="s">
        <v>3107</v>
      </c>
      <c r="G73" t="s">
        <v>3254</v>
      </c>
    </row>
    <row r="74" spans="1:7" ht="11.25" customHeight="1">
      <c r="A74" t="s">
        <v>14</v>
      </c>
      <c r="B74" t="s">
        <v>98</v>
      </c>
      <c r="C74" t="s">
        <v>3237</v>
      </c>
      <c r="D74" t="s">
        <v>3255</v>
      </c>
      <c r="E74" t="s">
        <v>3256</v>
      </c>
      <c r="F74" t="s">
        <v>3107</v>
      </c>
      <c r="G74" t="s">
        <v>3257</v>
      </c>
    </row>
    <row r="75" spans="1:7" ht="11.25" customHeight="1">
      <c r="A75" t="s">
        <v>14</v>
      </c>
      <c r="B75" t="s">
        <v>98</v>
      </c>
      <c r="C75" t="s">
        <v>3237</v>
      </c>
      <c r="D75" t="s">
        <v>3258</v>
      </c>
      <c r="E75" t="s">
        <v>3259</v>
      </c>
      <c r="F75" t="s">
        <v>3107</v>
      </c>
      <c r="G75" t="s">
        <v>3260</v>
      </c>
    </row>
    <row r="76" spans="1:7" ht="11.25" customHeight="1">
      <c r="A76" t="s">
        <v>14</v>
      </c>
      <c r="B76" t="s">
        <v>98</v>
      </c>
      <c r="C76" t="s">
        <v>3237</v>
      </c>
      <c r="D76" t="s">
        <v>3261</v>
      </c>
      <c r="E76" t="s">
        <v>3262</v>
      </c>
      <c r="F76" t="s">
        <v>3107</v>
      </c>
      <c r="G76" t="s">
        <v>3263</v>
      </c>
    </row>
    <row r="77" spans="1:7" ht="11.25" customHeight="1">
      <c r="A77" t="s">
        <v>14</v>
      </c>
      <c r="B77" t="s">
        <v>98</v>
      </c>
      <c r="C77" t="s">
        <v>3237</v>
      </c>
      <c r="D77" t="s">
        <v>3264</v>
      </c>
      <c r="E77" t="s">
        <v>3265</v>
      </c>
      <c r="F77" t="s">
        <v>3107</v>
      </c>
      <c r="G77" t="s">
        <v>3266</v>
      </c>
    </row>
    <row r="78" spans="1:7" ht="11.25" customHeight="1">
      <c r="A78" t="s">
        <v>14</v>
      </c>
      <c r="B78" t="s">
        <v>98</v>
      </c>
      <c r="C78" t="s">
        <v>3237</v>
      </c>
      <c r="D78" t="s">
        <v>3267</v>
      </c>
      <c r="E78" t="s">
        <v>3268</v>
      </c>
      <c r="F78" t="s">
        <v>3107</v>
      </c>
      <c r="G78" t="s">
        <v>3269</v>
      </c>
    </row>
    <row r="79" spans="1:7" ht="11.25" customHeight="1">
      <c r="A79" t="s">
        <v>14</v>
      </c>
      <c r="B79" t="s">
        <v>98</v>
      </c>
      <c r="C79" t="s">
        <v>3237</v>
      </c>
      <c r="D79" t="s">
        <v>3270</v>
      </c>
      <c r="E79" t="s">
        <v>3271</v>
      </c>
      <c r="F79" t="s">
        <v>3107</v>
      </c>
      <c r="G79" t="s">
        <v>3272</v>
      </c>
    </row>
    <row r="80" spans="1:7" ht="11.25" customHeight="1">
      <c r="A80" t="s">
        <v>14</v>
      </c>
      <c r="B80" t="s">
        <v>98</v>
      </c>
      <c r="C80" t="s">
        <v>3237</v>
      </c>
      <c r="D80" t="s">
        <v>3273</v>
      </c>
      <c r="E80" t="s">
        <v>3274</v>
      </c>
      <c r="F80" t="s">
        <v>3107</v>
      </c>
      <c r="G80" t="s">
        <v>3275</v>
      </c>
    </row>
    <row r="81" spans="1:7" ht="11.25" customHeight="1">
      <c r="A81" t="s">
        <v>14</v>
      </c>
      <c r="B81" t="s">
        <v>3276</v>
      </c>
      <c r="C81" t="s">
        <v>3277</v>
      </c>
      <c r="D81" t="s">
        <v>3276</v>
      </c>
      <c r="E81" t="s">
        <v>3277</v>
      </c>
      <c r="F81" t="s">
        <v>3196</v>
      </c>
      <c r="G81" t="s">
        <v>3278</v>
      </c>
    </row>
    <row r="82" spans="1:7" ht="11.25" customHeight="1">
      <c r="A82" t="s">
        <v>14</v>
      </c>
      <c r="B82" t="s">
        <v>3279</v>
      </c>
      <c r="C82" t="s">
        <v>3280</v>
      </c>
      <c r="D82" t="s">
        <v>3279</v>
      </c>
      <c r="E82" t="s">
        <v>3280</v>
      </c>
      <c r="F82" t="s">
        <v>3101</v>
      </c>
      <c r="G82" t="s">
        <v>3281</v>
      </c>
    </row>
    <row r="83" spans="1:7" ht="11.25" customHeight="1">
      <c r="A83" t="s">
        <v>14</v>
      </c>
      <c r="B83" t="s">
        <v>3282</v>
      </c>
      <c r="C83" t="s">
        <v>3283</v>
      </c>
      <c r="D83" t="s">
        <v>3203</v>
      </c>
      <c r="E83" t="s">
        <v>3284</v>
      </c>
      <c r="F83" t="s">
        <v>3107</v>
      </c>
      <c r="G83" t="s">
        <v>3285</v>
      </c>
    </row>
    <row r="84" spans="1:7" ht="11.25" customHeight="1">
      <c r="A84" t="s">
        <v>14</v>
      </c>
      <c r="B84" t="s">
        <v>3282</v>
      </c>
      <c r="C84" t="s">
        <v>3283</v>
      </c>
      <c r="D84" t="s">
        <v>3286</v>
      </c>
      <c r="E84" t="s">
        <v>3287</v>
      </c>
      <c r="F84" t="s">
        <v>3107</v>
      </c>
      <c r="G84" t="s">
        <v>3288</v>
      </c>
    </row>
    <row r="85" spans="1:7" ht="11.25" customHeight="1">
      <c r="A85" t="s">
        <v>14</v>
      </c>
      <c r="B85" t="s">
        <v>3282</v>
      </c>
      <c r="C85" t="s">
        <v>3283</v>
      </c>
      <c r="D85" t="s">
        <v>3282</v>
      </c>
      <c r="E85" t="s">
        <v>3283</v>
      </c>
      <c r="F85" t="s">
        <v>3104</v>
      </c>
      <c r="G85" t="s">
        <v>3289</v>
      </c>
    </row>
    <row r="86" spans="1:7" ht="11.25" customHeight="1">
      <c r="A86" t="s">
        <v>14</v>
      </c>
      <c r="B86" t="s">
        <v>3282</v>
      </c>
      <c r="C86" t="s">
        <v>3283</v>
      </c>
      <c r="D86" t="s">
        <v>3290</v>
      </c>
      <c r="E86" t="s">
        <v>3291</v>
      </c>
      <c r="F86" t="s">
        <v>3107</v>
      </c>
      <c r="G86" t="s">
        <v>3292</v>
      </c>
    </row>
    <row r="87" spans="1:7" ht="11.25" customHeight="1">
      <c r="A87" t="s">
        <v>14</v>
      </c>
      <c r="B87" t="s">
        <v>3282</v>
      </c>
      <c r="C87" t="s">
        <v>3283</v>
      </c>
      <c r="D87" t="s">
        <v>3293</v>
      </c>
      <c r="E87" t="s">
        <v>3294</v>
      </c>
      <c r="F87" t="s">
        <v>3107</v>
      </c>
      <c r="G87" t="s">
        <v>3295</v>
      </c>
    </row>
    <row r="88" spans="1:7" ht="11.25" customHeight="1">
      <c r="A88" t="s">
        <v>14</v>
      </c>
      <c r="B88" t="s">
        <v>3282</v>
      </c>
      <c r="C88" t="s">
        <v>3283</v>
      </c>
      <c r="D88" t="s">
        <v>3296</v>
      </c>
      <c r="E88" t="s">
        <v>3297</v>
      </c>
      <c r="F88" t="s">
        <v>3107</v>
      </c>
      <c r="G88" t="s">
        <v>3298</v>
      </c>
    </row>
    <row r="89" spans="1:7" ht="11.25" customHeight="1">
      <c r="A89" t="s">
        <v>14</v>
      </c>
      <c r="B89" t="s">
        <v>3282</v>
      </c>
      <c r="C89" t="s">
        <v>3283</v>
      </c>
      <c r="D89" t="s">
        <v>3299</v>
      </c>
      <c r="E89" t="s">
        <v>3300</v>
      </c>
      <c r="F89" t="s">
        <v>3107</v>
      </c>
      <c r="G89" t="s">
        <v>3301</v>
      </c>
    </row>
    <row r="90" spans="1:7" ht="11.25" customHeight="1">
      <c r="A90" t="s">
        <v>14</v>
      </c>
      <c r="B90" t="s">
        <v>3282</v>
      </c>
      <c r="C90" t="s">
        <v>3283</v>
      </c>
      <c r="D90" t="s">
        <v>3302</v>
      </c>
      <c r="E90" t="s">
        <v>3303</v>
      </c>
      <c r="F90" t="s">
        <v>3107</v>
      </c>
      <c r="G90" t="s">
        <v>3304</v>
      </c>
    </row>
    <row r="91" spans="1:7" ht="11.25" customHeight="1">
      <c r="A91" t="s">
        <v>14</v>
      </c>
      <c r="B91" t="s">
        <v>3282</v>
      </c>
      <c r="C91" t="s">
        <v>3283</v>
      </c>
      <c r="D91" t="s">
        <v>3305</v>
      </c>
      <c r="E91" t="s">
        <v>3306</v>
      </c>
      <c r="F91" t="s">
        <v>3107</v>
      </c>
      <c r="G91" t="s">
        <v>3307</v>
      </c>
    </row>
    <row r="92" spans="1:7" ht="11.25" customHeight="1">
      <c r="A92" t="s">
        <v>14</v>
      </c>
      <c r="B92" t="s">
        <v>3282</v>
      </c>
      <c r="C92" t="s">
        <v>3283</v>
      </c>
      <c r="D92" t="s">
        <v>3308</v>
      </c>
      <c r="E92" t="s">
        <v>3309</v>
      </c>
      <c r="F92" t="s">
        <v>3107</v>
      </c>
      <c r="G92" t="s">
        <v>3310</v>
      </c>
    </row>
    <row r="93" spans="1:7" ht="11.25" customHeight="1">
      <c r="A93" t="s">
        <v>14</v>
      </c>
      <c r="B93" t="s">
        <v>3282</v>
      </c>
      <c r="C93" t="s">
        <v>3283</v>
      </c>
      <c r="D93" t="s">
        <v>3311</v>
      </c>
      <c r="E93" t="s">
        <v>3312</v>
      </c>
      <c r="F93" t="s">
        <v>3107</v>
      </c>
      <c r="G93" t="s">
        <v>3313</v>
      </c>
    </row>
    <row r="94" spans="1:7" ht="11.25" customHeight="1">
      <c r="A94" t="s">
        <v>14</v>
      </c>
      <c r="B94" t="s">
        <v>3282</v>
      </c>
      <c r="C94" t="s">
        <v>3283</v>
      </c>
      <c r="D94" t="s">
        <v>3314</v>
      </c>
      <c r="E94" t="s">
        <v>3315</v>
      </c>
      <c r="F94" t="s">
        <v>3107</v>
      </c>
      <c r="G94" t="s">
        <v>3316</v>
      </c>
    </row>
    <row r="95" spans="1:7" ht="11.25" customHeight="1">
      <c r="A95" t="s">
        <v>14</v>
      </c>
      <c r="B95" t="s">
        <v>3282</v>
      </c>
      <c r="C95" t="s">
        <v>3283</v>
      </c>
      <c r="D95" t="s">
        <v>3317</v>
      </c>
      <c r="E95" t="s">
        <v>3318</v>
      </c>
      <c r="F95" t="s">
        <v>3107</v>
      </c>
      <c r="G95" t="s">
        <v>3319</v>
      </c>
    </row>
    <row r="96" spans="1:7" ht="11.25" customHeight="1">
      <c r="A96" t="s">
        <v>14</v>
      </c>
      <c r="B96" t="s">
        <v>3282</v>
      </c>
      <c r="C96" t="s">
        <v>3283</v>
      </c>
      <c r="D96" t="s">
        <v>3320</v>
      </c>
      <c r="E96" t="s">
        <v>3321</v>
      </c>
      <c r="F96" t="s">
        <v>3107</v>
      </c>
      <c r="G96" t="s">
        <v>3322</v>
      </c>
    </row>
    <row r="97" spans="1:7" ht="11.25" customHeight="1">
      <c r="A97" t="s">
        <v>14</v>
      </c>
      <c r="B97" t="s">
        <v>3282</v>
      </c>
      <c r="C97" t="s">
        <v>3283</v>
      </c>
      <c r="D97" t="s">
        <v>3323</v>
      </c>
      <c r="E97" t="s">
        <v>3324</v>
      </c>
      <c r="F97" t="s">
        <v>3107</v>
      </c>
      <c r="G97" t="s">
        <v>3325</v>
      </c>
    </row>
    <row r="98" spans="1:7" ht="11.25" customHeight="1">
      <c r="A98" t="s">
        <v>14</v>
      </c>
      <c r="B98" t="s">
        <v>3326</v>
      </c>
      <c r="C98" t="s">
        <v>3327</v>
      </c>
      <c r="D98" t="s">
        <v>3326</v>
      </c>
      <c r="E98" t="s">
        <v>3327</v>
      </c>
      <c r="F98" t="s">
        <v>3196</v>
      </c>
      <c r="G98" t="s">
        <v>3328</v>
      </c>
    </row>
    <row r="99" spans="1:7" ht="11.25" customHeight="1">
      <c r="A99" t="s">
        <v>14</v>
      </c>
      <c r="B99" t="s">
        <v>3329</v>
      </c>
      <c r="C99" t="s">
        <v>3330</v>
      </c>
      <c r="D99" t="s">
        <v>3329</v>
      </c>
      <c r="E99" t="s">
        <v>3330</v>
      </c>
      <c r="F99" t="s">
        <v>3196</v>
      </c>
      <c r="G99" t="s">
        <v>3331</v>
      </c>
    </row>
    <row r="100" spans="1:7" ht="11.25" customHeight="1">
      <c r="A100" t="s">
        <v>14</v>
      </c>
      <c r="B100" t="s">
        <v>3332</v>
      </c>
      <c r="C100" t="s">
        <v>3333</v>
      </c>
      <c r="D100" t="s">
        <v>3332</v>
      </c>
      <c r="E100" t="s">
        <v>3333</v>
      </c>
      <c r="F100" t="s">
        <v>3196</v>
      </c>
      <c r="G100" t="s">
        <v>3334</v>
      </c>
    </row>
    <row r="101" spans="1:7" ht="11.25" customHeight="1">
      <c r="A101" t="s">
        <v>14</v>
      </c>
      <c r="B101" t="s">
        <v>3335</v>
      </c>
      <c r="C101" t="s">
        <v>3336</v>
      </c>
      <c r="D101" t="s">
        <v>3335</v>
      </c>
      <c r="E101" t="s">
        <v>3336</v>
      </c>
      <c r="F101" t="s">
        <v>3196</v>
      </c>
      <c r="G101" t="s">
        <v>3337</v>
      </c>
    </row>
    <row r="102" spans="1:7" ht="11.25" customHeight="1">
      <c r="A102" t="s">
        <v>14</v>
      </c>
      <c r="B102" t="s">
        <v>3338</v>
      </c>
      <c r="C102" t="s">
        <v>3339</v>
      </c>
      <c r="D102" t="s">
        <v>3338</v>
      </c>
      <c r="E102" t="s">
        <v>3339</v>
      </c>
      <c r="F102" t="s">
        <v>3196</v>
      </c>
      <c r="G102" t="s">
        <v>3340</v>
      </c>
    </row>
    <row r="103" spans="1:7" ht="11.25" customHeight="1">
      <c r="A103" t="s">
        <v>14</v>
      </c>
      <c r="B103" t="s">
        <v>3341</v>
      </c>
      <c r="C103" t="s">
        <v>3342</v>
      </c>
      <c r="D103" t="s">
        <v>3341</v>
      </c>
      <c r="E103" t="s">
        <v>3342</v>
      </c>
      <c r="F103" t="s">
        <v>3196</v>
      </c>
      <c r="G103" t="s">
        <v>3343</v>
      </c>
    </row>
    <row r="104" spans="1:7" ht="11.25" customHeight="1">
      <c r="A104" t="s">
        <v>14</v>
      </c>
      <c r="B104" t="s">
        <v>3344</v>
      </c>
      <c r="C104" t="s">
        <v>3345</v>
      </c>
      <c r="D104" t="s">
        <v>3344</v>
      </c>
      <c r="E104" t="s">
        <v>3345</v>
      </c>
      <c r="F104" t="s">
        <v>3196</v>
      </c>
      <c r="G104" t="s">
        <v>3346</v>
      </c>
    </row>
    <row r="105" spans="1:7" ht="11.25" customHeight="1">
      <c r="A105" t="s">
        <v>14</v>
      </c>
      <c r="B105" t="s">
        <v>3347</v>
      </c>
      <c r="C105" t="s">
        <v>3348</v>
      </c>
      <c r="D105" t="s">
        <v>3347</v>
      </c>
      <c r="E105" t="s">
        <v>3348</v>
      </c>
      <c r="F105" t="s">
        <v>3101</v>
      </c>
      <c r="G105" t="s">
        <v>3349</v>
      </c>
    </row>
    <row r="106" spans="1:7" ht="11.25" customHeight="1">
      <c r="A106" t="s">
        <v>14</v>
      </c>
      <c r="B106" t="s">
        <v>3350</v>
      </c>
      <c r="C106" t="s">
        <v>3351</v>
      </c>
      <c r="D106" t="s">
        <v>3350</v>
      </c>
      <c r="E106" t="s">
        <v>3351</v>
      </c>
      <c r="F106" t="s">
        <v>3104</v>
      </c>
      <c r="G106" t="s">
        <v>3352</v>
      </c>
    </row>
    <row r="107" spans="1:7" ht="11.25" customHeight="1">
      <c r="A107" t="s">
        <v>14</v>
      </c>
      <c r="B107" t="s">
        <v>3350</v>
      </c>
      <c r="C107" t="s">
        <v>3351</v>
      </c>
      <c r="D107" t="s">
        <v>3353</v>
      </c>
      <c r="E107" t="s">
        <v>3354</v>
      </c>
      <c r="F107" t="s">
        <v>3107</v>
      </c>
      <c r="G107" t="s">
        <v>3355</v>
      </c>
    </row>
    <row r="108" spans="1:7" ht="11.25" customHeight="1">
      <c r="A108" t="s">
        <v>14</v>
      </c>
      <c r="B108" t="s">
        <v>3350</v>
      </c>
      <c r="C108" t="s">
        <v>3351</v>
      </c>
      <c r="D108" t="s">
        <v>3356</v>
      </c>
      <c r="E108" t="s">
        <v>3357</v>
      </c>
      <c r="F108" t="s">
        <v>3107</v>
      </c>
      <c r="G108" t="s">
        <v>3358</v>
      </c>
    </row>
    <row r="109" spans="1:7" ht="11.25" customHeight="1">
      <c r="A109" t="s">
        <v>14</v>
      </c>
      <c r="B109" t="s">
        <v>3350</v>
      </c>
      <c r="C109" t="s">
        <v>3351</v>
      </c>
      <c r="D109" t="s">
        <v>3359</v>
      </c>
      <c r="E109" t="s">
        <v>3360</v>
      </c>
      <c r="F109" t="s">
        <v>3107</v>
      </c>
      <c r="G109" t="s">
        <v>3361</v>
      </c>
    </row>
    <row r="110" spans="1:7" ht="11.25" customHeight="1">
      <c r="A110" t="s">
        <v>14</v>
      </c>
      <c r="B110" t="s">
        <v>3350</v>
      </c>
      <c r="C110" t="s">
        <v>3351</v>
      </c>
      <c r="D110" t="s">
        <v>3362</v>
      </c>
      <c r="E110" t="s">
        <v>3363</v>
      </c>
      <c r="F110" t="s">
        <v>3107</v>
      </c>
      <c r="G110" t="s">
        <v>3364</v>
      </c>
    </row>
    <row r="111" spans="1:7" ht="11.25" customHeight="1">
      <c r="A111" t="s">
        <v>14</v>
      </c>
      <c r="B111" t="s">
        <v>3350</v>
      </c>
      <c r="C111" t="s">
        <v>3351</v>
      </c>
      <c r="D111" t="s">
        <v>3365</v>
      </c>
      <c r="E111" t="s">
        <v>3366</v>
      </c>
      <c r="F111" t="s">
        <v>3107</v>
      </c>
      <c r="G111" t="s">
        <v>3367</v>
      </c>
    </row>
    <row r="112" spans="1:7" ht="11.25" customHeight="1">
      <c r="A112" t="s">
        <v>14</v>
      </c>
      <c r="B112" t="s">
        <v>3350</v>
      </c>
      <c r="C112" t="s">
        <v>3351</v>
      </c>
      <c r="D112" t="s">
        <v>3368</v>
      </c>
      <c r="E112" t="s">
        <v>3369</v>
      </c>
      <c r="F112" t="s">
        <v>3107</v>
      </c>
      <c r="G112" t="s">
        <v>3370</v>
      </c>
    </row>
    <row r="113" spans="1:7" ht="11.25" customHeight="1">
      <c r="A113" t="s">
        <v>14</v>
      </c>
      <c r="B113" t="s">
        <v>3350</v>
      </c>
      <c r="C113" t="s">
        <v>3351</v>
      </c>
      <c r="D113" t="s">
        <v>3371</v>
      </c>
      <c r="E113" t="s">
        <v>3372</v>
      </c>
      <c r="F113" t="s">
        <v>3107</v>
      </c>
      <c r="G113" t="s">
        <v>3373</v>
      </c>
    </row>
    <row r="114" spans="1:7" ht="11.25" customHeight="1">
      <c r="A114" t="s">
        <v>14</v>
      </c>
      <c r="B114" t="s">
        <v>3350</v>
      </c>
      <c r="C114" t="s">
        <v>3351</v>
      </c>
      <c r="D114" t="s">
        <v>3374</v>
      </c>
      <c r="E114" t="s">
        <v>3375</v>
      </c>
      <c r="F114" t="s">
        <v>3107</v>
      </c>
      <c r="G114" t="s">
        <v>3376</v>
      </c>
    </row>
    <row r="115" spans="1:7" ht="11.25" customHeight="1">
      <c r="A115" t="s">
        <v>14</v>
      </c>
      <c r="B115" t="s">
        <v>106</v>
      </c>
      <c r="C115" t="s">
        <v>107</v>
      </c>
      <c r="D115" t="s">
        <v>106</v>
      </c>
      <c r="E115" t="s">
        <v>107</v>
      </c>
      <c r="F115" t="s">
        <v>3196</v>
      </c>
      <c r="G115" t="s">
        <v>105</v>
      </c>
    </row>
    <row r="116" spans="1:7" ht="11.25" customHeight="1">
      <c r="A116" t="s">
        <v>14</v>
      </c>
      <c r="B116" t="s">
        <v>3377</v>
      </c>
      <c r="C116" t="s">
        <v>3378</v>
      </c>
      <c r="D116" t="s">
        <v>3377</v>
      </c>
      <c r="E116" t="s">
        <v>3378</v>
      </c>
      <c r="F116" t="s">
        <v>3101</v>
      </c>
      <c r="G116" t="s">
        <v>3379</v>
      </c>
    </row>
    <row r="117" spans="1:7" ht="11.25" customHeight="1">
      <c r="A117" t="s">
        <v>14</v>
      </c>
      <c r="B117" t="s">
        <v>3380</v>
      </c>
      <c r="C117" t="s">
        <v>3381</v>
      </c>
      <c r="D117" t="s">
        <v>3382</v>
      </c>
      <c r="E117" t="s">
        <v>3383</v>
      </c>
      <c r="F117" t="s">
        <v>3209</v>
      </c>
      <c r="G117" t="s">
        <v>3384</v>
      </c>
    </row>
    <row r="118" spans="1:7" ht="11.25" customHeight="1">
      <c r="A118" t="s">
        <v>14</v>
      </c>
      <c r="B118" t="s">
        <v>3380</v>
      </c>
      <c r="C118" t="s">
        <v>3381</v>
      </c>
      <c r="D118" t="s">
        <v>3380</v>
      </c>
      <c r="E118" t="s">
        <v>3381</v>
      </c>
      <c r="F118" t="s">
        <v>3104</v>
      </c>
      <c r="G118" t="s">
        <v>3385</v>
      </c>
    </row>
    <row r="119" spans="1:7" ht="11.25" customHeight="1">
      <c r="A119" t="s">
        <v>14</v>
      </c>
      <c r="B119" t="s">
        <v>3380</v>
      </c>
      <c r="C119" t="s">
        <v>3381</v>
      </c>
      <c r="D119" t="s">
        <v>3386</v>
      </c>
      <c r="E119" t="s">
        <v>3387</v>
      </c>
      <c r="F119" t="s">
        <v>3107</v>
      </c>
      <c r="G119" t="s">
        <v>3388</v>
      </c>
    </row>
    <row r="120" spans="1:7" ht="11.25" customHeight="1">
      <c r="A120" t="s">
        <v>14</v>
      </c>
      <c r="B120" t="s">
        <v>3380</v>
      </c>
      <c r="C120" t="s">
        <v>3381</v>
      </c>
      <c r="D120" t="s">
        <v>3389</v>
      </c>
      <c r="E120" t="s">
        <v>3390</v>
      </c>
      <c r="F120" t="s">
        <v>3107</v>
      </c>
      <c r="G120" t="s">
        <v>3391</v>
      </c>
    </row>
    <row r="121" spans="1:7" ht="11.25" customHeight="1">
      <c r="A121" t="s">
        <v>14</v>
      </c>
      <c r="B121" t="s">
        <v>3380</v>
      </c>
      <c r="C121" t="s">
        <v>3381</v>
      </c>
      <c r="D121" t="s">
        <v>3392</v>
      </c>
      <c r="E121" t="s">
        <v>3393</v>
      </c>
      <c r="F121" t="s">
        <v>3107</v>
      </c>
      <c r="G121" t="s">
        <v>3394</v>
      </c>
    </row>
    <row r="122" spans="1:7" ht="11.25" customHeight="1">
      <c r="A122" t="s">
        <v>14</v>
      </c>
      <c r="B122" t="s">
        <v>3380</v>
      </c>
      <c r="C122" t="s">
        <v>3381</v>
      </c>
      <c r="D122" t="s">
        <v>3395</v>
      </c>
      <c r="E122" t="s">
        <v>3396</v>
      </c>
      <c r="F122" t="s">
        <v>3107</v>
      </c>
      <c r="G122" t="s">
        <v>3397</v>
      </c>
    </row>
    <row r="123" spans="1:7" ht="11.25" customHeight="1">
      <c r="A123" t="s">
        <v>14</v>
      </c>
      <c r="B123" t="s">
        <v>3380</v>
      </c>
      <c r="C123" t="s">
        <v>3381</v>
      </c>
      <c r="D123" t="s">
        <v>3398</v>
      </c>
      <c r="E123" t="s">
        <v>3399</v>
      </c>
      <c r="F123" t="s">
        <v>3107</v>
      </c>
      <c r="G123" t="s">
        <v>3400</v>
      </c>
    </row>
    <row r="124" spans="1:7" ht="11.25" customHeight="1">
      <c r="A124" t="s">
        <v>14</v>
      </c>
      <c r="B124" t="s">
        <v>3380</v>
      </c>
      <c r="C124" t="s">
        <v>3381</v>
      </c>
      <c r="D124" t="s">
        <v>3401</v>
      </c>
      <c r="E124" t="s">
        <v>3402</v>
      </c>
      <c r="F124" t="s">
        <v>3403</v>
      </c>
      <c r="G124" t="s">
        <v>3404</v>
      </c>
    </row>
    <row r="125" spans="1:7" ht="11.25" customHeight="1">
      <c r="A125" t="s">
        <v>14</v>
      </c>
      <c r="B125" t="s">
        <v>3380</v>
      </c>
      <c r="C125" t="s">
        <v>3381</v>
      </c>
      <c r="D125" t="s">
        <v>3405</v>
      </c>
      <c r="E125" t="s">
        <v>3406</v>
      </c>
      <c r="F125" t="s">
        <v>3403</v>
      </c>
      <c r="G125" t="s">
        <v>3407</v>
      </c>
    </row>
    <row r="126" spans="1:7" ht="11.25" customHeight="1">
      <c r="A126" t="s">
        <v>14</v>
      </c>
      <c r="B126" t="s">
        <v>3380</v>
      </c>
      <c r="C126" t="s">
        <v>3381</v>
      </c>
      <c r="D126" t="s">
        <v>3408</v>
      </c>
      <c r="E126" t="s">
        <v>3409</v>
      </c>
      <c r="F126" t="s">
        <v>3107</v>
      </c>
      <c r="G126" t="s">
        <v>3410</v>
      </c>
    </row>
    <row r="127" spans="1:7" ht="11.25" customHeight="1">
      <c r="A127" t="s">
        <v>14</v>
      </c>
      <c r="B127" t="s">
        <v>3380</v>
      </c>
      <c r="C127" t="s">
        <v>3381</v>
      </c>
      <c r="D127" t="s">
        <v>3411</v>
      </c>
      <c r="E127" t="s">
        <v>3412</v>
      </c>
      <c r="F127" t="s">
        <v>3107</v>
      </c>
      <c r="G127" t="s">
        <v>3413</v>
      </c>
    </row>
    <row r="128" spans="1:7" ht="11.25" customHeight="1">
      <c r="A128" t="s">
        <v>14</v>
      </c>
      <c r="B128" t="s">
        <v>3380</v>
      </c>
      <c r="C128" t="s">
        <v>3381</v>
      </c>
      <c r="D128" t="s">
        <v>3414</v>
      </c>
      <c r="E128" t="s">
        <v>3415</v>
      </c>
      <c r="F128" t="s">
        <v>3107</v>
      </c>
      <c r="G128" t="s">
        <v>3416</v>
      </c>
    </row>
    <row r="129" spans="1:7" ht="11.25" customHeight="1">
      <c r="A129" t="s">
        <v>14</v>
      </c>
      <c r="B129" t="s">
        <v>3380</v>
      </c>
      <c r="C129" t="s">
        <v>3381</v>
      </c>
      <c r="D129" t="s">
        <v>3417</v>
      </c>
      <c r="E129" t="s">
        <v>3418</v>
      </c>
      <c r="F129" t="s">
        <v>3107</v>
      </c>
      <c r="G129" t="s">
        <v>3419</v>
      </c>
    </row>
    <row r="130" spans="1:7" ht="11.25" customHeight="1">
      <c r="A130" t="s">
        <v>14</v>
      </c>
      <c r="B130" t="s">
        <v>3380</v>
      </c>
      <c r="C130" t="s">
        <v>3381</v>
      </c>
      <c r="D130" t="s">
        <v>3420</v>
      </c>
      <c r="E130" t="s">
        <v>3421</v>
      </c>
      <c r="F130" t="s">
        <v>3107</v>
      </c>
      <c r="G130" t="s">
        <v>3422</v>
      </c>
    </row>
    <row r="131" spans="1:7" ht="11.25" customHeight="1">
      <c r="A131" t="s">
        <v>14</v>
      </c>
      <c r="B131" t="s">
        <v>3380</v>
      </c>
      <c r="C131" t="s">
        <v>3381</v>
      </c>
      <c r="D131" t="s">
        <v>3423</v>
      </c>
      <c r="E131" t="s">
        <v>3424</v>
      </c>
      <c r="F131" t="s">
        <v>3107</v>
      </c>
      <c r="G131" t="s">
        <v>3425</v>
      </c>
    </row>
    <row r="132" spans="1:7" ht="11.25" customHeight="1">
      <c r="A132" t="s">
        <v>14</v>
      </c>
      <c r="B132" t="s">
        <v>3380</v>
      </c>
      <c r="C132" t="s">
        <v>3381</v>
      </c>
      <c r="D132" t="s">
        <v>3426</v>
      </c>
      <c r="E132" t="s">
        <v>3427</v>
      </c>
      <c r="F132" t="s">
        <v>3107</v>
      </c>
      <c r="G132" t="s">
        <v>3428</v>
      </c>
    </row>
    <row r="133" spans="1:7" ht="11.25" customHeight="1">
      <c r="A133" t="s">
        <v>14</v>
      </c>
      <c r="B133" t="s">
        <v>3429</v>
      </c>
      <c r="C133" t="s">
        <v>3430</v>
      </c>
      <c r="D133" t="s">
        <v>3429</v>
      </c>
      <c r="E133" t="s">
        <v>3430</v>
      </c>
      <c r="F133" t="s">
        <v>3196</v>
      </c>
      <c r="G133" t="s">
        <v>3431</v>
      </c>
    </row>
    <row r="134" spans="1:7" ht="11.25" customHeight="1">
      <c r="A134" t="s">
        <v>14</v>
      </c>
      <c r="B134" t="s">
        <v>3432</v>
      </c>
      <c r="C134" t="s">
        <v>3433</v>
      </c>
      <c r="D134" t="s">
        <v>3432</v>
      </c>
      <c r="E134" t="s">
        <v>3433</v>
      </c>
      <c r="F134" t="s">
        <v>3101</v>
      </c>
      <c r="G134" t="s">
        <v>3434</v>
      </c>
    </row>
    <row r="135" spans="1:7" ht="11.25" customHeight="1">
      <c r="A135" t="s">
        <v>14</v>
      </c>
      <c r="B135" t="s">
        <v>3435</v>
      </c>
      <c r="C135" t="s">
        <v>3436</v>
      </c>
      <c r="D135" t="s">
        <v>3437</v>
      </c>
      <c r="E135" t="s">
        <v>3438</v>
      </c>
      <c r="F135" t="s">
        <v>3107</v>
      </c>
      <c r="G135" t="s">
        <v>3439</v>
      </c>
    </row>
    <row r="136" spans="1:7" ht="11.25" customHeight="1">
      <c r="A136" t="s">
        <v>14</v>
      </c>
      <c r="B136" t="s">
        <v>3435</v>
      </c>
      <c r="C136" t="s">
        <v>3436</v>
      </c>
      <c r="D136" t="s">
        <v>3440</v>
      </c>
      <c r="E136" t="s">
        <v>3441</v>
      </c>
      <c r="F136" t="s">
        <v>3107</v>
      </c>
      <c r="G136" t="s">
        <v>3442</v>
      </c>
    </row>
    <row r="137" spans="1:7" ht="11.25" customHeight="1">
      <c r="A137" t="s">
        <v>14</v>
      </c>
      <c r="B137" t="s">
        <v>3435</v>
      </c>
      <c r="C137" t="s">
        <v>3436</v>
      </c>
      <c r="D137" t="s">
        <v>3443</v>
      </c>
      <c r="E137" t="s">
        <v>3444</v>
      </c>
      <c r="F137" t="s">
        <v>3209</v>
      </c>
      <c r="G137" t="s">
        <v>3445</v>
      </c>
    </row>
    <row r="138" spans="1:7" ht="11.25" customHeight="1">
      <c r="A138" t="s">
        <v>14</v>
      </c>
      <c r="B138" t="s">
        <v>3435</v>
      </c>
      <c r="C138" t="s">
        <v>3436</v>
      </c>
      <c r="D138" t="s">
        <v>3446</v>
      </c>
      <c r="E138" t="s">
        <v>3447</v>
      </c>
      <c r="F138" t="s">
        <v>3107</v>
      </c>
      <c r="G138" t="s">
        <v>3448</v>
      </c>
    </row>
    <row r="139" spans="1:7" ht="11.25" customHeight="1">
      <c r="A139" t="s">
        <v>14</v>
      </c>
      <c r="B139" t="s">
        <v>3435</v>
      </c>
      <c r="C139" t="s">
        <v>3436</v>
      </c>
      <c r="D139" t="s">
        <v>3449</v>
      </c>
      <c r="E139" t="s">
        <v>3450</v>
      </c>
      <c r="F139" t="s">
        <v>3107</v>
      </c>
      <c r="G139" t="s">
        <v>3451</v>
      </c>
    </row>
    <row r="140" spans="1:7" ht="11.25" customHeight="1">
      <c r="A140" t="s">
        <v>14</v>
      </c>
      <c r="B140" t="s">
        <v>3435</v>
      </c>
      <c r="C140" t="s">
        <v>3436</v>
      </c>
      <c r="D140" t="s">
        <v>3435</v>
      </c>
      <c r="E140" t="s">
        <v>3436</v>
      </c>
      <c r="F140" t="s">
        <v>3104</v>
      </c>
      <c r="G140" t="s">
        <v>3452</v>
      </c>
    </row>
    <row r="141" spans="1:7" ht="11.25" customHeight="1">
      <c r="A141" t="s">
        <v>14</v>
      </c>
      <c r="B141" t="s">
        <v>3435</v>
      </c>
      <c r="C141" t="s">
        <v>3436</v>
      </c>
      <c r="D141" t="s">
        <v>3453</v>
      </c>
      <c r="E141" t="s">
        <v>3454</v>
      </c>
      <c r="F141" t="s">
        <v>3107</v>
      </c>
      <c r="G141" t="s">
        <v>3455</v>
      </c>
    </row>
    <row r="142" spans="1:7" ht="11.25" customHeight="1">
      <c r="A142" t="s">
        <v>14</v>
      </c>
      <c r="B142" t="s">
        <v>3435</v>
      </c>
      <c r="C142" t="s">
        <v>3436</v>
      </c>
      <c r="D142" t="s">
        <v>3456</v>
      </c>
      <c r="E142" t="s">
        <v>3457</v>
      </c>
      <c r="F142" t="s">
        <v>3107</v>
      </c>
      <c r="G142" t="s">
        <v>3458</v>
      </c>
    </row>
    <row r="143" spans="1:7" ht="11.25" customHeight="1">
      <c r="A143" t="s">
        <v>14</v>
      </c>
      <c r="B143" t="s">
        <v>3435</v>
      </c>
      <c r="C143" t="s">
        <v>3436</v>
      </c>
      <c r="D143" t="s">
        <v>3459</v>
      </c>
      <c r="E143" t="s">
        <v>3460</v>
      </c>
      <c r="F143" t="s">
        <v>3107</v>
      </c>
      <c r="G143" t="s">
        <v>3461</v>
      </c>
    </row>
    <row r="144" spans="1:7" ht="11.25" customHeight="1">
      <c r="A144" t="s">
        <v>14</v>
      </c>
      <c r="B144" t="s">
        <v>3435</v>
      </c>
      <c r="C144" t="s">
        <v>3436</v>
      </c>
      <c r="D144" t="s">
        <v>3462</v>
      </c>
      <c r="E144" t="s">
        <v>3463</v>
      </c>
      <c r="F144" t="s">
        <v>3107</v>
      </c>
      <c r="G144" t="s">
        <v>3464</v>
      </c>
    </row>
    <row r="145" spans="1:7" ht="11.25" customHeight="1">
      <c r="A145" t="s">
        <v>14</v>
      </c>
      <c r="B145" t="s">
        <v>3435</v>
      </c>
      <c r="C145" t="s">
        <v>3436</v>
      </c>
      <c r="D145" t="s">
        <v>3465</v>
      </c>
      <c r="E145" t="s">
        <v>3466</v>
      </c>
      <c r="F145" t="s">
        <v>3107</v>
      </c>
      <c r="G145" t="s">
        <v>3467</v>
      </c>
    </row>
    <row r="146" spans="1:7" ht="11.25" customHeight="1">
      <c r="A146" t="s">
        <v>14</v>
      </c>
      <c r="B146" t="s">
        <v>3435</v>
      </c>
      <c r="C146" t="s">
        <v>3436</v>
      </c>
      <c r="D146" t="s">
        <v>3468</v>
      </c>
      <c r="E146" t="s">
        <v>3469</v>
      </c>
      <c r="F146" t="s">
        <v>3107</v>
      </c>
      <c r="G146" t="s">
        <v>3470</v>
      </c>
    </row>
    <row r="147" spans="1:7" ht="11.25" customHeight="1">
      <c r="A147" t="s">
        <v>14</v>
      </c>
      <c r="B147" t="s">
        <v>3435</v>
      </c>
      <c r="C147" t="s">
        <v>3436</v>
      </c>
      <c r="D147" t="s">
        <v>3471</v>
      </c>
      <c r="E147" t="s">
        <v>3472</v>
      </c>
      <c r="F147" t="s">
        <v>3107</v>
      </c>
      <c r="G147" t="s">
        <v>3473</v>
      </c>
    </row>
    <row r="148" spans="1:7" ht="11.25" customHeight="1">
      <c r="A148" t="s">
        <v>14</v>
      </c>
      <c r="B148" t="s">
        <v>3435</v>
      </c>
      <c r="C148" t="s">
        <v>3436</v>
      </c>
      <c r="D148" t="s">
        <v>3474</v>
      </c>
      <c r="E148" t="s">
        <v>3475</v>
      </c>
      <c r="F148" t="s">
        <v>3107</v>
      </c>
      <c r="G148" t="s">
        <v>3476</v>
      </c>
    </row>
    <row r="149" spans="1:7" ht="11.25" customHeight="1">
      <c r="A149" t="s">
        <v>14</v>
      </c>
      <c r="B149" t="s">
        <v>3435</v>
      </c>
      <c r="C149" t="s">
        <v>3436</v>
      </c>
      <c r="D149" t="s">
        <v>3477</v>
      </c>
      <c r="E149" t="s">
        <v>3478</v>
      </c>
      <c r="F149" t="s">
        <v>3107</v>
      </c>
      <c r="G149" t="s">
        <v>3479</v>
      </c>
    </row>
    <row r="150" spans="1:7" ht="11.25" customHeight="1">
      <c r="A150" t="s">
        <v>14</v>
      </c>
      <c r="B150" t="s">
        <v>3435</v>
      </c>
      <c r="C150" t="s">
        <v>3436</v>
      </c>
      <c r="D150" t="s">
        <v>3480</v>
      </c>
      <c r="E150" t="s">
        <v>3481</v>
      </c>
      <c r="F150" t="s">
        <v>3107</v>
      </c>
      <c r="G150" t="s">
        <v>3482</v>
      </c>
    </row>
    <row r="151" spans="1:7" ht="11.25" customHeight="1">
      <c r="A151" t="s">
        <v>14</v>
      </c>
      <c r="B151" t="s">
        <v>3435</v>
      </c>
      <c r="C151" t="s">
        <v>3436</v>
      </c>
      <c r="D151" t="s">
        <v>3483</v>
      </c>
      <c r="E151" t="s">
        <v>3484</v>
      </c>
      <c r="F151" t="s">
        <v>3107</v>
      </c>
      <c r="G151" t="s">
        <v>3485</v>
      </c>
    </row>
    <row r="152" spans="1:7" ht="11.25" customHeight="1">
      <c r="A152" t="s">
        <v>14</v>
      </c>
      <c r="B152" t="s">
        <v>3486</v>
      </c>
      <c r="C152" t="s">
        <v>3487</v>
      </c>
      <c r="D152" t="s">
        <v>3486</v>
      </c>
      <c r="E152" t="s">
        <v>3487</v>
      </c>
      <c r="F152" t="s">
        <v>3196</v>
      </c>
      <c r="G152" t="s">
        <v>3488</v>
      </c>
    </row>
    <row r="153" spans="1:7" ht="11.25" customHeight="1">
      <c r="A153" t="s">
        <v>14</v>
      </c>
      <c r="B153" t="s">
        <v>3489</v>
      </c>
      <c r="C153" t="s">
        <v>3490</v>
      </c>
      <c r="D153" t="s">
        <v>3489</v>
      </c>
      <c r="E153" t="s">
        <v>3490</v>
      </c>
      <c r="F153" t="s">
        <v>3101</v>
      </c>
      <c r="G153" t="s">
        <v>3491</v>
      </c>
    </row>
    <row r="154" spans="1:7" ht="11.25" customHeight="1">
      <c r="A154" t="s">
        <v>14</v>
      </c>
      <c r="B154" t="s">
        <v>3492</v>
      </c>
      <c r="C154" t="s">
        <v>3493</v>
      </c>
      <c r="D154" t="s">
        <v>3494</v>
      </c>
      <c r="E154" t="s">
        <v>3495</v>
      </c>
      <c r="F154" t="s">
        <v>3107</v>
      </c>
      <c r="G154" t="s">
        <v>3496</v>
      </c>
    </row>
    <row r="155" spans="1:7" ht="11.25" customHeight="1">
      <c r="A155" t="s">
        <v>14</v>
      </c>
      <c r="B155" t="s">
        <v>3492</v>
      </c>
      <c r="C155" t="s">
        <v>3493</v>
      </c>
      <c r="D155" t="s">
        <v>3497</v>
      </c>
      <c r="E155" t="s">
        <v>3498</v>
      </c>
      <c r="F155" t="s">
        <v>3209</v>
      </c>
      <c r="G155" t="s">
        <v>3499</v>
      </c>
    </row>
    <row r="156" spans="1:7" ht="11.25" customHeight="1">
      <c r="A156" t="s">
        <v>14</v>
      </c>
      <c r="B156" t="s">
        <v>3492</v>
      </c>
      <c r="C156" t="s">
        <v>3493</v>
      </c>
      <c r="D156" t="s">
        <v>3500</v>
      </c>
      <c r="E156" t="s">
        <v>3501</v>
      </c>
      <c r="F156" t="s">
        <v>3107</v>
      </c>
      <c r="G156" t="s">
        <v>3502</v>
      </c>
    </row>
    <row r="157" spans="1:7" ht="11.25" customHeight="1">
      <c r="A157" t="s">
        <v>14</v>
      </c>
      <c r="B157" t="s">
        <v>3492</v>
      </c>
      <c r="C157" t="s">
        <v>3493</v>
      </c>
      <c r="D157" t="s">
        <v>3492</v>
      </c>
      <c r="E157" t="s">
        <v>3493</v>
      </c>
      <c r="F157" t="s">
        <v>3104</v>
      </c>
      <c r="G157" t="s">
        <v>3503</v>
      </c>
    </row>
    <row r="158" spans="1:7" ht="11.25" customHeight="1">
      <c r="A158" t="s">
        <v>14</v>
      </c>
      <c r="B158" t="s">
        <v>3492</v>
      </c>
      <c r="C158" t="s">
        <v>3493</v>
      </c>
      <c r="D158" t="s">
        <v>3504</v>
      </c>
      <c r="E158" t="s">
        <v>3505</v>
      </c>
      <c r="F158" t="s">
        <v>3107</v>
      </c>
      <c r="G158" t="s">
        <v>3506</v>
      </c>
    </row>
    <row r="159" spans="1:7" ht="11.25" customHeight="1">
      <c r="A159" t="s">
        <v>14</v>
      </c>
      <c r="B159" t="s">
        <v>3492</v>
      </c>
      <c r="C159" t="s">
        <v>3493</v>
      </c>
      <c r="D159" t="s">
        <v>3507</v>
      </c>
      <c r="E159" t="s">
        <v>3508</v>
      </c>
      <c r="F159" t="s">
        <v>3107</v>
      </c>
      <c r="G159" t="s">
        <v>3509</v>
      </c>
    </row>
    <row r="160" spans="1:7" ht="11.25" customHeight="1">
      <c r="A160" t="s">
        <v>14</v>
      </c>
      <c r="B160" t="s">
        <v>3492</v>
      </c>
      <c r="C160" t="s">
        <v>3493</v>
      </c>
      <c r="D160" t="s">
        <v>3249</v>
      </c>
      <c r="E160" t="s">
        <v>3510</v>
      </c>
      <c r="F160" t="s">
        <v>3107</v>
      </c>
      <c r="G160" t="s">
        <v>3511</v>
      </c>
    </row>
    <row r="161" spans="1:7" ht="11.25" customHeight="1">
      <c r="A161" t="s">
        <v>14</v>
      </c>
      <c r="B161" t="s">
        <v>3492</v>
      </c>
      <c r="C161" t="s">
        <v>3493</v>
      </c>
      <c r="D161" t="s">
        <v>3512</v>
      </c>
      <c r="E161" t="s">
        <v>3513</v>
      </c>
      <c r="F161" t="s">
        <v>3107</v>
      </c>
      <c r="G161" t="s">
        <v>3514</v>
      </c>
    </row>
    <row r="162" spans="1:7" ht="11.25" customHeight="1">
      <c r="A162" t="s">
        <v>14</v>
      </c>
      <c r="B162" t="s">
        <v>3492</v>
      </c>
      <c r="C162" t="s">
        <v>3493</v>
      </c>
      <c r="D162" t="s">
        <v>3515</v>
      </c>
      <c r="E162" t="s">
        <v>3516</v>
      </c>
      <c r="F162" t="s">
        <v>3107</v>
      </c>
      <c r="G162" t="s">
        <v>3517</v>
      </c>
    </row>
    <row r="163" spans="1:7" ht="11.25" customHeight="1">
      <c r="A163" t="s">
        <v>14</v>
      </c>
      <c r="B163" t="s">
        <v>3492</v>
      </c>
      <c r="C163" t="s">
        <v>3493</v>
      </c>
      <c r="D163" t="s">
        <v>3518</v>
      </c>
      <c r="E163" t="s">
        <v>3519</v>
      </c>
      <c r="F163" t="s">
        <v>3107</v>
      </c>
      <c r="G163" t="s">
        <v>3520</v>
      </c>
    </row>
    <row r="164" spans="1:7" ht="11.25" customHeight="1">
      <c r="A164" t="s">
        <v>14</v>
      </c>
      <c r="B164" t="s">
        <v>3492</v>
      </c>
      <c r="C164" t="s">
        <v>3493</v>
      </c>
      <c r="D164" t="s">
        <v>3521</v>
      </c>
      <c r="E164" t="s">
        <v>3522</v>
      </c>
      <c r="F164" t="s">
        <v>3107</v>
      </c>
      <c r="G164" t="s">
        <v>3523</v>
      </c>
    </row>
    <row r="165" spans="1:7" ht="11.25" customHeight="1">
      <c r="A165" t="s">
        <v>14</v>
      </c>
      <c r="B165" t="s">
        <v>3524</v>
      </c>
      <c r="C165" t="s">
        <v>3525</v>
      </c>
      <c r="D165" t="s">
        <v>3524</v>
      </c>
      <c r="E165" t="s">
        <v>3525</v>
      </c>
      <c r="F165" t="s">
        <v>3101</v>
      </c>
      <c r="G165" t="s">
        <v>3526</v>
      </c>
    </row>
    <row r="166" spans="1:7" ht="11.25" customHeight="1">
      <c r="A166" t="s">
        <v>14</v>
      </c>
      <c r="B166" t="s">
        <v>3527</v>
      </c>
      <c r="C166" t="s">
        <v>3528</v>
      </c>
      <c r="D166" t="s">
        <v>3529</v>
      </c>
      <c r="E166" t="s">
        <v>3530</v>
      </c>
      <c r="F166" t="s">
        <v>3107</v>
      </c>
      <c r="G166" t="s">
        <v>3531</v>
      </c>
    </row>
    <row r="167" spans="1:7" ht="11.25" customHeight="1">
      <c r="A167" t="s">
        <v>14</v>
      </c>
      <c r="B167" t="s">
        <v>3527</v>
      </c>
      <c r="C167" t="s">
        <v>3528</v>
      </c>
      <c r="D167" t="s">
        <v>3532</v>
      </c>
      <c r="E167" t="s">
        <v>3533</v>
      </c>
      <c r="F167" t="s">
        <v>3107</v>
      </c>
      <c r="G167" t="s">
        <v>3534</v>
      </c>
    </row>
    <row r="168" spans="1:7" ht="11.25" customHeight="1">
      <c r="A168" t="s">
        <v>14</v>
      </c>
      <c r="B168" t="s">
        <v>3527</v>
      </c>
      <c r="C168" t="s">
        <v>3528</v>
      </c>
      <c r="D168" t="s">
        <v>3535</v>
      </c>
      <c r="E168" t="s">
        <v>3536</v>
      </c>
      <c r="F168" t="s">
        <v>3107</v>
      </c>
      <c r="G168" t="s">
        <v>3537</v>
      </c>
    </row>
    <row r="169" spans="1:7" ht="11.25" customHeight="1">
      <c r="A169" t="s">
        <v>14</v>
      </c>
      <c r="B169" t="s">
        <v>3527</v>
      </c>
      <c r="C169" t="s">
        <v>3528</v>
      </c>
      <c r="D169" t="s">
        <v>3538</v>
      </c>
      <c r="E169" t="s">
        <v>3539</v>
      </c>
      <c r="F169" t="s">
        <v>3107</v>
      </c>
      <c r="G169" t="s">
        <v>3540</v>
      </c>
    </row>
    <row r="170" spans="1:7" ht="11.25" customHeight="1">
      <c r="A170" t="s">
        <v>14</v>
      </c>
      <c r="B170" t="s">
        <v>3527</v>
      </c>
      <c r="C170" t="s">
        <v>3528</v>
      </c>
      <c r="D170" t="s">
        <v>3541</v>
      </c>
      <c r="E170" t="s">
        <v>3542</v>
      </c>
      <c r="F170" t="s">
        <v>3107</v>
      </c>
      <c r="G170" t="s">
        <v>3543</v>
      </c>
    </row>
    <row r="171" spans="1:7" ht="11.25" customHeight="1">
      <c r="A171" t="s">
        <v>14</v>
      </c>
      <c r="B171" t="s">
        <v>3527</v>
      </c>
      <c r="C171" t="s">
        <v>3528</v>
      </c>
      <c r="D171" t="s">
        <v>3544</v>
      </c>
      <c r="E171" t="s">
        <v>3545</v>
      </c>
      <c r="F171" t="s">
        <v>3107</v>
      </c>
      <c r="G171" t="s">
        <v>3546</v>
      </c>
    </row>
    <row r="172" spans="1:7" ht="11.25" customHeight="1">
      <c r="A172" t="s">
        <v>14</v>
      </c>
      <c r="B172" t="s">
        <v>3527</v>
      </c>
      <c r="C172" t="s">
        <v>3528</v>
      </c>
      <c r="D172" t="s">
        <v>3547</v>
      </c>
      <c r="E172" t="s">
        <v>3548</v>
      </c>
      <c r="F172" t="s">
        <v>3107</v>
      </c>
      <c r="G172" t="s">
        <v>3549</v>
      </c>
    </row>
    <row r="173" spans="1:7" ht="11.25" customHeight="1">
      <c r="A173" t="s">
        <v>14</v>
      </c>
      <c r="B173" t="s">
        <v>3527</v>
      </c>
      <c r="C173" t="s">
        <v>3528</v>
      </c>
      <c r="D173" t="s">
        <v>3550</v>
      </c>
      <c r="E173" t="s">
        <v>3551</v>
      </c>
      <c r="F173" t="s">
        <v>3107</v>
      </c>
      <c r="G173" t="s">
        <v>3552</v>
      </c>
    </row>
    <row r="174" spans="1:7" ht="11.25" customHeight="1">
      <c r="A174" t="s">
        <v>14</v>
      </c>
      <c r="B174" t="s">
        <v>3527</v>
      </c>
      <c r="C174" t="s">
        <v>3528</v>
      </c>
      <c r="D174" t="s">
        <v>3527</v>
      </c>
      <c r="E174" t="s">
        <v>3528</v>
      </c>
      <c r="F174" t="s">
        <v>3104</v>
      </c>
      <c r="G174" t="s">
        <v>3553</v>
      </c>
    </row>
    <row r="175" spans="1:7" ht="11.25" customHeight="1">
      <c r="A175" t="s">
        <v>14</v>
      </c>
      <c r="B175" t="s">
        <v>3527</v>
      </c>
      <c r="C175" t="s">
        <v>3528</v>
      </c>
      <c r="D175" t="s">
        <v>3554</v>
      </c>
      <c r="E175" t="s">
        <v>3555</v>
      </c>
      <c r="F175" t="s">
        <v>3107</v>
      </c>
      <c r="G175" t="s">
        <v>3556</v>
      </c>
    </row>
    <row r="176" spans="1:7" ht="11.25" customHeight="1">
      <c r="A176" t="s">
        <v>14</v>
      </c>
      <c r="B176" t="s">
        <v>3527</v>
      </c>
      <c r="C176" t="s">
        <v>3528</v>
      </c>
      <c r="D176" t="s">
        <v>3557</v>
      </c>
      <c r="E176" t="s">
        <v>3558</v>
      </c>
      <c r="F176" t="s">
        <v>3107</v>
      </c>
      <c r="G176" t="s">
        <v>3559</v>
      </c>
    </row>
    <row r="177" spans="1:7" ht="11.25" customHeight="1">
      <c r="A177" t="s">
        <v>14</v>
      </c>
      <c r="B177" t="s">
        <v>3527</v>
      </c>
      <c r="C177" t="s">
        <v>3528</v>
      </c>
      <c r="D177" t="s">
        <v>3560</v>
      </c>
      <c r="E177" t="s">
        <v>3561</v>
      </c>
      <c r="F177" t="s">
        <v>3107</v>
      </c>
      <c r="G177" t="s">
        <v>3562</v>
      </c>
    </row>
    <row r="178" spans="1:7" ht="11.25" customHeight="1">
      <c r="A178" t="s">
        <v>14</v>
      </c>
      <c r="B178" t="s">
        <v>3527</v>
      </c>
      <c r="C178" t="s">
        <v>3528</v>
      </c>
      <c r="D178" t="s">
        <v>3563</v>
      </c>
      <c r="E178" t="s">
        <v>3564</v>
      </c>
      <c r="F178" t="s">
        <v>3107</v>
      </c>
      <c r="G178" t="s">
        <v>3565</v>
      </c>
    </row>
    <row r="179" spans="1:7" ht="11.25" customHeight="1">
      <c r="A179" t="s">
        <v>14</v>
      </c>
      <c r="B179" t="s">
        <v>3527</v>
      </c>
      <c r="C179" t="s">
        <v>3528</v>
      </c>
      <c r="D179" t="s">
        <v>3566</v>
      </c>
      <c r="E179" t="s">
        <v>3567</v>
      </c>
      <c r="F179" t="s">
        <v>3107</v>
      </c>
      <c r="G179" t="s">
        <v>3568</v>
      </c>
    </row>
    <row r="180" spans="1:7" ht="11.25" customHeight="1">
      <c r="A180" t="s">
        <v>14</v>
      </c>
      <c r="B180" t="s">
        <v>3527</v>
      </c>
      <c r="C180" t="s">
        <v>3528</v>
      </c>
      <c r="D180" t="s">
        <v>3569</v>
      </c>
      <c r="E180" t="s">
        <v>3570</v>
      </c>
      <c r="F180" t="s">
        <v>3107</v>
      </c>
      <c r="G180" t="s">
        <v>3571</v>
      </c>
    </row>
    <row r="181" spans="1:7" ht="11.25" customHeight="1">
      <c r="A181" t="s">
        <v>14</v>
      </c>
      <c r="B181" t="s">
        <v>3527</v>
      </c>
      <c r="C181" t="s">
        <v>3528</v>
      </c>
      <c r="D181" t="s">
        <v>3572</v>
      </c>
      <c r="E181" t="s">
        <v>3573</v>
      </c>
      <c r="F181" t="s">
        <v>3107</v>
      </c>
      <c r="G181" t="s">
        <v>3574</v>
      </c>
    </row>
    <row r="182" spans="1:7" ht="11.25" customHeight="1">
      <c r="A182" t="s">
        <v>14</v>
      </c>
      <c r="B182" t="s">
        <v>3575</v>
      </c>
      <c r="C182" t="s">
        <v>3576</v>
      </c>
      <c r="D182" t="s">
        <v>3575</v>
      </c>
      <c r="E182" t="s">
        <v>3576</v>
      </c>
      <c r="F182" t="s">
        <v>3101</v>
      </c>
      <c r="G182" t="s">
        <v>3577</v>
      </c>
    </row>
    <row r="183" spans="1:7" ht="11.25" customHeight="1">
      <c r="A183" t="s">
        <v>14</v>
      </c>
      <c r="B183" t="s">
        <v>3578</v>
      </c>
      <c r="C183" t="s">
        <v>3579</v>
      </c>
      <c r="D183" t="s">
        <v>3580</v>
      </c>
      <c r="E183" t="s">
        <v>3581</v>
      </c>
      <c r="F183" t="s">
        <v>3107</v>
      </c>
      <c r="G183" t="s">
        <v>3582</v>
      </c>
    </row>
    <row r="184" spans="1:7" ht="11.25" customHeight="1">
      <c r="A184" t="s">
        <v>14</v>
      </c>
      <c r="B184" t="s">
        <v>3578</v>
      </c>
      <c r="C184" t="s">
        <v>3579</v>
      </c>
      <c r="D184" t="s">
        <v>3578</v>
      </c>
      <c r="E184" t="s">
        <v>3579</v>
      </c>
      <c r="F184" t="s">
        <v>3104</v>
      </c>
      <c r="G184" t="s">
        <v>3583</v>
      </c>
    </row>
    <row r="185" spans="1:7" ht="11.25" customHeight="1">
      <c r="A185" t="s">
        <v>14</v>
      </c>
      <c r="B185" t="s">
        <v>3578</v>
      </c>
      <c r="C185" t="s">
        <v>3579</v>
      </c>
      <c r="D185" t="s">
        <v>3584</v>
      </c>
      <c r="E185" t="s">
        <v>3585</v>
      </c>
      <c r="F185" t="s">
        <v>3107</v>
      </c>
      <c r="G185" t="s">
        <v>3586</v>
      </c>
    </row>
    <row r="186" spans="1:7" ht="11.25" customHeight="1">
      <c r="A186" t="s">
        <v>14</v>
      </c>
      <c r="B186" t="s">
        <v>3578</v>
      </c>
      <c r="C186" t="s">
        <v>3579</v>
      </c>
      <c r="D186" t="s">
        <v>3587</v>
      </c>
      <c r="E186" t="s">
        <v>3588</v>
      </c>
      <c r="F186" t="s">
        <v>3107</v>
      </c>
      <c r="G186" t="s">
        <v>3589</v>
      </c>
    </row>
    <row r="187" spans="1:7" ht="11.25" customHeight="1">
      <c r="A187" t="s">
        <v>14</v>
      </c>
      <c r="B187" t="s">
        <v>3578</v>
      </c>
      <c r="C187" t="s">
        <v>3579</v>
      </c>
      <c r="D187" t="s">
        <v>3590</v>
      </c>
      <c r="E187" t="s">
        <v>3591</v>
      </c>
      <c r="F187" t="s">
        <v>3107</v>
      </c>
      <c r="G187" t="s">
        <v>3592</v>
      </c>
    </row>
    <row r="188" spans="1:7" ht="11.25" customHeight="1">
      <c r="A188" t="s">
        <v>14</v>
      </c>
      <c r="B188" t="s">
        <v>3578</v>
      </c>
      <c r="C188" t="s">
        <v>3579</v>
      </c>
      <c r="D188" t="s">
        <v>3593</v>
      </c>
      <c r="E188" t="s">
        <v>3594</v>
      </c>
      <c r="F188" t="s">
        <v>3107</v>
      </c>
      <c r="G188" t="s">
        <v>3595</v>
      </c>
    </row>
    <row r="189" spans="1:7" ht="11.25" customHeight="1">
      <c r="A189" t="s">
        <v>14</v>
      </c>
      <c r="B189" t="s">
        <v>3578</v>
      </c>
      <c r="C189" t="s">
        <v>3579</v>
      </c>
      <c r="D189" t="s">
        <v>3596</v>
      </c>
      <c r="E189" t="s">
        <v>3597</v>
      </c>
      <c r="F189" t="s">
        <v>3107</v>
      </c>
      <c r="G189" t="s">
        <v>3598</v>
      </c>
    </row>
    <row r="190" spans="1:7" ht="11.25" customHeight="1">
      <c r="A190" t="s">
        <v>14</v>
      </c>
      <c r="B190" t="s">
        <v>3578</v>
      </c>
      <c r="C190" t="s">
        <v>3579</v>
      </c>
      <c r="D190" t="s">
        <v>3599</v>
      </c>
      <c r="E190" t="s">
        <v>3600</v>
      </c>
      <c r="F190" t="s">
        <v>3107</v>
      </c>
      <c r="G190" t="s">
        <v>3601</v>
      </c>
    </row>
    <row r="191" spans="1:7" ht="11.25" customHeight="1">
      <c r="A191" t="s">
        <v>14</v>
      </c>
      <c r="B191" t="s">
        <v>3578</v>
      </c>
      <c r="C191" t="s">
        <v>3579</v>
      </c>
      <c r="D191" t="s">
        <v>3602</v>
      </c>
      <c r="E191" t="s">
        <v>3603</v>
      </c>
      <c r="F191" t="s">
        <v>3107</v>
      </c>
      <c r="G191" t="s">
        <v>3604</v>
      </c>
    </row>
    <row r="192" spans="1:7" ht="11.25" customHeight="1">
      <c r="A192" t="s">
        <v>14</v>
      </c>
      <c r="B192" t="s">
        <v>3578</v>
      </c>
      <c r="C192" t="s">
        <v>3579</v>
      </c>
      <c r="D192" t="s">
        <v>3605</v>
      </c>
      <c r="E192" t="s">
        <v>3606</v>
      </c>
      <c r="F192" t="s">
        <v>3107</v>
      </c>
      <c r="G192" t="s">
        <v>3607</v>
      </c>
    </row>
    <row r="193" spans="1:7" ht="11.25" customHeight="1">
      <c r="A193" t="s">
        <v>14</v>
      </c>
      <c r="B193" t="s">
        <v>3578</v>
      </c>
      <c r="C193" t="s">
        <v>3579</v>
      </c>
      <c r="D193" t="s">
        <v>3608</v>
      </c>
      <c r="E193" t="s">
        <v>3609</v>
      </c>
      <c r="F193" t="s">
        <v>3107</v>
      </c>
      <c r="G193" t="s">
        <v>3610</v>
      </c>
    </row>
    <row r="194" spans="1:7" ht="11.25" customHeight="1">
      <c r="A194" t="s">
        <v>14</v>
      </c>
      <c r="B194" t="s">
        <v>3578</v>
      </c>
      <c r="C194" t="s">
        <v>3579</v>
      </c>
      <c r="D194" t="s">
        <v>3611</v>
      </c>
      <c r="E194" t="s">
        <v>3612</v>
      </c>
      <c r="F194" t="s">
        <v>3107</v>
      </c>
      <c r="G194" t="s">
        <v>3613</v>
      </c>
    </row>
    <row r="195" spans="1:7" ht="11.25" customHeight="1">
      <c r="A195" t="s">
        <v>14</v>
      </c>
      <c r="B195" t="s">
        <v>110</v>
      </c>
      <c r="C195" t="s">
        <v>111</v>
      </c>
      <c r="D195" t="s">
        <v>110</v>
      </c>
      <c r="E195" t="s">
        <v>111</v>
      </c>
      <c r="F195" t="s">
        <v>3101</v>
      </c>
      <c r="G195" t="s">
        <v>109</v>
      </c>
    </row>
    <row r="196" spans="1:7" ht="11.25" customHeight="1">
      <c r="A196" t="s">
        <v>14</v>
      </c>
      <c r="B196" t="s">
        <v>3614</v>
      </c>
      <c r="C196" t="s">
        <v>3615</v>
      </c>
      <c r="D196" t="s">
        <v>3616</v>
      </c>
      <c r="E196" t="s">
        <v>3617</v>
      </c>
      <c r="F196" t="s">
        <v>3107</v>
      </c>
      <c r="G196" t="s">
        <v>3618</v>
      </c>
    </row>
    <row r="197" spans="1:7" ht="11.25" customHeight="1">
      <c r="A197" t="s">
        <v>14</v>
      </c>
      <c r="B197" t="s">
        <v>3614</v>
      </c>
      <c r="C197" t="s">
        <v>3615</v>
      </c>
      <c r="D197" t="s">
        <v>3619</v>
      </c>
      <c r="E197" t="s">
        <v>3620</v>
      </c>
      <c r="F197" t="s">
        <v>3107</v>
      </c>
      <c r="G197" t="s">
        <v>3621</v>
      </c>
    </row>
    <row r="198" spans="1:7" ht="11.25" customHeight="1">
      <c r="A198" t="s">
        <v>14</v>
      </c>
      <c r="B198" t="s">
        <v>3614</v>
      </c>
      <c r="C198" t="s">
        <v>3615</v>
      </c>
      <c r="D198" t="s">
        <v>3622</v>
      </c>
      <c r="E198" t="s">
        <v>3623</v>
      </c>
      <c r="F198" t="s">
        <v>3107</v>
      </c>
      <c r="G198" t="s">
        <v>3624</v>
      </c>
    </row>
    <row r="199" spans="1:7" ht="11.25" customHeight="1">
      <c r="A199" t="s">
        <v>14</v>
      </c>
      <c r="B199" t="s">
        <v>3614</v>
      </c>
      <c r="C199" t="s">
        <v>3615</v>
      </c>
      <c r="D199" t="s">
        <v>3614</v>
      </c>
      <c r="E199" t="s">
        <v>3615</v>
      </c>
      <c r="F199" t="s">
        <v>3104</v>
      </c>
      <c r="G199" t="s">
        <v>3625</v>
      </c>
    </row>
    <row r="200" spans="1:7" ht="11.25" customHeight="1">
      <c r="A200" t="s">
        <v>14</v>
      </c>
      <c r="B200" t="s">
        <v>3614</v>
      </c>
      <c r="C200" t="s">
        <v>3615</v>
      </c>
      <c r="D200" t="s">
        <v>3626</v>
      </c>
      <c r="E200" t="s">
        <v>3627</v>
      </c>
      <c r="F200" t="s">
        <v>3107</v>
      </c>
      <c r="G200" t="s">
        <v>3628</v>
      </c>
    </row>
    <row r="201" spans="1:7" ht="11.25" customHeight="1">
      <c r="A201" t="s">
        <v>14</v>
      </c>
      <c r="B201" t="s">
        <v>3614</v>
      </c>
      <c r="C201" t="s">
        <v>3615</v>
      </c>
      <c r="D201" t="s">
        <v>3629</v>
      </c>
      <c r="E201" t="s">
        <v>3630</v>
      </c>
      <c r="F201" t="s">
        <v>3107</v>
      </c>
      <c r="G201" t="s">
        <v>3631</v>
      </c>
    </row>
    <row r="202" spans="1:7" ht="11.25" customHeight="1">
      <c r="A202" t="s">
        <v>14</v>
      </c>
      <c r="B202" t="s">
        <v>3614</v>
      </c>
      <c r="C202" t="s">
        <v>3615</v>
      </c>
      <c r="D202" t="s">
        <v>3632</v>
      </c>
      <c r="E202" t="s">
        <v>3633</v>
      </c>
      <c r="F202" t="s">
        <v>3107</v>
      </c>
      <c r="G202" t="s">
        <v>3634</v>
      </c>
    </row>
    <row r="203" spans="1:7" ht="11.25" customHeight="1">
      <c r="A203" t="s">
        <v>14</v>
      </c>
      <c r="B203" t="s">
        <v>3614</v>
      </c>
      <c r="C203" t="s">
        <v>3615</v>
      </c>
      <c r="D203" t="s">
        <v>3635</v>
      </c>
      <c r="E203" t="s">
        <v>3636</v>
      </c>
      <c r="F203" t="s">
        <v>3107</v>
      </c>
      <c r="G203" t="s">
        <v>3637</v>
      </c>
    </row>
    <row r="204" spans="1:7" ht="11.25" customHeight="1">
      <c r="A204" t="s">
        <v>14</v>
      </c>
      <c r="B204" t="s">
        <v>3614</v>
      </c>
      <c r="C204" t="s">
        <v>3615</v>
      </c>
      <c r="D204" t="s">
        <v>3638</v>
      </c>
      <c r="E204" t="s">
        <v>3639</v>
      </c>
      <c r="F204" t="s">
        <v>3107</v>
      </c>
      <c r="G204" t="s">
        <v>3640</v>
      </c>
    </row>
    <row r="205" spans="1:7" ht="11.25" customHeight="1">
      <c r="A205" t="s">
        <v>14</v>
      </c>
      <c r="B205" t="s">
        <v>3614</v>
      </c>
      <c r="C205" t="s">
        <v>3615</v>
      </c>
      <c r="D205" t="s">
        <v>3641</v>
      </c>
      <c r="E205" t="s">
        <v>3642</v>
      </c>
      <c r="F205" t="s">
        <v>3107</v>
      </c>
      <c r="G205" t="s">
        <v>3643</v>
      </c>
    </row>
    <row r="206" spans="1:7" ht="11.25" customHeight="1">
      <c r="A206" t="s">
        <v>14</v>
      </c>
      <c r="B206" t="s">
        <v>3614</v>
      </c>
      <c r="C206" t="s">
        <v>3615</v>
      </c>
      <c r="D206" t="s">
        <v>3644</v>
      </c>
      <c r="E206" t="s">
        <v>3645</v>
      </c>
      <c r="F206" t="s">
        <v>3107</v>
      </c>
      <c r="G206" t="s">
        <v>3646</v>
      </c>
    </row>
    <row r="207" spans="1:7" ht="11.25" customHeight="1">
      <c r="A207" t="s">
        <v>14</v>
      </c>
      <c r="B207" t="s">
        <v>3614</v>
      </c>
      <c r="C207" t="s">
        <v>3615</v>
      </c>
      <c r="D207" t="s">
        <v>3647</v>
      </c>
      <c r="E207" t="s">
        <v>3648</v>
      </c>
      <c r="F207" t="s">
        <v>3107</v>
      </c>
      <c r="G207" t="s">
        <v>3649</v>
      </c>
    </row>
    <row r="208" spans="1:7" ht="11.25" customHeight="1">
      <c r="A208" t="s">
        <v>14</v>
      </c>
      <c r="B208" t="s">
        <v>3614</v>
      </c>
      <c r="C208" t="s">
        <v>3615</v>
      </c>
      <c r="D208" t="s">
        <v>3650</v>
      </c>
      <c r="E208" t="s">
        <v>3651</v>
      </c>
      <c r="F208" t="s">
        <v>3107</v>
      </c>
      <c r="G208" t="s">
        <v>3652</v>
      </c>
    </row>
    <row r="209" spans="1:7" ht="11.25" customHeight="1">
      <c r="A209" t="s">
        <v>14</v>
      </c>
      <c r="B209" t="s">
        <v>3653</v>
      </c>
      <c r="C209" t="s">
        <v>3654</v>
      </c>
      <c r="D209" t="s">
        <v>3653</v>
      </c>
      <c r="E209" t="s">
        <v>3654</v>
      </c>
      <c r="F209" t="s">
        <v>3101</v>
      </c>
      <c r="G209" t="s">
        <v>3655</v>
      </c>
    </row>
    <row r="210" spans="1:7" ht="11.25" customHeight="1">
      <c r="A210" t="s">
        <v>14</v>
      </c>
      <c r="B210" t="s">
        <v>114</v>
      </c>
      <c r="C210" t="s">
        <v>3656</v>
      </c>
      <c r="D210" t="s">
        <v>3657</v>
      </c>
      <c r="E210" t="s">
        <v>3658</v>
      </c>
      <c r="F210" t="s">
        <v>3107</v>
      </c>
      <c r="G210" t="s">
        <v>3659</v>
      </c>
    </row>
    <row r="211" spans="1:7" ht="11.25" customHeight="1">
      <c r="A211" t="s">
        <v>14</v>
      </c>
      <c r="B211" t="s">
        <v>114</v>
      </c>
      <c r="C211" t="s">
        <v>3656</v>
      </c>
      <c r="D211" t="s">
        <v>3660</v>
      </c>
      <c r="E211" t="s">
        <v>3661</v>
      </c>
      <c r="F211" t="s">
        <v>3107</v>
      </c>
      <c r="G211" t="s">
        <v>3662</v>
      </c>
    </row>
    <row r="212" spans="1:7" ht="11.25" customHeight="1">
      <c r="A212" t="s">
        <v>14</v>
      </c>
      <c r="B212" t="s">
        <v>114</v>
      </c>
      <c r="C212" t="s">
        <v>3656</v>
      </c>
      <c r="D212" t="s">
        <v>3663</v>
      </c>
      <c r="E212" t="s">
        <v>3664</v>
      </c>
      <c r="F212" t="s">
        <v>3107</v>
      </c>
      <c r="G212" t="s">
        <v>3665</v>
      </c>
    </row>
    <row r="213" spans="1:7" ht="11.25" customHeight="1">
      <c r="A213" t="s">
        <v>14</v>
      </c>
      <c r="B213" t="s">
        <v>114</v>
      </c>
      <c r="C213" t="s">
        <v>3656</v>
      </c>
      <c r="D213" t="s">
        <v>3666</v>
      </c>
      <c r="E213" t="s">
        <v>3667</v>
      </c>
      <c r="F213" t="s">
        <v>3107</v>
      </c>
      <c r="G213" t="s">
        <v>3668</v>
      </c>
    </row>
    <row r="214" spans="1:7" ht="11.25" customHeight="1">
      <c r="A214" t="s">
        <v>14</v>
      </c>
      <c r="B214" t="s">
        <v>114</v>
      </c>
      <c r="C214" t="s">
        <v>3656</v>
      </c>
      <c r="D214" t="s">
        <v>114</v>
      </c>
      <c r="E214" t="s">
        <v>3656</v>
      </c>
      <c r="F214" t="s">
        <v>3104</v>
      </c>
      <c r="G214" t="s">
        <v>3669</v>
      </c>
    </row>
    <row r="215" spans="1:7" ht="11.25" customHeight="1">
      <c r="A215" t="s">
        <v>14</v>
      </c>
      <c r="B215" t="s">
        <v>114</v>
      </c>
      <c r="C215" t="s">
        <v>3656</v>
      </c>
      <c r="D215" t="s">
        <v>3670</v>
      </c>
      <c r="E215" t="s">
        <v>3671</v>
      </c>
      <c r="F215" t="s">
        <v>3107</v>
      </c>
      <c r="G215" t="s">
        <v>3672</v>
      </c>
    </row>
    <row r="216" spans="1:7" ht="11.25" customHeight="1">
      <c r="A216" t="s">
        <v>14</v>
      </c>
      <c r="B216" t="s">
        <v>114</v>
      </c>
      <c r="C216" t="s">
        <v>3656</v>
      </c>
      <c r="D216" t="s">
        <v>3673</v>
      </c>
      <c r="E216" t="s">
        <v>3674</v>
      </c>
      <c r="F216" t="s">
        <v>3107</v>
      </c>
      <c r="G216" t="s">
        <v>3675</v>
      </c>
    </row>
    <row r="217" spans="1:7" ht="11.25" customHeight="1">
      <c r="A217" t="s">
        <v>14</v>
      </c>
      <c r="B217" t="s">
        <v>114</v>
      </c>
      <c r="C217" t="s">
        <v>3656</v>
      </c>
      <c r="D217" t="s">
        <v>115</v>
      </c>
      <c r="E217" t="s">
        <v>116</v>
      </c>
      <c r="F217" t="s">
        <v>3107</v>
      </c>
      <c r="G217" t="s">
        <v>113</v>
      </c>
    </row>
    <row r="218" spans="1:7" ht="11.25" customHeight="1">
      <c r="A218" t="s">
        <v>14</v>
      </c>
      <c r="B218" t="s">
        <v>114</v>
      </c>
      <c r="C218" t="s">
        <v>3656</v>
      </c>
      <c r="D218" t="s">
        <v>3676</v>
      </c>
      <c r="E218" t="s">
        <v>3677</v>
      </c>
      <c r="F218" t="s">
        <v>3107</v>
      </c>
      <c r="G218" t="s">
        <v>3678</v>
      </c>
    </row>
    <row r="219" spans="1:7" ht="11.25" customHeight="1">
      <c r="A219" t="s">
        <v>14</v>
      </c>
      <c r="B219" t="s">
        <v>114</v>
      </c>
      <c r="C219" t="s">
        <v>3656</v>
      </c>
      <c r="D219" t="s">
        <v>3679</v>
      </c>
      <c r="E219" t="s">
        <v>3680</v>
      </c>
      <c r="F219" t="s">
        <v>3107</v>
      </c>
      <c r="G219" t="s">
        <v>3681</v>
      </c>
    </row>
    <row r="220" spans="1:7" ht="11.25" customHeight="1">
      <c r="A220" t="s">
        <v>14</v>
      </c>
      <c r="B220" t="s">
        <v>114</v>
      </c>
      <c r="C220" t="s">
        <v>3656</v>
      </c>
      <c r="D220" t="s">
        <v>3682</v>
      </c>
      <c r="E220" t="s">
        <v>3683</v>
      </c>
      <c r="F220" t="s">
        <v>3107</v>
      </c>
      <c r="G220" t="s">
        <v>3684</v>
      </c>
    </row>
    <row r="221" spans="1:7" ht="11.25" customHeight="1">
      <c r="A221" t="s">
        <v>14</v>
      </c>
      <c r="B221" t="s">
        <v>114</v>
      </c>
      <c r="C221" t="s">
        <v>3656</v>
      </c>
      <c r="D221" t="s">
        <v>3685</v>
      </c>
      <c r="E221" t="s">
        <v>3686</v>
      </c>
      <c r="F221" t="s">
        <v>3107</v>
      </c>
      <c r="G221" t="s">
        <v>3687</v>
      </c>
    </row>
    <row r="222" spans="1:7" ht="11.25" customHeight="1">
      <c r="A222" t="s">
        <v>14</v>
      </c>
      <c r="B222" t="s">
        <v>3688</v>
      </c>
      <c r="C222" t="s">
        <v>3689</v>
      </c>
      <c r="D222" t="s">
        <v>3688</v>
      </c>
      <c r="E222" t="s">
        <v>3689</v>
      </c>
      <c r="F222" t="s">
        <v>3196</v>
      </c>
      <c r="G222" t="s">
        <v>3690</v>
      </c>
    </row>
    <row r="223" spans="1:7" ht="11.25" customHeight="1">
      <c r="A223" t="s">
        <v>14</v>
      </c>
      <c r="B223" t="s">
        <v>3691</v>
      </c>
      <c r="C223" t="s">
        <v>3692</v>
      </c>
      <c r="D223" t="s">
        <v>3691</v>
      </c>
      <c r="E223" t="s">
        <v>3692</v>
      </c>
      <c r="F223" t="s">
        <v>3101</v>
      </c>
      <c r="G223" t="s">
        <v>3693</v>
      </c>
    </row>
    <row r="224" spans="1:7" ht="11.25" customHeight="1">
      <c r="A224" t="s">
        <v>14</v>
      </c>
      <c r="B224" t="s">
        <v>3694</v>
      </c>
      <c r="C224" t="s">
        <v>3695</v>
      </c>
      <c r="D224" t="s">
        <v>3696</v>
      </c>
      <c r="E224" t="s">
        <v>3697</v>
      </c>
      <c r="F224" t="s">
        <v>3209</v>
      </c>
      <c r="G224" t="s">
        <v>3698</v>
      </c>
    </row>
    <row r="225" spans="1:7" ht="11.25" customHeight="1">
      <c r="A225" t="s">
        <v>14</v>
      </c>
      <c r="B225" t="s">
        <v>3694</v>
      </c>
      <c r="C225" t="s">
        <v>3695</v>
      </c>
      <c r="D225" t="s">
        <v>3699</v>
      </c>
      <c r="E225" t="s">
        <v>3700</v>
      </c>
      <c r="F225" t="s">
        <v>3107</v>
      </c>
      <c r="G225" t="s">
        <v>3701</v>
      </c>
    </row>
    <row r="226" spans="1:7" ht="11.25" customHeight="1">
      <c r="A226" t="s">
        <v>14</v>
      </c>
      <c r="B226" t="s">
        <v>3694</v>
      </c>
      <c r="C226" t="s">
        <v>3695</v>
      </c>
      <c r="D226" t="s">
        <v>3702</v>
      </c>
      <c r="E226" t="s">
        <v>3703</v>
      </c>
      <c r="F226" t="s">
        <v>3107</v>
      </c>
      <c r="G226" t="s">
        <v>3704</v>
      </c>
    </row>
    <row r="227" spans="1:7" ht="11.25" customHeight="1">
      <c r="A227" t="s">
        <v>14</v>
      </c>
      <c r="B227" t="s">
        <v>3694</v>
      </c>
      <c r="C227" t="s">
        <v>3695</v>
      </c>
      <c r="D227" t="s">
        <v>3705</v>
      </c>
      <c r="E227" t="s">
        <v>3706</v>
      </c>
      <c r="F227" t="s">
        <v>3107</v>
      </c>
      <c r="G227" t="s">
        <v>3707</v>
      </c>
    </row>
    <row r="228" spans="1:7" ht="11.25" customHeight="1">
      <c r="A228" t="s">
        <v>14</v>
      </c>
      <c r="B228" t="s">
        <v>3694</v>
      </c>
      <c r="C228" t="s">
        <v>3695</v>
      </c>
      <c r="D228" t="s">
        <v>3708</v>
      </c>
      <c r="E228" t="s">
        <v>3709</v>
      </c>
      <c r="F228" t="s">
        <v>3107</v>
      </c>
      <c r="G228" t="s">
        <v>3710</v>
      </c>
    </row>
    <row r="229" spans="1:7" ht="11.25" customHeight="1">
      <c r="A229" t="s">
        <v>14</v>
      </c>
      <c r="B229" t="s">
        <v>3694</v>
      </c>
      <c r="C229" t="s">
        <v>3695</v>
      </c>
      <c r="D229" t="s">
        <v>3694</v>
      </c>
      <c r="E229" t="s">
        <v>3695</v>
      </c>
      <c r="F229" t="s">
        <v>3104</v>
      </c>
      <c r="G229" t="s">
        <v>3711</v>
      </c>
    </row>
    <row r="230" spans="1:7" ht="11.25" customHeight="1">
      <c r="A230" t="s">
        <v>14</v>
      </c>
      <c r="B230" t="s">
        <v>3694</v>
      </c>
      <c r="C230" t="s">
        <v>3695</v>
      </c>
      <c r="D230" t="s">
        <v>3712</v>
      </c>
      <c r="E230" t="s">
        <v>3713</v>
      </c>
      <c r="F230" t="s">
        <v>3107</v>
      </c>
      <c r="G230" t="s">
        <v>3714</v>
      </c>
    </row>
    <row r="231" spans="1:7" ht="11.25" customHeight="1">
      <c r="A231" t="s">
        <v>14</v>
      </c>
      <c r="B231" t="s">
        <v>3694</v>
      </c>
      <c r="C231" t="s">
        <v>3695</v>
      </c>
      <c r="D231" t="s">
        <v>3471</v>
      </c>
      <c r="E231" t="s">
        <v>3715</v>
      </c>
      <c r="F231" t="s">
        <v>3107</v>
      </c>
      <c r="G231" t="s">
        <v>3716</v>
      </c>
    </row>
    <row r="232" spans="1:7" ht="11.25" customHeight="1">
      <c r="A232" t="s">
        <v>14</v>
      </c>
      <c r="B232" t="s">
        <v>3694</v>
      </c>
      <c r="C232" t="s">
        <v>3695</v>
      </c>
      <c r="D232" t="s">
        <v>3717</v>
      </c>
      <c r="E232" t="s">
        <v>3718</v>
      </c>
      <c r="F232" t="s">
        <v>3107</v>
      </c>
      <c r="G232" t="s">
        <v>3719</v>
      </c>
    </row>
    <row r="233" spans="1:7" ht="11.25" customHeight="1">
      <c r="A233" t="s">
        <v>14</v>
      </c>
      <c r="B233" t="s">
        <v>3694</v>
      </c>
      <c r="C233" t="s">
        <v>3695</v>
      </c>
      <c r="D233" t="s">
        <v>3720</v>
      </c>
      <c r="E233" t="s">
        <v>3721</v>
      </c>
      <c r="F233" t="s">
        <v>3107</v>
      </c>
      <c r="G233" t="s">
        <v>3722</v>
      </c>
    </row>
    <row r="234" spans="1:7" ht="11.25" customHeight="1">
      <c r="A234" t="s">
        <v>14</v>
      </c>
      <c r="B234" t="s">
        <v>3694</v>
      </c>
      <c r="C234" t="s">
        <v>3695</v>
      </c>
      <c r="D234" t="s">
        <v>3723</v>
      </c>
      <c r="E234" t="s">
        <v>3724</v>
      </c>
      <c r="F234" t="s">
        <v>3403</v>
      </c>
      <c r="G234" t="s">
        <v>3725</v>
      </c>
    </row>
    <row r="235" spans="1:7" ht="11.25" customHeight="1">
      <c r="A235" t="s">
        <v>14</v>
      </c>
      <c r="B235" t="s">
        <v>3694</v>
      </c>
      <c r="C235" t="s">
        <v>3695</v>
      </c>
      <c r="D235" t="s">
        <v>3726</v>
      </c>
      <c r="E235" t="s">
        <v>3727</v>
      </c>
      <c r="F235" t="s">
        <v>3107</v>
      </c>
      <c r="G235" t="s">
        <v>3728</v>
      </c>
    </row>
    <row r="236" spans="1:7" ht="11.25" customHeight="1">
      <c r="A236" t="s">
        <v>14</v>
      </c>
      <c r="B236" t="s">
        <v>3694</v>
      </c>
      <c r="C236" t="s">
        <v>3695</v>
      </c>
      <c r="D236" t="s">
        <v>3729</v>
      </c>
      <c r="E236" t="s">
        <v>3730</v>
      </c>
      <c r="F236" t="s">
        <v>3107</v>
      </c>
      <c r="G236" t="s">
        <v>3731</v>
      </c>
    </row>
    <row r="237" spans="1:7" ht="11.25" customHeight="1">
      <c r="A237" t="s">
        <v>14</v>
      </c>
      <c r="B237" t="s">
        <v>3694</v>
      </c>
      <c r="C237" t="s">
        <v>3695</v>
      </c>
      <c r="D237" t="s">
        <v>3732</v>
      </c>
      <c r="E237" t="s">
        <v>3733</v>
      </c>
      <c r="F237" t="s">
        <v>3107</v>
      </c>
      <c r="G237" t="s">
        <v>3734</v>
      </c>
    </row>
    <row r="238" spans="1:7" ht="11.25" customHeight="1">
      <c r="A238" t="s">
        <v>14</v>
      </c>
      <c r="B238" t="s">
        <v>3694</v>
      </c>
      <c r="C238" t="s">
        <v>3695</v>
      </c>
      <c r="D238" t="s">
        <v>3735</v>
      </c>
      <c r="E238" t="s">
        <v>3736</v>
      </c>
      <c r="F238" t="s">
        <v>3107</v>
      </c>
      <c r="G238" t="s">
        <v>3737</v>
      </c>
    </row>
    <row r="239" spans="1:7" ht="11.25" customHeight="1">
      <c r="A239" t="s">
        <v>14</v>
      </c>
      <c r="B239" t="s">
        <v>3694</v>
      </c>
      <c r="C239" t="s">
        <v>3695</v>
      </c>
      <c r="D239" t="s">
        <v>3317</v>
      </c>
      <c r="E239" t="s">
        <v>3738</v>
      </c>
      <c r="F239" t="s">
        <v>3107</v>
      </c>
      <c r="G239" t="s">
        <v>3739</v>
      </c>
    </row>
    <row r="240" spans="1:7" ht="11.25" customHeight="1">
      <c r="A240" t="s">
        <v>14</v>
      </c>
      <c r="B240" t="s">
        <v>3740</v>
      </c>
      <c r="C240" t="s">
        <v>3741</v>
      </c>
      <c r="D240" t="s">
        <v>3740</v>
      </c>
      <c r="E240" t="s">
        <v>3741</v>
      </c>
      <c r="F240" t="s">
        <v>3196</v>
      </c>
      <c r="G240" t="s">
        <v>3742</v>
      </c>
    </row>
    <row r="241" spans="1:7" ht="11.25" customHeight="1">
      <c r="A241" t="s">
        <v>14</v>
      </c>
      <c r="B241" t="s">
        <v>3743</v>
      </c>
      <c r="C241" t="s">
        <v>3744</v>
      </c>
      <c r="D241" t="s">
        <v>3743</v>
      </c>
      <c r="E241" t="s">
        <v>3744</v>
      </c>
      <c r="F241" t="s">
        <v>3101</v>
      </c>
      <c r="G241" t="s">
        <v>3745</v>
      </c>
    </row>
    <row r="242" spans="1:7" ht="11.25" customHeight="1">
      <c r="A242" t="s">
        <v>14</v>
      </c>
      <c r="B242" t="s">
        <v>120</v>
      </c>
      <c r="C242" t="s">
        <v>3746</v>
      </c>
      <c r="D242" t="s">
        <v>121</v>
      </c>
      <c r="E242" t="s">
        <v>122</v>
      </c>
      <c r="F242" t="s">
        <v>3209</v>
      </c>
      <c r="G242" t="s">
        <v>119</v>
      </c>
    </row>
    <row r="243" spans="1:7" ht="11.25" customHeight="1">
      <c r="A243" t="s">
        <v>14</v>
      </c>
      <c r="B243" t="s">
        <v>120</v>
      </c>
      <c r="C243" t="s">
        <v>3746</v>
      </c>
      <c r="D243" t="s">
        <v>3747</v>
      </c>
      <c r="E243" t="s">
        <v>3748</v>
      </c>
      <c r="F243" t="s">
        <v>3107</v>
      </c>
      <c r="G243" t="s">
        <v>3749</v>
      </c>
    </row>
    <row r="244" spans="1:7" ht="11.25" customHeight="1">
      <c r="A244" t="s">
        <v>14</v>
      </c>
      <c r="B244" t="s">
        <v>120</v>
      </c>
      <c r="C244" t="s">
        <v>3746</v>
      </c>
      <c r="D244" t="s">
        <v>3750</v>
      </c>
      <c r="E244" t="s">
        <v>3751</v>
      </c>
      <c r="F244" t="s">
        <v>3107</v>
      </c>
      <c r="G244" t="s">
        <v>3752</v>
      </c>
    </row>
    <row r="245" spans="1:7" ht="11.25" customHeight="1">
      <c r="A245" t="s">
        <v>14</v>
      </c>
      <c r="B245" t="s">
        <v>120</v>
      </c>
      <c r="C245" t="s">
        <v>3746</v>
      </c>
      <c r="D245" t="s">
        <v>3753</v>
      </c>
      <c r="E245" t="s">
        <v>3754</v>
      </c>
      <c r="F245" t="s">
        <v>3107</v>
      </c>
      <c r="G245" t="s">
        <v>3755</v>
      </c>
    </row>
    <row r="246" spans="1:7" ht="11.25" customHeight="1">
      <c r="A246" t="s">
        <v>14</v>
      </c>
      <c r="B246" t="s">
        <v>120</v>
      </c>
      <c r="C246" t="s">
        <v>3746</v>
      </c>
      <c r="D246" t="s">
        <v>3756</v>
      </c>
      <c r="E246" t="s">
        <v>3757</v>
      </c>
      <c r="F246" t="s">
        <v>3107</v>
      </c>
      <c r="G246" t="s">
        <v>3758</v>
      </c>
    </row>
    <row r="247" spans="1:7" ht="11.25" customHeight="1">
      <c r="A247" t="s">
        <v>14</v>
      </c>
      <c r="B247" t="s">
        <v>120</v>
      </c>
      <c r="C247" t="s">
        <v>3746</v>
      </c>
      <c r="D247" t="s">
        <v>3759</v>
      </c>
      <c r="E247" t="s">
        <v>3760</v>
      </c>
      <c r="F247" t="s">
        <v>3107</v>
      </c>
      <c r="G247" t="s">
        <v>3761</v>
      </c>
    </row>
    <row r="248" spans="1:7" ht="11.25" customHeight="1">
      <c r="A248" t="s">
        <v>14</v>
      </c>
      <c r="B248" t="s">
        <v>120</v>
      </c>
      <c r="C248" t="s">
        <v>3746</v>
      </c>
      <c r="D248" t="s">
        <v>3762</v>
      </c>
      <c r="E248" t="s">
        <v>3763</v>
      </c>
      <c r="F248" t="s">
        <v>3107</v>
      </c>
      <c r="G248" t="s">
        <v>3764</v>
      </c>
    </row>
    <row r="249" spans="1:7" ht="11.25" customHeight="1">
      <c r="A249" t="s">
        <v>14</v>
      </c>
      <c r="B249" t="s">
        <v>120</v>
      </c>
      <c r="C249" t="s">
        <v>3746</v>
      </c>
      <c r="D249" t="s">
        <v>120</v>
      </c>
      <c r="E249" t="s">
        <v>3746</v>
      </c>
      <c r="F249" t="s">
        <v>3104</v>
      </c>
      <c r="G249" t="s">
        <v>3765</v>
      </c>
    </row>
    <row r="250" spans="1:7" ht="11.25" customHeight="1">
      <c r="A250" t="s">
        <v>14</v>
      </c>
      <c r="B250" t="s">
        <v>120</v>
      </c>
      <c r="C250" t="s">
        <v>3746</v>
      </c>
      <c r="D250" t="s">
        <v>3766</v>
      </c>
      <c r="E250" t="s">
        <v>3767</v>
      </c>
      <c r="F250" t="s">
        <v>3107</v>
      </c>
      <c r="G250" t="s">
        <v>3768</v>
      </c>
    </row>
    <row r="251" spans="1:7" ht="11.25" customHeight="1">
      <c r="A251" t="s">
        <v>14</v>
      </c>
      <c r="B251" t="s">
        <v>120</v>
      </c>
      <c r="C251" t="s">
        <v>3746</v>
      </c>
      <c r="D251" t="s">
        <v>3769</v>
      </c>
      <c r="E251" t="s">
        <v>3770</v>
      </c>
      <c r="F251" t="s">
        <v>3107</v>
      </c>
      <c r="G251" t="s">
        <v>3771</v>
      </c>
    </row>
    <row r="252" spans="1:7" ht="11.25" customHeight="1">
      <c r="A252" t="s">
        <v>14</v>
      </c>
      <c r="B252" t="s">
        <v>120</v>
      </c>
      <c r="C252" t="s">
        <v>3746</v>
      </c>
      <c r="D252" t="s">
        <v>3772</v>
      </c>
      <c r="E252" t="s">
        <v>3773</v>
      </c>
      <c r="F252" t="s">
        <v>3403</v>
      </c>
      <c r="G252" t="s">
        <v>3774</v>
      </c>
    </row>
    <row r="253" spans="1:7" ht="11.25" customHeight="1">
      <c r="A253" t="s">
        <v>14</v>
      </c>
      <c r="B253" t="s">
        <v>120</v>
      </c>
      <c r="C253" t="s">
        <v>3746</v>
      </c>
      <c r="D253" t="s">
        <v>3775</v>
      </c>
      <c r="E253" t="s">
        <v>3776</v>
      </c>
      <c r="F253" t="s">
        <v>3107</v>
      </c>
      <c r="G253" t="s">
        <v>3777</v>
      </c>
    </row>
    <row r="254" spans="1:7" ht="11.25" customHeight="1">
      <c r="A254" t="s">
        <v>14</v>
      </c>
      <c r="B254" t="s">
        <v>120</v>
      </c>
      <c r="C254" t="s">
        <v>3746</v>
      </c>
      <c r="D254" t="s">
        <v>3778</v>
      </c>
      <c r="E254" t="s">
        <v>3779</v>
      </c>
      <c r="F254" t="s">
        <v>3107</v>
      </c>
      <c r="G254" t="s">
        <v>3780</v>
      </c>
    </row>
    <row r="255" spans="1:7" ht="11.25" customHeight="1">
      <c r="A255" t="s">
        <v>14</v>
      </c>
      <c r="B255" t="s">
        <v>3781</v>
      </c>
      <c r="C255" t="s">
        <v>3782</v>
      </c>
      <c r="D255" t="s">
        <v>3781</v>
      </c>
      <c r="E255" t="s">
        <v>3782</v>
      </c>
      <c r="F255" t="s">
        <v>3196</v>
      </c>
      <c r="G255" t="s">
        <v>3783</v>
      </c>
    </row>
    <row r="256" spans="1:7" ht="11.25" customHeight="1">
      <c r="A256" t="s">
        <v>14</v>
      </c>
      <c r="B256" t="s">
        <v>3784</v>
      </c>
      <c r="C256" t="s">
        <v>3785</v>
      </c>
      <c r="D256" t="s">
        <v>3784</v>
      </c>
      <c r="E256" t="s">
        <v>3785</v>
      </c>
      <c r="F256" t="s">
        <v>3101</v>
      </c>
      <c r="G256" t="s">
        <v>3786</v>
      </c>
    </row>
    <row r="257" spans="1:7" ht="11.25" customHeight="1">
      <c r="A257" t="s">
        <v>14</v>
      </c>
      <c r="B257" t="s">
        <v>3787</v>
      </c>
      <c r="C257" t="s">
        <v>3788</v>
      </c>
      <c r="D257" t="s">
        <v>3789</v>
      </c>
      <c r="E257" t="s">
        <v>3790</v>
      </c>
      <c r="F257" t="s">
        <v>3209</v>
      </c>
      <c r="G257" t="s">
        <v>3791</v>
      </c>
    </row>
    <row r="258" spans="1:7" ht="11.25" customHeight="1">
      <c r="A258" t="s">
        <v>14</v>
      </c>
      <c r="B258" t="s">
        <v>3787</v>
      </c>
      <c r="C258" t="s">
        <v>3788</v>
      </c>
      <c r="D258" t="s">
        <v>3792</v>
      </c>
      <c r="E258" t="s">
        <v>3793</v>
      </c>
      <c r="F258" t="s">
        <v>3107</v>
      </c>
      <c r="G258" t="s">
        <v>3794</v>
      </c>
    </row>
    <row r="259" spans="1:7" ht="11.25" customHeight="1">
      <c r="A259" t="s">
        <v>14</v>
      </c>
      <c r="B259" t="s">
        <v>3787</v>
      </c>
      <c r="C259" t="s">
        <v>3788</v>
      </c>
      <c r="D259" t="s">
        <v>3795</v>
      </c>
      <c r="E259" t="s">
        <v>3796</v>
      </c>
      <c r="F259" t="s">
        <v>3107</v>
      </c>
      <c r="G259" t="s">
        <v>3797</v>
      </c>
    </row>
    <row r="260" spans="1:7" ht="11.25" customHeight="1">
      <c r="A260" t="s">
        <v>14</v>
      </c>
      <c r="B260" t="s">
        <v>3787</v>
      </c>
      <c r="C260" t="s">
        <v>3788</v>
      </c>
      <c r="D260" t="s">
        <v>3798</v>
      </c>
      <c r="E260" t="s">
        <v>3799</v>
      </c>
      <c r="F260" t="s">
        <v>3107</v>
      </c>
      <c r="G260" t="s">
        <v>3800</v>
      </c>
    </row>
    <row r="261" spans="1:7" ht="11.25" customHeight="1">
      <c r="A261" t="s">
        <v>14</v>
      </c>
      <c r="B261" t="s">
        <v>3787</v>
      </c>
      <c r="C261" t="s">
        <v>3788</v>
      </c>
      <c r="D261" t="s">
        <v>3801</v>
      </c>
      <c r="E261" t="s">
        <v>3802</v>
      </c>
      <c r="F261" t="s">
        <v>3107</v>
      </c>
      <c r="G261" t="s">
        <v>3803</v>
      </c>
    </row>
    <row r="262" spans="1:7" ht="11.25" customHeight="1">
      <c r="A262" t="s">
        <v>14</v>
      </c>
      <c r="B262" t="s">
        <v>3787</v>
      </c>
      <c r="C262" t="s">
        <v>3788</v>
      </c>
      <c r="D262" t="s">
        <v>3787</v>
      </c>
      <c r="E262" t="s">
        <v>3788</v>
      </c>
      <c r="F262" t="s">
        <v>3104</v>
      </c>
      <c r="G262" t="s">
        <v>3804</v>
      </c>
    </row>
    <row r="263" spans="1:7" ht="11.25" customHeight="1">
      <c r="A263" t="s">
        <v>14</v>
      </c>
      <c r="B263" t="s">
        <v>3787</v>
      </c>
      <c r="C263" t="s">
        <v>3788</v>
      </c>
      <c r="D263" t="s">
        <v>3805</v>
      </c>
      <c r="E263" t="s">
        <v>3806</v>
      </c>
      <c r="F263" t="s">
        <v>3107</v>
      </c>
      <c r="G263" t="s">
        <v>3807</v>
      </c>
    </row>
    <row r="264" spans="1:7" ht="11.25" customHeight="1">
      <c r="A264" t="s">
        <v>14</v>
      </c>
      <c r="B264" t="s">
        <v>3787</v>
      </c>
      <c r="C264" t="s">
        <v>3788</v>
      </c>
      <c r="D264" t="s">
        <v>3808</v>
      </c>
      <c r="E264" t="s">
        <v>3809</v>
      </c>
      <c r="F264" t="s">
        <v>3107</v>
      </c>
      <c r="G264" t="s">
        <v>3810</v>
      </c>
    </row>
    <row r="265" spans="1:7" ht="11.25" customHeight="1">
      <c r="A265" t="s">
        <v>14</v>
      </c>
      <c r="B265" t="s">
        <v>3787</v>
      </c>
      <c r="C265" t="s">
        <v>3788</v>
      </c>
      <c r="D265" t="s">
        <v>3811</v>
      </c>
      <c r="E265" t="s">
        <v>3812</v>
      </c>
      <c r="F265" t="s">
        <v>3107</v>
      </c>
      <c r="G265" t="s">
        <v>3813</v>
      </c>
    </row>
    <row r="266" spans="1:7" ht="11.25" customHeight="1">
      <c r="A266" t="s">
        <v>14</v>
      </c>
      <c r="B266" t="s">
        <v>3787</v>
      </c>
      <c r="C266" t="s">
        <v>3788</v>
      </c>
      <c r="D266" t="s">
        <v>3814</v>
      </c>
      <c r="E266" t="s">
        <v>3815</v>
      </c>
      <c r="F266" t="s">
        <v>3107</v>
      </c>
      <c r="G266" t="s">
        <v>3816</v>
      </c>
    </row>
    <row r="267" spans="1:7" ht="11.25" customHeight="1">
      <c r="A267" t="s">
        <v>14</v>
      </c>
      <c r="B267" t="s">
        <v>3787</v>
      </c>
      <c r="C267" t="s">
        <v>3788</v>
      </c>
      <c r="D267" t="s">
        <v>3817</v>
      </c>
      <c r="E267" t="s">
        <v>3818</v>
      </c>
      <c r="F267" t="s">
        <v>3107</v>
      </c>
      <c r="G267" t="s">
        <v>3819</v>
      </c>
    </row>
    <row r="268" spans="1:7" ht="11.25" customHeight="1">
      <c r="A268" t="s">
        <v>14</v>
      </c>
      <c r="B268" t="s">
        <v>3787</v>
      </c>
      <c r="C268" t="s">
        <v>3788</v>
      </c>
      <c r="D268" t="s">
        <v>3820</v>
      </c>
      <c r="E268" t="s">
        <v>3821</v>
      </c>
      <c r="F268" t="s">
        <v>3107</v>
      </c>
      <c r="G268" t="s">
        <v>3822</v>
      </c>
    </row>
    <row r="269" spans="1:7" ht="11.25" customHeight="1">
      <c r="A269" t="s">
        <v>14</v>
      </c>
      <c r="B269" t="s">
        <v>3787</v>
      </c>
      <c r="C269" t="s">
        <v>3788</v>
      </c>
      <c r="D269" t="s">
        <v>3823</v>
      </c>
      <c r="E269" t="s">
        <v>3824</v>
      </c>
      <c r="F269" t="s">
        <v>3107</v>
      </c>
      <c r="G269" t="s">
        <v>3825</v>
      </c>
    </row>
    <row r="270" spans="1:7" ht="11.25" customHeight="1">
      <c r="A270" t="s">
        <v>14</v>
      </c>
      <c r="B270" t="s">
        <v>3826</v>
      </c>
      <c r="C270" t="s">
        <v>3827</v>
      </c>
      <c r="D270" t="s">
        <v>3826</v>
      </c>
      <c r="E270" t="s">
        <v>3827</v>
      </c>
      <c r="F270" t="s">
        <v>3101</v>
      </c>
      <c r="G270" t="s">
        <v>3828</v>
      </c>
    </row>
    <row r="271" spans="1:7" ht="11.25" customHeight="1">
      <c r="A271" t="s">
        <v>14</v>
      </c>
      <c r="B271" t="s">
        <v>3829</v>
      </c>
      <c r="C271" t="s">
        <v>3830</v>
      </c>
      <c r="D271" t="s">
        <v>3831</v>
      </c>
      <c r="E271" t="s">
        <v>3832</v>
      </c>
      <c r="F271" t="s">
        <v>3107</v>
      </c>
      <c r="G271" t="s">
        <v>3833</v>
      </c>
    </row>
    <row r="272" spans="1:7" ht="11.25" customHeight="1">
      <c r="A272" t="s">
        <v>14</v>
      </c>
      <c r="B272" t="s">
        <v>3829</v>
      </c>
      <c r="C272" t="s">
        <v>3830</v>
      </c>
      <c r="D272" t="s">
        <v>3834</v>
      </c>
      <c r="E272" t="s">
        <v>3835</v>
      </c>
      <c r="F272" t="s">
        <v>3107</v>
      </c>
      <c r="G272" t="s">
        <v>3836</v>
      </c>
    </row>
    <row r="273" spans="1:7" ht="11.25" customHeight="1">
      <c r="A273" t="s">
        <v>14</v>
      </c>
      <c r="B273" t="s">
        <v>3829</v>
      </c>
      <c r="C273" t="s">
        <v>3830</v>
      </c>
      <c r="D273" t="s">
        <v>3829</v>
      </c>
      <c r="E273" t="s">
        <v>3830</v>
      </c>
      <c r="F273" t="s">
        <v>3104</v>
      </c>
      <c r="G273" t="s">
        <v>3837</v>
      </c>
    </row>
    <row r="274" spans="1:7" ht="11.25" customHeight="1">
      <c r="A274" t="s">
        <v>14</v>
      </c>
      <c r="B274" t="s">
        <v>3829</v>
      </c>
      <c r="C274" t="s">
        <v>3830</v>
      </c>
      <c r="D274" t="s">
        <v>3838</v>
      </c>
      <c r="E274" t="s">
        <v>3839</v>
      </c>
      <c r="F274" t="s">
        <v>3107</v>
      </c>
      <c r="G274" t="s">
        <v>3840</v>
      </c>
    </row>
    <row r="275" spans="1:7" ht="11.25" customHeight="1">
      <c r="A275" t="s">
        <v>14</v>
      </c>
      <c r="B275" t="s">
        <v>3829</v>
      </c>
      <c r="C275" t="s">
        <v>3830</v>
      </c>
      <c r="D275" t="s">
        <v>3841</v>
      </c>
      <c r="E275" t="s">
        <v>3842</v>
      </c>
      <c r="F275" t="s">
        <v>3107</v>
      </c>
      <c r="G275" t="s">
        <v>3843</v>
      </c>
    </row>
    <row r="276" spans="1:7" ht="11.25" customHeight="1">
      <c r="A276" t="s">
        <v>14</v>
      </c>
      <c r="B276" t="s">
        <v>3829</v>
      </c>
      <c r="C276" t="s">
        <v>3830</v>
      </c>
      <c r="D276" t="s">
        <v>3844</v>
      </c>
      <c r="E276" t="s">
        <v>3845</v>
      </c>
      <c r="F276" t="s">
        <v>3107</v>
      </c>
      <c r="G276" t="s">
        <v>3846</v>
      </c>
    </row>
    <row r="277" spans="1:7" ht="11.25" customHeight="1">
      <c r="A277" t="s">
        <v>14</v>
      </c>
      <c r="B277" t="s">
        <v>3829</v>
      </c>
      <c r="C277" t="s">
        <v>3830</v>
      </c>
      <c r="D277" t="s">
        <v>3847</v>
      </c>
      <c r="E277" t="s">
        <v>3848</v>
      </c>
      <c r="F277" t="s">
        <v>3107</v>
      </c>
      <c r="G277" t="s">
        <v>3849</v>
      </c>
    </row>
    <row r="278" spans="1:7" ht="11.25" customHeight="1">
      <c r="A278" t="s">
        <v>14</v>
      </c>
      <c r="B278" t="s">
        <v>3829</v>
      </c>
      <c r="C278" t="s">
        <v>3830</v>
      </c>
      <c r="D278" t="s">
        <v>3850</v>
      </c>
      <c r="E278" t="s">
        <v>3851</v>
      </c>
      <c r="F278" t="s">
        <v>3107</v>
      </c>
      <c r="G278" t="s">
        <v>3852</v>
      </c>
    </row>
    <row r="279" spans="1:7" ht="11.25" customHeight="1">
      <c r="A279" t="s">
        <v>14</v>
      </c>
      <c r="B279" t="s">
        <v>3829</v>
      </c>
      <c r="C279" t="s">
        <v>3830</v>
      </c>
      <c r="D279" t="s">
        <v>3853</v>
      </c>
      <c r="E279" t="s">
        <v>3854</v>
      </c>
      <c r="F279" t="s">
        <v>3107</v>
      </c>
      <c r="G279" t="s">
        <v>3855</v>
      </c>
    </row>
    <row r="280" spans="1:7" ht="11.25" customHeight="1">
      <c r="A280" t="s">
        <v>14</v>
      </c>
      <c r="B280" t="s">
        <v>3856</v>
      </c>
      <c r="C280" t="s">
        <v>3857</v>
      </c>
      <c r="D280" t="s">
        <v>3856</v>
      </c>
      <c r="E280" t="s">
        <v>3857</v>
      </c>
      <c r="F280" t="s">
        <v>3196</v>
      </c>
      <c r="G280" t="s">
        <v>3858</v>
      </c>
    </row>
    <row r="281" spans="1:7" ht="11.25" customHeight="1">
      <c r="A281" t="s">
        <v>14</v>
      </c>
      <c r="B281" t="s">
        <v>3859</v>
      </c>
      <c r="C281" t="s">
        <v>3860</v>
      </c>
      <c r="D281" t="s">
        <v>3859</v>
      </c>
      <c r="E281" t="s">
        <v>3860</v>
      </c>
      <c r="F281" t="s">
        <v>3101</v>
      </c>
      <c r="G281" t="s">
        <v>3861</v>
      </c>
    </row>
    <row r="282" spans="1:7" ht="11.25" customHeight="1">
      <c r="A282" t="s">
        <v>14</v>
      </c>
      <c r="B282" t="s">
        <v>3862</v>
      </c>
      <c r="C282" t="s">
        <v>3863</v>
      </c>
      <c r="D282" t="s">
        <v>3864</v>
      </c>
      <c r="E282" t="s">
        <v>3865</v>
      </c>
      <c r="F282" t="s">
        <v>3107</v>
      </c>
      <c r="G282" t="s">
        <v>3866</v>
      </c>
    </row>
    <row r="283" spans="1:7" ht="11.25" customHeight="1">
      <c r="A283" t="s">
        <v>14</v>
      </c>
      <c r="B283" t="s">
        <v>3862</v>
      </c>
      <c r="C283" t="s">
        <v>3863</v>
      </c>
      <c r="D283" t="s">
        <v>3867</v>
      </c>
      <c r="E283" t="s">
        <v>3868</v>
      </c>
      <c r="F283" t="s">
        <v>3209</v>
      </c>
      <c r="G283" t="s">
        <v>3869</v>
      </c>
    </row>
    <row r="284" spans="1:7" ht="11.25" customHeight="1">
      <c r="A284" t="s">
        <v>14</v>
      </c>
      <c r="B284" t="s">
        <v>3862</v>
      </c>
      <c r="C284" t="s">
        <v>3863</v>
      </c>
      <c r="D284" t="s">
        <v>3870</v>
      </c>
      <c r="E284" t="s">
        <v>3871</v>
      </c>
      <c r="F284" t="s">
        <v>3107</v>
      </c>
      <c r="G284" t="s">
        <v>3872</v>
      </c>
    </row>
    <row r="285" spans="1:7" ht="11.25" customHeight="1">
      <c r="A285" t="s">
        <v>14</v>
      </c>
      <c r="B285" t="s">
        <v>3862</v>
      </c>
      <c r="C285" t="s">
        <v>3863</v>
      </c>
      <c r="D285" t="s">
        <v>3873</v>
      </c>
      <c r="E285" t="s">
        <v>3874</v>
      </c>
      <c r="F285" t="s">
        <v>3107</v>
      </c>
      <c r="G285" t="s">
        <v>3875</v>
      </c>
    </row>
    <row r="286" spans="1:7" ht="11.25" customHeight="1">
      <c r="A286" t="s">
        <v>14</v>
      </c>
      <c r="B286" t="s">
        <v>3862</v>
      </c>
      <c r="C286" t="s">
        <v>3863</v>
      </c>
      <c r="D286" t="s">
        <v>3862</v>
      </c>
      <c r="E286" t="s">
        <v>3863</v>
      </c>
      <c r="F286" t="s">
        <v>3104</v>
      </c>
      <c r="G286" t="s">
        <v>3876</v>
      </c>
    </row>
    <row r="287" spans="1:7" ht="11.25" customHeight="1">
      <c r="A287" t="s">
        <v>14</v>
      </c>
      <c r="B287" t="s">
        <v>3862</v>
      </c>
      <c r="C287" t="s">
        <v>3863</v>
      </c>
      <c r="D287" t="s">
        <v>3877</v>
      </c>
      <c r="E287" t="s">
        <v>3878</v>
      </c>
      <c r="F287" t="s">
        <v>3107</v>
      </c>
      <c r="G287" t="s">
        <v>3879</v>
      </c>
    </row>
    <row r="288" spans="1:7" ht="11.25" customHeight="1">
      <c r="A288" t="s">
        <v>14</v>
      </c>
      <c r="B288" t="s">
        <v>3862</v>
      </c>
      <c r="C288" t="s">
        <v>3863</v>
      </c>
      <c r="D288" t="s">
        <v>3880</v>
      </c>
      <c r="E288" t="s">
        <v>3881</v>
      </c>
      <c r="F288" t="s">
        <v>3107</v>
      </c>
      <c r="G288" t="s">
        <v>3882</v>
      </c>
    </row>
    <row r="289" spans="1:7" ht="11.25" customHeight="1">
      <c r="A289" t="s">
        <v>14</v>
      </c>
      <c r="B289" t="s">
        <v>3862</v>
      </c>
      <c r="C289" t="s">
        <v>3863</v>
      </c>
      <c r="D289" t="s">
        <v>3883</v>
      </c>
      <c r="E289" t="s">
        <v>3884</v>
      </c>
      <c r="F289" t="s">
        <v>3107</v>
      </c>
      <c r="G289" t="s">
        <v>3885</v>
      </c>
    </row>
    <row r="290" spans="1:7" ht="11.25" customHeight="1">
      <c r="A290" t="s">
        <v>14</v>
      </c>
      <c r="B290" t="s">
        <v>3862</v>
      </c>
      <c r="C290" t="s">
        <v>3863</v>
      </c>
      <c r="D290" t="s">
        <v>3886</v>
      </c>
      <c r="E290" t="s">
        <v>3887</v>
      </c>
      <c r="F290" t="s">
        <v>3107</v>
      </c>
      <c r="G290" t="s">
        <v>3888</v>
      </c>
    </row>
    <row r="291" spans="1:7" ht="11.25" customHeight="1">
      <c r="A291" t="s">
        <v>14</v>
      </c>
      <c r="B291" t="s">
        <v>3862</v>
      </c>
      <c r="C291" t="s">
        <v>3863</v>
      </c>
      <c r="D291" t="s">
        <v>3889</v>
      </c>
      <c r="E291" t="s">
        <v>3890</v>
      </c>
      <c r="F291" t="s">
        <v>3107</v>
      </c>
      <c r="G291" t="s">
        <v>3891</v>
      </c>
    </row>
    <row r="292" spans="1:7" ht="11.25" customHeight="1">
      <c r="A292" t="s">
        <v>14</v>
      </c>
      <c r="B292" t="s">
        <v>3862</v>
      </c>
      <c r="C292" t="s">
        <v>3863</v>
      </c>
      <c r="D292" t="s">
        <v>3892</v>
      </c>
      <c r="E292" t="s">
        <v>3893</v>
      </c>
      <c r="F292" t="s">
        <v>3107</v>
      </c>
      <c r="G292" t="s">
        <v>3894</v>
      </c>
    </row>
    <row r="293" spans="1:7" ht="11.25" customHeight="1">
      <c r="A293" t="s">
        <v>14</v>
      </c>
      <c r="B293" t="s">
        <v>3862</v>
      </c>
      <c r="C293" t="s">
        <v>3863</v>
      </c>
      <c r="D293" t="s">
        <v>3895</v>
      </c>
      <c r="E293" t="s">
        <v>3896</v>
      </c>
      <c r="F293" t="s">
        <v>3107</v>
      </c>
      <c r="G293" t="s">
        <v>3897</v>
      </c>
    </row>
    <row r="294" spans="1:7" ht="11.25" customHeight="1">
      <c r="A294" t="s">
        <v>14</v>
      </c>
      <c r="B294" t="s">
        <v>3862</v>
      </c>
      <c r="C294" t="s">
        <v>3863</v>
      </c>
      <c r="D294" t="s">
        <v>3898</v>
      </c>
      <c r="E294" t="s">
        <v>3899</v>
      </c>
      <c r="F294" t="s">
        <v>3107</v>
      </c>
      <c r="G294" t="s">
        <v>3900</v>
      </c>
    </row>
    <row r="295" spans="1:7" ht="11.25" customHeight="1">
      <c r="A295" t="s">
        <v>14</v>
      </c>
      <c r="B295" t="s">
        <v>3862</v>
      </c>
      <c r="C295" t="s">
        <v>3863</v>
      </c>
      <c r="D295" t="s">
        <v>3901</v>
      </c>
      <c r="E295" t="s">
        <v>3902</v>
      </c>
      <c r="F295" t="s">
        <v>3107</v>
      </c>
      <c r="G295" t="s">
        <v>3903</v>
      </c>
    </row>
    <row r="296" spans="1:7" ht="11.25" customHeight="1">
      <c r="A296" t="s">
        <v>14</v>
      </c>
      <c r="B296" t="s">
        <v>3904</v>
      </c>
      <c r="C296" t="s">
        <v>3905</v>
      </c>
      <c r="D296" t="s">
        <v>3904</v>
      </c>
      <c r="E296" t="s">
        <v>3905</v>
      </c>
      <c r="F296" t="s">
        <v>3101</v>
      </c>
      <c r="G296" t="s">
        <v>3906</v>
      </c>
    </row>
    <row r="297" spans="1:7" ht="11.25" customHeight="1">
      <c r="A297" t="s">
        <v>14</v>
      </c>
      <c r="B297" t="s">
        <v>3907</v>
      </c>
      <c r="C297" t="s">
        <v>3908</v>
      </c>
      <c r="D297" t="s">
        <v>3909</v>
      </c>
      <c r="E297" t="s">
        <v>3910</v>
      </c>
      <c r="F297" t="s">
        <v>3107</v>
      </c>
      <c r="G297" t="s">
        <v>3911</v>
      </c>
    </row>
    <row r="298" spans="1:7" ht="11.25" customHeight="1">
      <c r="A298" t="s">
        <v>14</v>
      </c>
      <c r="B298" t="s">
        <v>3907</v>
      </c>
      <c r="C298" t="s">
        <v>3908</v>
      </c>
      <c r="D298" t="s">
        <v>3912</v>
      </c>
      <c r="E298" t="s">
        <v>3913</v>
      </c>
      <c r="F298" t="s">
        <v>3107</v>
      </c>
      <c r="G298" t="s">
        <v>3914</v>
      </c>
    </row>
    <row r="299" spans="1:7" ht="11.25" customHeight="1">
      <c r="A299" t="s">
        <v>14</v>
      </c>
      <c r="B299" t="s">
        <v>3907</v>
      </c>
      <c r="C299" t="s">
        <v>3908</v>
      </c>
      <c r="D299" t="s">
        <v>3915</v>
      </c>
      <c r="E299" t="s">
        <v>3916</v>
      </c>
      <c r="F299" t="s">
        <v>3107</v>
      </c>
      <c r="G299" t="s">
        <v>3917</v>
      </c>
    </row>
    <row r="300" spans="1:7" ht="11.25" customHeight="1">
      <c r="A300" t="s">
        <v>14</v>
      </c>
      <c r="B300" t="s">
        <v>3907</v>
      </c>
      <c r="C300" t="s">
        <v>3908</v>
      </c>
      <c r="D300" t="s">
        <v>3918</v>
      </c>
      <c r="E300" t="s">
        <v>3919</v>
      </c>
      <c r="F300" t="s">
        <v>3107</v>
      </c>
      <c r="G300" t="s">
        <v>3920</v>
      </c>
    </row>
    <row r="301" spans="1:7" ht="11.25" customHeight="1">
      <c r="A301" t="s">
        <v>14</v>
      </c>
      <c r="B301" t="s">
        <v>3907</v>
      </c>
      <c r="C301" t="s">
        <v>3908</v>
      </c>
      <c r="D301" t="s">
        <v>3921</v>
      </c>
      <c r="E301" t="s">
        <v>3922</v>
      </c>
      <c r="F301" t="s">
        <v>3107</v>
      </c>
      <c r="G301" t="s">
        <v>3923</v>
      </c>
    </row>
    <row r="302" spans="1:7" ht="11.25" customHeight="1">
      <c r="A302" t="s">
        <v>14</v>
      </c>
      <c r="B302" t="s">
        <v>3907</v>
      </c>
      <c r="C302" t="s">
        <v>3908</v>
      </c>
      <c r="D302" t="s">
        <v>3924</v>
      </c>
      <c r="E302" t="s">
        <v>3925</v>
      </c>
      <c r="F302" t="s">
        <v>3107</v>
      </c>
      <c r="G302" t="s">
        <v>3926</v>
      </c>
    </row>
    <row r="303" spans="1:7" ht="11.25" customHeight="1">
      <c r="A303" t="s">
        <v>14</v>
      </c>
      <c r="B303" t="s">
        <v>3907</v>
      </c>
      <c r="C303" t="s">
        <v>3908</v>
      </c>
      <c r="D303" t="s">
        <v>3907</v>
      </c>
      <c r="E303" t="s">
        <v>3908</v>
      </c>
      <c r="F303" t="s">
        <v>3104</v>
      </c>
      <c r="G303" t="s">
        <v>3927</v>
      </c>
    </row>
    <row r="304" spans="1:7" ht="11.25" customHeight="1">
      <c r="A304" t="s">
        <v>14</v>
      </c>
      <c r="B304" t="s">
        <v>3907</v>
      </c>
      <c r="C304" t="s">
        <v>3908</v>
      </c>
      <c r="D304" t="s">
        <v>3928</v>
      </c>
      <c r="E304" t="s">
        <v>3929</v>
      </c>
      <c r="F304" t="s">
        <v>3107</v>
      </c>
      <c r="G304" t="s">
        <v>3930</v>
      </c>
    </row>
    <row r="305" spans="1:7" ht="11.25" customHeight="1">
      <c r="A305" t="s">
        <v>14</v>
      </c>
      <c r="B305" t="s">
        <v>3907</v>
      </c>
      <c r="C305" t="s">
        <v>3908</v>
      </c>
      <c r="D305" t="s">
        <v>3931</v>
      </c>
      <c r="E305" t="s">
        <v>3932</v>
      </c>
      <c r="F305" t="s">
        <v>3107</v>
      </c>
      <c r="G305" t="s">
        <v>3933</v>
      </c>
    </row>
    <row r="306" spans="1:7" ht="11.25" customHeight="1">
      <c r="A306" t="s">
        <v>14</v>
      </c>
      <c r="B306" t="s">
        <v>3907</v>
      </c>
      <c r="C306" t="s">
        <v>3908</v>
      </c>
      <c r="D306" t="s">
        <v>3934</v>
      </c>
      <c r="E306" t="s">
        <v>3935</v>
      </c>
      <c r="F306" t="s">
        <v>3107</v>
      </c>
      <c r="G306" t="s">
        <v>3936</v>
      </c>
    </row>
    <row r="307" spans="1:7" ht="11.25" customHeight="1">
      <c r="A307" t="s">
        <v>14</v>
      </c>
      <c r="B307" t="s">
        <v>3907</v>
      </c>
      <c r="C307" t="s">
        <v>3908</v>
      </c>
      <c r="D307" t="s">
        <v>3937</v>
      </c>
      <c r="E307" t="s">
        <v>3938</v>
      </c>
      <c r="F307" t="s">
        <v>3107</v>
      </c>
      <c r="G307" t="s">
        <v>3939</v>
      </c>
    </row>
    <row r="308" spans="1:7" ht="11.25" customHeight="1">
      <c r="A308" t="s">
        <v>14</v>
      </c>
      <c r="B308" t="s">
        <v>3907</v>
      </c>
      <c r="C308" t="s">
        <v>3908</v>
      </c>
      <c r="D308" t="s">
        <v>3940</v>
      </c>
      <c r="E308" t="s">
        <v>3941</v>
      </c>
      <c r="F308" t="s">
        <v>3107</v>
      </c>
      <c r="G308" t="s">
        <v>3942</v>
      </c>
    </row>
    <row r="309" spans="1:7" ht="11.25" customHeight="1">
      <c r="A309" t="s">
        <v>14</v>
      </c>
      <c r="B309" t="s">
        <v>3907</v>
      </c>
      <c r="C309" t="s">
        <v>3908</v>
      </c>
      <c r="D309" t="s">
        <v>3943</v>
      </c>
      <c r="E309" t="s">
        <v>3944</v>
      </c>
      <c r="F309" t="s">
        <v>3107</v>
      </c>
      <c r="G309" t="s">
        <v>3945</v>
      </c>
    </row>
    <row r="310" spans="1:7" ht="11.25" customHeight="1">
      <c r="A310" t="s">
        <v>14</v>
      </c>
      <c r="B310" t="s">
        <v>3907</v>
      </c>
      <c r="C310" t="s">
        <v>3908</v>
      </c>
      <c r="D310" t="s">
        <v>3946</v>
      </c>
      <c r="E310" t="s">
        <v>3947</v>
      </c>
      <c r="F310" t="s">
        <v>3107</v>
      </c>
      <c r="G310" t="s">
        <v>3948</v>
      </c>
    </row>
    <row r="311" spans="1:7" ht="11.25" customHeight="1">
      <c r="A311" t="s">
        <v>14</v>
      </c>
      <c r="B311" t="s">
        <v>3907</v>
      </c>
      <c r="C311" t="s">
        <v>3908</v>
      </c>
      <c r="D311" t="s">
        <v>3949</v>
      </c>
      <c r="E311" t="s">
        <v>3950</v>
      </c>
      <c r="F311" t="s">
        <v>3107</v>
      </c>
      <c r="G311" t="s">
        <v>3951</v>
      </c>
    </row>
    <row r="312" spans="1:7" ht="11.25" customHeight="1">
      <c r="A312" t="s">
        <v>14</v>
      </c>
      <c r="B312" t="s">
        <v>3907</v>
      </c>
      <c r="C312" t="s">
        <v>3908</v>
      </c>
      <c r="D312" t="s">
        <v>3952</v>
      </c>
      <c r="E312" t="s">
        <v>3953</v>
      </c>
      <c r="F312" t="s">
        <v>3107</v>
      </c>
      <c r="G312" t="s">
        <v>3954</v>
      </c>
    </row>
    <row r="313" spans="1:7" ht="11.25" customHeight="1">
      <c r="A313" t="s">
        <v>14</v>
      </c>
      <c r="B313" t="s">
        <v>3955</v>
      </c>
      <c r="C313" t="s">
        <v>3956</v>
      </c>
      <c r="D313" t="s">
        <v>3955</v>
      </c>
      <c r="E313" t="s">
        <v>3956</v>
      </c>
      <c r="F313" t="s">
        <v>3196</v>
      </c>
      <c r="G313" t="s">
        <v>3957</v>
      </c>
    </row>
    <row r="314" spans="1:7" ht="11.25" customHeight="1">
      <c r="A314" t="s">
        <v>14</v>
      </c>
      <c r="B314" t="s">
        <v>3958</v>
      </c>
      <c r="C314" t="s">
        <v>3959</v>
      </c>
      <c r="D314" t="s">
        <v>3958</v>
      </c>
      <c r="E314" t="s">
        <v>3959</v>
      </c>
      <c r="F314" t="s">
        <v>3101</v>
      </c>
      <c r="G314" t="s">
        <v>3960</v>
      </c>
    </row>
    <row r="315" spans="1:7" ht="11.25" customHeight="1">
      <c r="A315" t="s">
        <v>14</v>
      </c>
      <c r="B315" t="s">
        <v>3961</v>
      </c>
      <c r="C315" t="s">
        <v>3962</v>
      </c>
      <c r="D315" t="s">
        <v>3963</v>
      </c>
      <c r="E315" t="s">
        <v>3964</v>
      </c>
      <c r="F315" t="s">
        <v>3107</v>
      </c>
      <c r="G315" t="s">
        <v>3965</v>
      </c>
    </row>
    <row r="316" spans="1:7" ht="11.25" customHeight="1">
      <c r="A316" t="s">
        <v>14</v>
      </c>
      <c r="B316" t="s">
        <v>3961</v>
      </c>
      <c r="C316" t="s">
        <v>3962</v>
      </c>
      <c r="D316" t="s">
        <v>3966</v>
      </c>
      <c r="E316" t="s">
        <v>3967</v>
      </c>
      <c r="F316" t="s">
        <v>3209</v>
      </c>
      <c r="G316" t="s">
        <v>3968</v>
      </c>
    </row>
    <row r="317" spans="1:7" ht="11.25" customHeight="1">
      <c r="A317" t="s">
        <v>14</v>
      </c>
      <c r="B317" t="s">
        <v>3961</v>
      </c>
      <c r="C317" t="s">
        <v>3962</v>
      </c>
      <c r="D317" t="s">
        <v>3969</v>
      </c>
      <c r="E317" t="s">
        <v>3970</v>
      </c>
      <c r="F317" t="s">
        <v>3107</v>
      </c>
      <c r="G317" t="s">
        <v>3971</v>
      </c>
    </row>
    <row r="318" spans="1:7" ht="11.25" customHeight="1">
      <c r="A318" t="s">
        <v>14</v>
      </c>
      <c r="B318" t="s">
        <v>3961</v>
      </c>
      <c r="C318" t="s">
        <v>3962</v>
      </c>
      <c r="D318" t="s">
        <v>3972</v>
      </c>
      <c r="E318" t="s">
        <v>3973</v>
      </c>
      <c r="F318" t="s">
        <v>3107</v>
      </c>
      <c r="G318" t="s">
        <v>3974</v>
      </c>
    </row>
    <row r="319" spans="1:7" ht="11.25" customHeight="1">
      <c r="A319" t="s">
        <v>14</v>
      </c>
      <c r="B319" t="s">
        <v>3961</v>
      </c>
      <c r="C319" t="s">
        <v>3962</v>
      </c>
      <c r="D319" t="s">
        <v>3975</v>
      </c>
      <c r="E319" t="s">
        <v>3976</v>
      </c>
      <c r="F319" t="s">
        <v>3107</v>
      </c>
      <c r="G319" t="s">
        <v>3977</v>
      </c>
    </row>
    <row r="320" spans="1:7" ht="11.25" customHeight="1">
      <c r="A320" t="s">
        <v>14</v>
      </c>
      <c r="B320" t="s">
        <v>3961</v>
      </c>
      <c r="C320" t="s">
        <v>3962</v>
      </c>
      <c r="D320" t="s">
        <v>3978</v>
      </c>
      <c r="E320" t="s">
        <v>3979</v>
      </c>
      <c r="F320" t="s">
        <v>3107</v>
      </c>
      <c r="G320" t="s">
        <v>3980</v>
      </c>
    </row>
    <row r="321" spans="1:7" ht="11.25" customHeight="1">
      <c r="A321" t="s">
        <v>14</v>
      </c>
      <c r="B321" t="s">
        <v>3961</v>
      </c>
      <c r="C321" t="s">
        <v>3962</v>
      </c>
      <c r="D321" t="s">
        <v>3961</v>
      </c>
      <c r="E321" t="s">
        <v>3962</v>
      </c>
      <c r="F321" t="s">
        <v>3104</v>
      </c>
      <c r="G321" t="s">
        <v>3981</v>
      </c>
    </row>
    <row r="322" spans="1:7" ht="11.25" customHeight="1">
      <c r="A322" t="s">
        <v>14</v>
      </c>
      <c r="B322" t="s">
        <v>3961</v>
      </c>
      <c r="C322" t="s">
        <v>3962</v>
      </c>
      <c r="D322" t="s">
        <v>3982</v>
      </c>
      <c r="E322" t="s">
        <v>3983</v>
      </c>
      <c r="F322" t="s">
        <v>3107</v>
      </c>
      <c r="G322" t="s">
        <v>3984</v>
      </c>
    </row>
    <row r="323" spans="1:7" ht="11.25" customHeight="1">
      <c r="A323" t="s">
        <v>14</v>
      </c>
      <c r="B323" t="s">
        <v>3985</v>
      </c>
      <c r="C323" t="s">
        <v>3986</v>
      </c>
      <c r="D323" t="s">
        <v>3985</v>
      </c>
      <c r="E323" t="s">
        <v>3986</v>
      </c>
      <c r="F323" t="s">
        <v>3101</v>
      </c>
      <c r="G323" t="s">
        <v>3987</v>
      </c>
    </row>
    <row r="324" spans="1:7" ht="11.25" customHeight="1">
      <c r="A324" t="s">
        <v>14</v>
      </c>
      <c r="B324" t="s">
        <v>3988</v>
      </c>
      <c r="C324" t="s">
        <v>3989</v>
      </c>
      <c r="D324" t="s">
        <v>3990</v>
      </c>
      <c r="E324" t="s">
        <v>3991</v>
      </c>
      <c r="F324" t="s">
        <v>3107</v>
      </c>
      <c r="G324" t="s">
        <v>3992</v>
      </c>
    </row>
    <row r="325" spans="1:7" ht="11.25" customHeight="1">
      <c r="A325" t="s">
        <v>14</v>
      </c>
      <c r="B325" t="s">
        <v>3988</v>
      </c>
      <c r="C325" t="s">
        <v>3989</v>
      </c>
      <c r="D325" t="s">
        <v>3993</v>
      </c>
      <c r="E325" t="s">
        <v>3994</v>
      </c>
      <c r="F325" t="s">
        <v>3107</v>
      </c>
      <c r="G325" t="s">
        <v>3995</v>
      </c>
    </row>
    <row r="326" spans="1:7" ht="11.25" customHeight="1">
      <c r="A326" t="s">
        <v>14</v>
      </c>
      <c r="B326" t="s">
        <v>3988</v>
      </c>
      <c r="C326" t="s">
        <v>3989</v>
      </c>
      <c r="D326" t="s">
        <v>3996</v>
      </c>
      <c r="E326" t="s">
        <v>3997</v>
      </c>
      <c r="F326" t="s">
        <v>3107</v>
      </c>
      <c r="G326" t="s">
        <v>3998</v>
      </c>
    </row>
    <row r="327" spans="1:7" ht="11.25" customHeight="1">
      <c r="A327" t="s">
        <v>14</v>
      </c>
      <c r="B327" t="s">
        <v>3988</v>
      </c>
      <c r="C327" t="s">
        <v>3989</v>
      </c>
      <c r="D327" t="s">
        <v>3999</v>
      </c>
      <c r="E327" t="s">
        <v>4000</v>
      </c>
      <c r="F327" t="s">
        <v>3107</v>
      </c>
      <c r="G327" t="s">
        <v>4001</v>
      </c>
    </row>
    <row r="328" spans="1:7" ht="11.25" customHeight="1">
      <c r="A328" t="s">
        <v>14</v>
      </c>
      <c r="B328" t="s">
        <v>3988</v>
      </c>
      <c r="C328" t="s">
        <v>3989</v>
      </c>
      <c r="D328" t="s">
        <v>4002</v>
      </c>
      <c r="E328" t="s">
        <v>4003</v>
      </c>
      <c r="F328" t="s">
        <v>3107</v>
      </c>
      <c r="G328" t="s">
        <v>4004</v>
      </c>
    </row>
    <row r="329" spans="1:7" ht="11.25" customHeight="1">
      <c r="A329" t="s">
        <v>14</v>
      </c>
      <c r="B329" t="s">
        <v>3988</v>
      </c>
      <c r="C329" t="s">
        <v>3989</v>
      </c>
      <c r="D329" t="s">
        <v>4005</v>
      </c>
      <c r="E329" t="s">
        <v>4006</v>
      </c>
      <c r="F329" t="s">
        <v>3107</v>
      </c>
      <c r="G329" t="s">
        <v>4007</v>
      </c>
    </row>
    <row r="330" spans="1:7" ht="11.25" customHeight="1">
      <c r="A330" t="s">
        <v>14</v>
      </c>
      <c r="B330" t="s">
        <v>3988</v>
      </c>
      <c r="C330" t="s">
        <v>3989</v>
      </c>
      <c r="D330" t="s">
        <v>3988</v>
      </c>
      <c r="E330" t="s">
        <v>3989</v>
      </c>
      <c r="F330" t="s">
        <v>3104</v>
      </c>
      <c r="G330" t="s">
        <v>4008</v>
      </c>
    </row>
    <row r="331" spans="1:7" ht="11.25" customHeight="1">
      <c r="A331" t="s">
        <v>14</v>
      </c>
      <c r="B331" t="s">
        <v>3988</v>
      </c>
      <c r="C331" t="s">
        <v>3989</v>
      </c>
      <c r="D331" t="s">
        <v>4009</v>
      </c>
      <c r="E331" t="s">
        <v>4010</v>
      </c>
      <c r="F331" t="s">
        <v>3107</v>
      </c>
      <c r="G331" t="s">
        <v>4011</v>
      </c>
    </row>
    <row r="332" spans="1:7" ht="11.25" customHeight="1">
      <c r="A332" t="s">
        <v>14</v>
      </c>
      <c r="B332" t="s">
        <v>4012</v>
      </c>
      <c r="C332" t="s">
        <v>4013</v>
      </c>
      <c r="D332" t="s">
        <v>4012</v>
      </c>
      <c r="E332" t="s">
        <v>4013</v>
      </c>
      <c r="F332" t="s">
        <v>3101</v>
      </c>
      <c r="G332" t="s">
        <v>4014</v>
      </c>
    </row>
    <row r="333" spans="1:7" ht="11.25" customHeight="1">
      <c r="A333" t="s">
        <v>14</v>
      </c>
      <c r="B333" t="s">
        <v>4015</v>
      </c>
      <c r="C333" t="s">
        <v>4016</v>
      </c>
      <c r="D333" t="s">
        <v>4017</v>
      </c>
      <c r="E333" t="s">
        <v>4018</v>
      </c>
      <c r="F333" t="s">
        <v>3107</v>
      </c>
      <c r="G333" t="s">
        <v>4019</v>
      </c>
    </row>
    <row r="334" spans="1:7" ht="11.25" customHeight="1">
      <c r="A334" t="s">
        <v>14</v>
      </c>
      <c r="B334" t="s">
        <v>4015</v>
      </c>
      <c r="C334" t="s">
        <v>4016</v>
      </c>
      <c r="D334" t="s">
        <v>4020</v>
      </c>
      <c r="E334" t="s">
        <v>4021</v>
      </c>
      <c r="F334" t="s">
        <v>3107</v>
      </c>
      <c r="G334" t="s">
        <v>4022</v>
      </c>
    </row>
    <row r="335" spans="1:7" ht="11.25" customHeight="1">
      <c r="A335" t="s">
        <v>14</v>
      </c>
      <c r="B335" t="s">
        <v>4015</v>
      </c>
      <c r="C335" t="s">
        <v>4016</v>
      </c>
      <c r="D335" t="s">
        <v>4023</v>
      </c>
      <c r="E335" t="s">
        <v>4024</v>
      </c>
      <c r="F335" t="s">
        <v>3107</v>
      </c>
      <c r="G335" t="s">
        <v>4025</v>
      </c>
    </row>
    <row r="336" spans="1:7" ht="11.25" customHeight="1">
      <c r="A336" t="s">
        <v>14</v>
      </c>
      <c r="B336" t="s">
        <v>4015</v>
      </c>
      <c r="C336" t="s">
        <v>4016</v>
      </c>
      <c r="D336" t="s">
        <v>4026</v>
      </c>
      <c r="E336" t="s">
        <v>4027</v>
      </c>
      <c r="F336" t="s">
        <v>3107</v>
      </c>
      <c r="G336" t="s">
        <v>4028</v>
      </c>
    </row>
    <row r="337" spans="1:7" ht="11.25" customHeight="1">
      <c r="A337" t="s">
        <v>14</v>
      </c>
      <c r="B337" t="s">
        <v>4015</v>
      </c>
      <c r="C337" t="s">
        <v>4016</v>
      </c>
      <c r="D337" t="s">
        <v>4029</v>
      </c>
      <c r="E337" t="s">
        <v>4030</v>
      </c>
      <c r="F337" t="s">
        <v>3107</v>
      </c>
      <c r="G337" t="s">
        <v>4031</v>
      </c>
    </row>
    <row r="338" spans="1:7" ht="11.25" customHeight="1">
      <c r="A338" t="s">
        <v>14</v>
      </c>
      <c r="B338" t="s">
        <v>4015</v>
      </c>
      <c r="C338" t="s">
        <v>4016</v>
      </c>
      <c r="D338" t="s">
        <v>4015</v>
      </c>
      <c r="E338" t="s">
        <v>4016</v>
      </c>
      <c r="F338" t="s">
        <v>3104</v>
      </c>
      <c r="G338" t="s">
        <v>4032</v>
      </c>
    </row>
    <row r="339" spans="1:7" ht="11.25" customHeight="1">
      <c r="A339" t="s">
        <v>14</v>
      </c>
      <c r="B339" t="s">
        <v>4015</v>
      </c>
      <c r="C339" t="s">
        <v>4016</v>
      </c>
      <c r="D339" t="s">
        <v>4033</v>
      </c>
      <c r="E339" t="s">
        <v>4034</v>
      </c>
      <c r="F339" t="s">
        <v>3107</v>
      </c>
      <c r="G339" t="s">
        <v>4035</v>
      </c>
    </row>
    <row r="340" spans="1:7" ht="11.25" customHeight="1">
      <c r="A340" t="s">
        <v>14</v>
      </c>
      <c r="B340" t="s">
        <v>4036</v>
      </c>
      <c r="C340" t="s">
        <v>4037</v>
      </c>
      <c r="D340" t="s">
        <v>4036</v>
      </c>
      <c r="E340" t="s">
        <v>4037</v>
      </c>
      <c r="F340" t="s">
        <v>3101</v>
      </c>
      <c r="G340" t="s">
        <v>4038</v>
      </c>
    </row>
    <row r="341" spans="1:7" ht="11.25" customHeight="1">
      <c r="A341" t="s">
        <v>14</v>
      </c>
      <c r="B341" t="s">
        <v>4039</v>
      </c>
      <c r="C341" t="s">
        <v>4040</v>
      </c>
      <c r="D341" t="s">
        <v>3663</v>
      </c>
      <c r="E341" t="s">
        <v>4041</v>
      </c>
      <c r="F341" t="s">
        <v>3107</v>
      </c>
      <c r="G341" t="s">
        <v>4042</v>
      </c>
    </row>
    <row r="342" spans="1:7" ht="11.25" customHeight="1">
      <c r="A342" t="s">
        <v>14</v>
      </c>
      <c r="B342" t="s">
        <v>4039</v>
      </c>
      <c r="C342" t="s">
        <v>4040</v>
      </c>
      <c r="D342" t="s">
        <v>4043</v>
      </c>
      <c r="E342" t="s">
        <v>4044</v>
      </c>
      <c r="F342" t="s">
        <v>3107</v>
      </c>
      <c r="G342" t="s">
        <v>4045</v>
      </c>
    </row>
    <row r="343" spans="1:7" ht="11.25" customHeight="1">
      <c r="A343" t="s">
        <v>14</v>
      </c>
      <c r="B343" t="s">
        <v>4039</v>
      </c>
      <c r="C343" t="s">
        <v>4040</v>
      </c>
      <c r="D343" t="s">
        <v>4046</v>
      </c>
      <c r="E343" t="s">
        <v>4047</v>
      </c>
      <c r="F343" t="s">
        <v>3107</v>
      </c>
      <c r="G343" t="s">
        <v>4048</v>
      </c>
    </row>
    <row r="344" spans="1:7" ht="11.25" customHeight="1">
      <c r="A344" t="s">
        <v>14</v>
      </c>
      <c r="B344" t="s">
        <v>4039</v>
      </c>
      <c r="C344" t="s">
        <v>4040</v>
      </c>
      <c r="D344" t="s">
        <v>4049</v>
      </c>
      <c r="E344" t="s">
        <v>4050</v>
      </c>
      <c r="F344" t="s">
        <v>3107</v>
      </c>
      <c r="G344" t="s">
        <v>4051</v>
      </c>
    </row>
    <row r="345" spans="1:7" ht="11.25" customHeight="1">
      <c r="A345" t="s">
        <v>14</v>
      </c>
      <c r="B345" t="s">
        <v>4039</v>
      </c>
      <c r="C345" t="s">
        <v>4040</v>
      </c>
      <c r="D345" t="s">
        <v>4052</v>
      </c>
      <c r="E345" t="s">
        <v>4053</v>
      </c>
      <c r="F345" t="s">
        <v>3107</v>
      </c>
      <c r="G345" t="s">
        <v>4054</v>
      </c>
    </row>
    <row r="346" spans="1:7" ht="11.25" customHeight="1">
      <c r="A346" t="s">
        <v>14</v>
      </c>
      <c r="B346" t="s">
        <v>4039</v>
      </c>
      <c r="C346" t="s">
        <v>4040</v>
      </c>
      <c r="D346" t="s">
        <v>4055</v>
      </c>
      <c r="E346" t="s">
        <v>4056</v>
      </c>
      <c r="F346" t="s">
        <v>3107</v>
      </c>
      <c r="G346" t="s">
        <v>4057</v>
      </c>
    </row>
    <row r="347" spans="1:7" ht="11.25" customHeight="1">
      <c r="A347" t="s">
        <v>14</v>
      </c>
      <c r="B347" t="s">
        <v>4039</v>
      </c>
      <c r="C347" t="s">
        <v>4040</v>
      </c>
      <c r="D347" t="s">
        <v>4058</v>
      </c>
      <c r="E347" t="s">
        <v>4059</v>
      </c>
      <c r="F347" t="s">
        <v>3107</v>
      </c>
      <c r="G347" t="s">
        <v>4060</v>
      </c>
    </row>
    <row r="348" spans="1:7" ht="11.25" customHeight="1">
      <c r="A348" t="s">
        <v>14</v>
      </c>
      <c r="B348" t="s">
        <v>4039</v>
      </c>
      <c r="C348" t="s">
        <v>4040</v>
      </c>
      <c r="D348" t="s">
        <v>4061</v>
      </c>
      <c r="E348" t="s">
        <v>4062</v>
      </c>
      <c r="F348" t="s">
        <v>3107</v>
      </c>
      <c r="G348" t="s">
        <v>4063</v>
      </c>
    </row>
    <row r="349" spans="1:7" ht="11.25" customHeight="1">
      <c r="A349" t="s">
        <v>14</v>
      </c>
      <c r="B349" t="s">
        <v>4039</v>
      </c>
      <c r="C349" t="s">
        <v>4040</v>
      </c>
      <c r="D349" t="s">
        <v>4064</v>
      </c>
      <c r="E349" t="s">
        <v>4065</v>
      </c>
      <c r="F349" t="s">
        <v>3107</v>
      </c>
      <c r="G349" t="s">
        <v>4066</v>
      </c>
    </row>
    <row r="350" spans="1:7" ht="11.25" customHeight="1">
      <c r="A350" t="s">
        <v>14</v>
      </c>
      <c r="B350" t="s">
        <v>4039</v>
      </c>
      <c r="C350" t="s">
        <v>4040</v>
      </c>
      <c r="D350" t="s">
        <v>4067</v>
      </c>
      <c r="E350" t="s">
        <v>4068</v>
      </c>
      <c r="F350" t="s">
        <v>3107</v>
      </c>
      <c r="G350" t="s">
        <v>4069</v>
      </c>
    </row>
    <row r="351" spans="1:7" ht="11.25" customHeight="1">
      <c r="A351" t="s">
        <v>14</v>
      </c>
      <c r="B351" t="s">
        <v>4039</v>
      </c>
      <c r="C351" t="s">
        <v>4040</v>
      </c>
      <c r="D351" t="s">
        <v>4070</v>
      </c>
      <c r="E351" t="s">
        <v>4071</v>
      </c>
      <c r="F351" t="s">
        <v>3107</v>
      </c>
      <c r="G351" t="s">
        <v>4072</v>
      </c>
    </row>
    <row r="352" spans="1:7" ht="11.25" customHeight="1">
      <c r="A352" t="s">
        <v>14</v>
      </c>
      <c r="B352" t="s">
        <v>4039</v>
      </c>
      <c r="C352" t="s">
        <v>4040</v>
      </c>
      <c r="D352" t="s">
        <v>4039</v>
      </c>
      <c r="E352" t="s">
        <v>4040</v>
      </c>
      <c r="F352" t="s">
        <v>3104</v>
      </c>
      <c r="G352" t="s">
        <v>4073</v>
      </c>
    </row>
    <row r="353" spans="1:7" ht="11.25" customHeight="1">
      <c r="A353" t="s">
        <v>14</v>
      </c>
      <c r="B353" t="s">
        <v>4074</v>
      </c>
      <c r="C353" t="s">
        <v>4075</v>
      </c>
      <c r="D353" t="s">
        <v>4074</v>
      </c>
      <c r="E353" t="s">
        <v>4075</v>
      </c>
      <c r="F353" t="s">
        <v>3101</v>
      </c>
      <c r="G353" t="s">
        <v>4076</v>
      </c>
    </row>
    <row r="354" spans="1:7" ht="11.25" customHeight="1">
      <c r="A354" t="s">
        <v>14</v>
      </c>
      <c r="B354" t="s">
        <v>4077</v>
      </c>
      <c r="C354" t="s">
        <v>4078</v>
      </c>
      <c r="D354" t="s">
        <v>4079</v>
      </c>
      <c r="E354" t="s">
        <v>4080</v>
      </c>
      <c r="F354" t="s">
        <v>3107</v>
      </c>
      <c r="G354" t="s">
        <v>4081</v>
      </c>
    </row>
    <row r="355" spans="1:7" ht="11.25" customHeight="1">
      <c r="A355" t="s">
        <v>14</v>
      </c>
      <c r="B355" t="s">
        <v>4077</v>
      </c>
      <c r="C355" t="s">
        <v>4078</v>
      </c>
      <c r="D355" t="s">
        <v>4082</v>
      </c>
      <c r="E355" t="s">
        <v>4083</v>
      </c>
      <c r="F355" t="s">
        <v>3209</v>
      </c>
      <c r="G355" t="s">
        <v>4084</v>
      </c>
    </row>
    <row r="356" spans="1:7" ht="11.25" customHeight="1">
      <c r="A356" t="s">
        <v>14</v>
      </c>
      <c r="B356" t="s">
        <v>4077</v>
      </c>
      <c r="C356" t="s">
        <v>4078</v>
      </c>
      <c r="D356" t="s">
        <v>4085</v>
      </c>
      <c r="E356" t="s">
        <v>4086</v>
      </c>
      <c r="F356" t="s">
        <v>3107</v>
      </c>
      <c r="G356" t="s">
        <v>4087</v>
      </c>
    </row>
    <row r="357" spans="1:7" ht="11.25" customHeight="1">
      <c r="A357" t="s">
        <v>14</v>
      </c>
      <c r="B357" t="s">
        <v>4077</v>
      </c>
      <c r="C357" t="s">
        <v>4078</v>
      </c>
      <c r="D357" t="s">
        <v>4088</v>
      </c>
      <c r="E357" t="s">
        <v>4089</v>
      </c>
      <c r="F357" t="s">
        <v>3107</v>
      </c>
      <c r="G357" t="s">
        <v>4090</v>
      </c>
    </row>
    <row r="358" spans="1:7" ht="11.25" customHeight="1">
      <c r="A358" t="s">
        <v>14</v>
      </c>
      <c r="B358" t="s">
        <v>4077</v>
      </c>
      <c r="C358" t="s">
        <v>4078</v>
      </c>
      <c r="D358" t="s">
        <v>3128</v>
      </c>
      <c r="E358" t="s">
        <v>4091</v>
      </c>
      <c r="F358" t="s">
        <v>3107</v>
      </c>
      <c r="G358" t="s">
        <v>4092</v>
      </c>
    </row>
    <row r="359" spans="1:7" ht="11.25" customHeight="1">
      <c r="A359" t="s">
        <v>14</v>
      </c>
      <c r="B359" t="s">
        <v>4077</v>
      </c>
      <c r="C359" t="s">
        <v>4078</v>
      </c>
      <c r="D359" t="s">
        <v>4093</v>
      </c>
      <c r="E359" t="s">
        <v>4094</v>
      </c>
      <c r="F359" t="s">
        <v>3107</v>
      </c>
      <c r="G359" t="s">
        <v>4095</v>
      </c>
    </row>
    <row r="360" spans="1:7" ht="11.25" customHeight="1">
      <c r="A360" t="s">
        <v>14</v>
      </c>
      <c r="B360" t="s">
        <v>4077</v>
      </c>
      <c r="C360" t="s">
        <v>4078</v>
      </c>
      <c r="D360" t="s">
        <v>4096</v>
      </c>
      <c r="E360" t="s">
        <v>4097</v>
      </c>
      <c r="F360" t="s">
        <v>3107</v>
      </c>
      <c r="G360" t="s">
        <v>4098</v>
      </c>
    </row>
    <row r="361" spans="1:7" ht="11.25" customHeight="1">
      <c r="A361" t="s">
        <v>14</v>
      </c>
      <c r="B361" t="s">
        <v>4077</v>
      </c>
      <c r="C361" t="s">
        <v>4078</v>
      </c>
      <c r="D361" t="s">
        <v>4099</v>
      </c>
      <c r="E361" t="s">
        <v>4100</v>
      </c>
      <c r="F361" t="s">
        <v>3107</v>
      </c>
      <c r="G361" t="s">
        <v>4101</v>
      </c>
    </row>
    <row r="362" spans="1:7" ht="11.25" customHeight="1">
      <c r="A362" t="s">
        <v>14</v>
      </c>
      <c r="B362" t="s">
        <v>4077</v>
      </c>
      <c r="C362" t="s">
        <v>4078</v>
      </c>
      <c r="D362" t="s">
        <v>4102</v>
      </c>
      <c r="E362" t="s">
        <v>4103</v>
      </c>
      <c r="F362" t="s">
        <v>3107</v>
      </c>
      <c r="G362" t="s">
        <v>4104</v>
      </c>
    </row>
    <row r="363" spans="1:7" ht="11.25" customHeight="1">
      <c r="A363" t="s">
        <v>14</v>
      </c>
      <c r="B363" t="s">
        <v>4077</v>
      </c>
      <c r="C363" t="s">
        <v>4078</v>
      </c>
      <c r="D363" t="s">
        <v>4105</v>
      </c>
      <c r="E363" t="s">
        <v>4106</v>
      </c>
      <c r="F363" t="s">
        <v>3107</v>
      </c>
      <c r="G363" t="s">
        <v>4107</v>
      </c>
    </row>
    <row r="364" spans="1:7" ht="11.25" customHeight="1">
      <c r="A364" t="s">
        <v>14</v>
      </c>
      <c r="B364" t="s">
        <v>4077</v>
      </c>
      <c r="C364" t="s">
        <v>4078</v>
      </c>
      <c r="D364" t="s">
        <v>4108</v>
      </c>
      <c r="E364" t="s">
        <v>4109</v>
      </c>
      <c r="F364" t="s">
        <v>3107</v>
      </c>
      <c r="G364" t="s">
        <v>4110</v>
      </c>
    </row>
    <row r="365" spans="1:7" ht="11.25" customHeight="1">
      <c r="A365" t="s">
        <v>14</v>
      </c>
      <c r="B365" t="s">
        <v>4077</v>
      </c>
      <c r="C365" t="s">
        <v>4078</v>
      </c>
      <c r="D365" t="s">
        <v>4111</v>
      </c>
      <c r="E365" t="s">
        <v>4112</v>
      </c>
      <c r="F365" t="s">
        <v>3107</v>
      </c>
      <c r="G365" t="s">
        <v>4113</v>
      </c>
    </row>
    <row r="366" spans="1:7" ht="11.25" customHeight="1">
      <c r="A366" t="s">
        <v>14</v>
      </c>
      <c r="B366" t="s">
        <v>4077</v>
      </c>
      <c r="C366" t="s">
        <v>4078</v>
      </c>
      <c r="D366" t="s">
        <v>4077</v>
      </c>
      <c r="E366" t="s">
        <v>4078</v>
      </c>
      <c r="F366" t="s">
        <v>3104</v>
      </c>
      <c r="G366" t="s">
        <v>4114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140625" defaultRowHeight="11.25" customHeight="1"/>
  <cols>
    <col min="1" max="4" width="9.140625" style="1610"/>
  </cols>
  <sheetData>
    <row r="1" spans="1:4" ht="11.25" customHeight="1">
      <c r="A1" s="749" t="s">
        <v>4115</v>
      </c>
      <c r="B1" s="749" t="s">
        <v>4116</v>
      </c>
      <c r="C1" s="749" t="s">
        <v>4117</v>
      </c>
      <c r="D1" s="749" t="s">
        <v>4118</v>
      </c>
    </row>
    <row r="2" spans="1:4" ht="11.25" customHeight="1">
      <c r="A2" s="1610" t="s">
        <v>129</v>
      </c>
      <c r="B2" s="1610" t="s">
        <v>4119</v>
      </c>
      <c r="C2" s="1610" t="s">
        <v>4120</v>
      </c>
      <c r="D2" s="1610" t="s">
        <v>4121</v>
      </c>
    </row>
    <row r="3" spans="1:4" ht="11.25" customHeight="1">
      <c r="A3" s="1610" t="s">
        <v>102</v>
      </c>
      <c r="B3" s="1610" t="s">
        <v>4122</v>
      </c>
      <c r="C3" s="1610" t="s">
        <v>4123</v>
      </c>
      <c r="D3" s="1610" t="s">
        <v>4124</v>
      </c>
    </row>
    <row r="4" spans="1:4" ht="11.25" customHeight="1">
      <c r="A4" s="1610" t="s">
        <v>88</v>
      </c>
      <c r="B4" s="1610" t="s">
        <v>4125</v>
      </c>
      <c r="C4" s="1610" t="s">
        <v>4123</v>
      </c>
      <c r="D4" s="1610" t="s">
        <v>4124</v>
      </c>
    </row>
    <row r="5" spans="1:4" ht="11.25" customHeight="1">
      <c r="A5" s="1610" t="s">
        <v>89</v>
      </c>
      <c r="B5" s="1610" t="s">
        <v>4126</v>
      </c>
      <c r="C5" s="1610" t="s">
        <v>4123</v>
      </c>
      <c r="D5" s="1610" t="s">
        <v>4124</v>
      </c>
    </row>
    <row r="6" spans="1:4" ht="11.25" customHeight="1">
      <c r="A6" s="1610" t="s">
        <v>117</v>
      </c>
      <c r="B6" s="1610" t="s">
        <v>4127</v>
      </c>
      <c r="C6" s="1610" t="s">
        <v>4128</v>
      </c>
      <c r="D6" s="1610" t="s">
        <v>4121</v>
      </c>
    </row>
    <row r="7" spans="1:4" ht="11.25" customHeight="1">
      <c r="A7" s="1610" t="s">
        <v>90</v>
      </c>
      <c r="B7" s="1610" t="s">
        <v>4129</v>
      </c>
      <c r="C7" s="1610" t="s">
        <v>4130</v>
      </c>
      <c r="D7" s="1610" t="s">
        <v>4121</v>
      </c>
    </row>
    <row r="8" spans="1:4" ht="11.25" customHeight="1">
      <c r="A8" s="1610" t="s">
        <v>91</v>
      </c>
      <c r="B8" s="1610" t="s">
        <v>4131</v>
      </c>
      <c r="C8" s="1610" t="s">
        <v>4132</v>
      </c>
      <c r="D8" s="1610" t="s">
        <v>4133</v>
      </c>
    </row>
    <row r="9" spans="1:4" ht="11.25" customHeight="1">
      <c r="A9" s="1610" t="s">
        <v>130</v>
      </c>
      <c r="B9" s="1610" t="s">
        <v>4134</v>
      </c>
      <c r="C9" s="1610" t="s">
        <v>4132</v>
      </c>
      <c r="D9" s="1610" t="s">
        <v>4133</v>
      </c>
    </row>
    <row r="10" spans="1:4" ht="11.25" customHeight="1">
      <c r="A10" s="1610" t="s">
        <v>166</v>
      </c>
      <c r="B10" s="1610" t="s">
        <v>4135</v>
      </c>
      <c r="C10" s="1610" t="s">
        <v>4123</v>
      </c>
      <c r="D10" s="1610" t="s">
        <v>4124</v>
      </c>
    </row>
    <row r="11" spans="1:4" ht="11.25" customHeight="1">
      <c r="A11" s="1610" t="s">
        <v>167</v>
      </c>
      <c r="B11" s="1610" t="s">
        <v>4136</v>
      </c>
      <c r="C11" s="1610" t="s">
        <v>4130</v>
      </c>
      <c r="D11" s="1610" t="s">
        <v>4124</v>
      </c>
    </row>
    <row r="12" spans="1:4" ht="11.25" customHeight="1">
      <c r="A12" s="1610" t="s">
        <v>168</v>
      </c>
      <c r="B12" s="1610" t="s">
        <v>4137</v>
      </c>
      <c r="C12" s="1610" t="s">
        <v>4130</v>
      </c>
      <c r="D12" s="1610" t="s">
        <v>4138</v>
      </c>
    </row>
    <row r="13" spans="1:4" ht="11.25" customHeight="1">
      <c r="A13" s="1610" t="s">
        <v>169</v>
      </c>
      <c r="B13" s="1610" t="s">
        <v>4139</v>
      </c>
      <c r="C13" s="1610" t="s">
        <v>4140</v>
      </c>
      <c r="D13" s="1610" t="s">
        <v>4124</v>
      </c>
    </row>
    <row r="14" spans="1:4" ht="11.25" customHeight="1">
      <c r="A14" s="1610" t="s">
        <v>170</v>
      </c>
      <c r="B14" s="1610" t="s">
        <v>4141</v>
      </c>
      <c r="C14" s="1610" t="s">
        <v>4140</v>
      </c>
      <c r="D14" s="1610" t="s">
        <v>4124</v>
      </c>
    </row>
    <row r="15" spans="1:4" ht="11.25" customHeight="1">
      <c r="A15" s="1610" t="s">
        <v>171</v>
      </c>
      <c r="B15" s="1610" t="s">
        <v>4142</v>
      </c>
      <c r="C15" s="1610" t="s">
        <v>4130</v>
      </c>
      <c r="D15" s="1610" t="s">
        <v>4133</v>
      </c>
    </row>
    <row r="16" spans="1:4" ht="11.25" customHeight="1">
      <c r="A16" s="1610" t="s">
        <v>1636</v>
      </c>
      <c r="B16" s="1610" t="s">
        <v>4143</v>
      </c>
      <c r="C16" s="1610" t="s">
        <v>4132</v>
      </c>
      <c r="D16" s="1610" t="s">
        <v>4133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6"/>
  <sheetViews>
    <sheetView showGridLines="0" workbookViewId="0"/>
  </sheetViews>
  <sheetFormatPr defaultColWidth="9.140625" defaultRowHeight="11.25" customHeight="1"/>
  <cols>
    <col min="1" max="2" width="9.140625" style="101"/>
  </cols>
  <sheetData>
    <row r="1" spans="1:2" ht="11.25" customHeight="1">
      <c r="A1" s="101" t="s">
        <v>148</v>
      </c>
      <c r="B1" s="101" t="s">
        <v>4144</v>
      </c>
    </row>
    <row r="2" spans="1:2" ht="11.25" customHeight="1">
      <c r="A2" s="101" t="s">
        <v>96</v>
      </c>
      <c r="B2" s="101" t="s">
        <v>4145</v>
      </c>
    </row>
    <row r="3" spans="1:2" ht="11.25" customHeight="1">
      <c r="A3" s="101" t="s">
        <v>104</v>
      </c>
      <c r="B3" s="101" t="s">
        <v>4146</v>
      </c>
    </row>
    <row r="4" spans="1:2" ht="11.25" customHeight="1">
      <c r="A4" s="101" t="s">
        <v>108</v>
      </c>
      <c r="B4" s="101" t="s">
        <v>4147</v>
      </c>
    </row>
    <row r="5" spans="1:2" ht="11.25" customHeight="1">
      <c r="A5" s="101" t="s">
        <v>112</v>
      </c>
      <c r="B5" s="101" t="s">
        <v>4148</v>
      </c>
    </row>
    <row r="6" spans="1:2" ht="11.25" customHeight="1">
      <c r="A6" s="101" t="s">
        <v>118</v>
      </c>
      <c r="B6" s="101" t="s">
        <v>4149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4150</v>
      </c>
      <c r="B1" s="749" t="s">
        <v>4151</v>
      </c>
    </row>
    <row r="2" spans="1:2" ht="11.25" customHeight="1">
      <c r="A2" s="749">
        <v>4213775</v>
      </c>
      <c r="B2" s="749" t="s">
        <v>1394</v>
      </c>
    </row>
    <row r="3" spans="1:2" ht="11.25" customHeight="1">
      <c r="A3" s="749">
        <v>4213784</v>
      </c>
      <c r="B3" s="749" t="s">
        <v>1429</v>
      </c>
    </row>
    <row r="4" spans="1:2" ht="11.25" customHeight="1">
      <c r="A4" s="749">
        <v>4213781</v>
      </c>
      <c r="B4" s="749" t="s">
        <v>1422</v>
      </c>
    </row>
    <row r="5" spans="1:2" ht="11.25" customHeight="1">
      <c r="A5" s="749">
        <v>4213776</v>
      </c>
      <c r="B5" s="749" t="s">
        <v>184</v>
      </c>
    </row>
    <row r="6" spans="1:2" ht="11.25" customHeight="1">
      <c r="A6" s="749">
        <v>4213777</v>
      </c>
      <c r="B6" s="749" t="s">
        <v>190</v>
      </c>
    </row>
    <row r="7" spans="1:2" ht="11.25" customHeight="1">
      <c r="A7" s="749">
        <v>4213778</v>
      </c>
      <c r="B7" s="749" t="s">
        <v>196</v>
      </c>
    </row>
    <row r="8" spans="1:2" ht="11.25" customHeight="1">
      <c r="A8" s="749">
        <v>4213780</v>
      </c>
      <c r="B8" s="749" t="s">
        <v>202</v>
      </c>
    </row>
    <row r="9" spans="1:2" ht="11.25" customHeight="1">
      <c r="A9" s="749">
        <v>4213779</v>
      </c>
      <c r="B9" s="749" t="s">
        <v>1561</v>
      </c>
    </row>
    <row r="10" spans="1:2" ht="11.25" customHeight="1">
      <c r="A10" s="749">
        <v>4213783</v>
      </c>
      <c r="B10" s="749" t="s">
        <v>1576</v>
      </c>
    </row>
    <row r="11" spans="1:2" ht="11.25" customHeight="1">
      <c r="A11" s="749">
        <v>4213782</v>
      </c>
      <c r="B11" s="749" t="s">
        <v>208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4150</v>
      </c>
      <c r="B1" s="749" t="s">
        <v>4152</v>
      </c>
    </row>
    <row r="2" spans="1:2" ht="11.25" customHeight="1">
      <c r="A2" s="749" t="s">
        <v>4153</v>
      </c>
      <c r="B2" s="749" t="s">
        <v>1674</v>
      </c>
    </row>
    <row r="3" spans="1:2" ht="11.25" customHeight="1">
      <c r="A3" s="749" t="s">
        <v>235</v>
      </c>
      <c r="B3" s="749" t="s">
        <v>1684</v>
      </c>
    </row>
    <row r="4" spans="1:2" ht="11.25" customHeight="1">
      <c r="A4" s="749" t="s">
        <v>4154</v>
      </c>
      <c r="B4" s="749" t="s">
        <v>1693</v>
      </c>
    </row>
    <row r="5" spans="1:2" ht="11.25" customHeight="1">
      <c r="A5" s="749" t="s">
        <v>4155</v>
      </c>
      <c r="B5" s="749" t="s">
        <v>1702</v>
      </c>
    </row>
    <row r="6" spans="1:2" ht="11.25" customHeight="1">
      <c r="A6" s="749" t="s">
        <v>4156</v>
      </c>
      <c r="B6" s="749" t="s">
        <v>1708</v>
      </c>
    </row>
    <row r="7" spans="1:2" ht="11.25" customHeight="1">
      <c r="A7" s="749" t="s">
        <v>4157</v>
      </c>
      <c r="B7" s="749" t="s">
        <v>1716</v>
      </c>
    </row>
    <row r="8" spans="1:2" ht="11.25" customHeight="1">
      <c r="A8" s="749" t="s">
        <v>4158</v>
      </c>
      <c r="B8" s="749" t="s">
        <v>1723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4"/>
  <sheetViews>
    <sheetView showGridLines="0" workbookViewId="0"/>
  </sheetViews>
  <sheetFormatPr defaultRowHeight="11.25" customHeight="1"/>
  <sheetData>
    <row r="1" spans="1:7" ht="11.25" customHeight="1">
      <c r="A1" t="s">
        <v>3092</v>
      </c>
      <c r="B1" t="s">
        <v>3093</v>
      </c>
      <c r="C1" t="s">
        <v>3094</v>
      </c>
      <c r="D1" t="s">
        <v>3095</v>
      </c>
      <c r="E1" t="s">
        <v>3096</v>
      </c>
      <c r="F1" t="s">
        <v>3097</v>
      </c>
      <c r="G1" t="s">
        <v>3098</v>
      </c>
    </row>
    <row r="2" spans="1:7" ht="11.25" customHeight="1">
      <c r="A2" t="s">
        <v>14</v>
      </c>
      <c r="B2" t="s">
        <v>3099</v>
      </c>
      <c r="C2" t="s">
        <v>3100</v>
      </c>
      <c r="D2" t="s">
        <v>3099</v>
      </c>
      <c r="E2" t="s">
        <v>3100</v>
      </c>
      <c r="F2" t="s">
        <v>3101</v>
      </c>
      <c r="G2" t="s">
        <v>129</v>
      </c>
    </row>
    <row r="3" spans="1:7" ht="11.25" customHeight="1">
      <c r="A3" t="s">
        <v>14</v>
      </c>
      <c r="B3" t="s">
        <v>3102</v>
      </c>
      <c r="C3" t="s">
        <v>3103</v>
      </c>
      <c r="D3" t="s">
        <v>3102</v>
      </c>
      <c r="E3" t="s">
        <v>3103</v>
      </c>
      <c r="F3" t="s">
        <v>3104</v>
      </c>
      <c r="G3" t="s">
        <v>102</v>
      </c>
    </row>
    <row r="4" spans="1:7" ht="11.25" customHeight="1">
      <c r="A4" t="s">
        <v>14</v>
      </c>
      <c r="B4" t="s">
        <v>3102</v>
      </c>
      <c r="C4" t="s">
        <v>3103</v>
      </c>
      <c r="D4" t="s">
        <v>3105</v>
      </c>
      <c r="E4" t="s">
        <v>3106</v>
      </c>
      <c r="F4" t="s">
        <v>3107</v>
      </c>
      <c r="G4" t="s">
        <v>88</v>
      </c>
    </row>
    <row r="5" spans="1:7" ht="11.25" customHeight="1">
      <c r="A5" t="s">
        <v>14</v>
      </c>
      <c r="B5" t="s">
        <v>3102</v>
      </c>
      <c r="C5" t="s">
        <v>3103</v>
      </c>
      <c r="D5" t="s">
        <v>3108</v>
      </c>
      <c r="E5" t="s">
        <v>3109</v>
      </c>
      <c r="F5" t="s">
        <v>3107</v>
      </c>
      <c r="G5" t="s">
        <v>89</v>
      </c>
    </row>
    <row r="6" spans="1:7" ht="11.25" customHeight="1">
      <c r="A6" t="s">
        <v>14</v>
      </c>
      <c r="B6" t="s">
        <v>3102</v>
      </c>
      <c r="C6" t="s">
        <v>3103</v>
      </c>
      <c r="D6" t="s">
        <v>3110</v>
      </c>
      <c r="E6" t="s">
        <v>3111</v>
      </c>
      <c r="F6" t="s">
        <v>3107</v>
      </c>
      <c r="G6" t="s">
        <v>117</v>
      </c>
    </row>
    <row r="7" spans="1:7" ht="11.25" customHeight="1">
      <c r="A7" t="s">
        <v>14</v>
      </c>
      <c r="B7" t="s">
        <v>3102</v>
      </c>
      <c r="C7" t="s">
        <v>3103</v>
      </c>
      <c r="D7" t="s">
        <v>3112</v>
      </c>
      <c r="E7" t="s">
        <v>3113</v>
      </c>
      <c r="F7" t="s">
        <v>3107</v>
      </c>
      <c r="G7" t="s">
        <v>90</v>
      </c>
    </row>
    <row r="8" spans="1:7" ht="11.25" customHeight="1">
      <c r="A8" t="s">
        <v>14</v>
      </c>
      <c r="B8" t="s">
        <v>3102</v>
      </c>
      <c r="C8" t="s">
        <v>3103</v>
      </c>
      <c r="D8" t="s">
        <v>3114</v>
      </c>
      <c r="E8" t="s">
        <v>3115</v>
      </c>
      <c r="F8" t="s">
        <v>3107</v>
      </c>
      <c r="G8" t="s">
        <v>91</v>
      </c>
    </row>
    <row r="9" spans="1:7" ht="11.25" customHeight="1">
      <c r="A9" t="s">
        <v>14</v>
      </c>
      <c r="B9" t="s">
        <v>3102</v>
      </c>
      <c r="C9" t="s">
        <v>3103</v>
      </c>
      <c r="D9" t="s">
        <v>3116</v>
      </c>
      <c r="E9" t="s">
        <v>3117</v>
      </c>
      <c r="F9" t="s">
        <v>3107</v>
      </c>
      <c r="G9" t="s">
        <v>130</v>
      </c>
    </row>
    <row r="10" spans="1:7" ht="11.25" customHeight="1">
      <c r="A10" t="s">
        <v>14</v>
      </c>
      <c r="B10" t="s">
        <v>3102</v>
      </c>
      <c r="C10" t="s">
        <v>3103</v>
      </c>
      <c r="D10" t="s">
        <v>3118</v>
      </c>
      <c r="E10" t="s">
        <v>3119</v>
      </c>
      <c r="F10" t="s">
        <v>3107</v>
      </c>
      <c r="G10" t="s">
        <v>166</v>
      </c>
    </row>
    <row r="11" spans="1:7" ht="11.25" customHeight="1">
      <c r="A11" t="s">
        <v>14</v>
      </c>
      <c r="B11" t="s">
        <v>3102</v>
      </c>
      <c r="C11" t="s">
        <v>3103</v>
      </c>
      <c r="D11" t="s">
        <v>3120</v>
      </c>
      <c r="E11" t="s">
        <v>3121</v>
      </c>
      <c r="F11" t="s">
        <v>3107</v>
      </c>
      <c r="G11" t="s">
        <v>167</v>
      </c>
    </row>
    <row r="12" spans="1:7" ht="11.25" customHeight="1">
      <c r="A12" t="s">
        <v>14</v>
      </c>
      <c r="B12" t="s">
        <v>3122</v>
      </c>
      <c r="C12" t="s">
        <v>3123</v>
      </c>
      <c r="D12" t="s">
        <v>3122</v>
      </c>
      <c r="E12" t="s">
        <v>3123</v>
      </c>
      <c r="F12" t="s">
        <v>3101</v>
      </c>
      <c r="G12" t="s">
        <v>168</v>
      </c>
    </row>
    <row r="13" spans="1:7" ht="11.25" customHeight="1">
      <c r="A13" t="s">
        <v>14</v>
      </c>
      <c r="B13" t="s">
        <v>3124</v>
      </c>
      <c r="C13" t="s">
        <v>3125</v>
      </c>
      <c r="D13" t="s">
        <v>3124</v>
      </c>
      <c r="E13" t="s">
        <v>3125</v>
      </c>
      <c r="F13" t="s">
        <v>3104</v>
      </c>
      <c r="G13" t="s">
        <v>169</v>
      </c>
    </row>
    <row r="14" spans="1:7" ht="11.25" customHeight="1">
      <c r="A14" t="s">
        <v>14</v>
      </c>
      <c r="B14" t="s">
        <v>3124</v>
      </c>
      <c r="C14" t="s">
        <v>3125</v>
      </c>
      <c r="D14" t="s">
        <v>3126</v>
      </c>
      <c r="E14" t="s">
        <v>3127</v>
      </c>
      <c r="F14" t="s">
        <v>3107</v>
      </c>
      <c r="G14" t="s">
        <v>170</v>
      </c>
    </row>
    <row r="15" spans="1:7" ht="11.25" customHeight="1">
      <c r="A15" t="s">
        <v>14</v>
      </c>
      <c r="B15" t="s">
        <v>3124</v>
      </c>
      <c r="C15" t="s">
        <v>3125</v>
      </c>
      <c r="D15" t="s">
        <v>3128</v>
      </c>
      <c r="E15" t="s">
        <v>3129</v>
      </c>
      <c r="F15" t="s">
        <v>3107</v>
      </c>
      <c r="G15" t="s">
        <v>171</v>
      </c>
    </row>
    <row r="16" spans="1:7" ht="11.25" customHeight="1">
      <c r="A16" t="s">
        <v>14</v>
      </c>
      <c r="B16" t="s">
        <v>3124</v>
      </c>
      <c r="C16" t="s">
        <v>3125</v>
      </c>
      <c r="D16" t="s">
        <v>3130</v>
      </c>
      <c r="E16" t="s">
        <v>3131</v>
      </c>
      <c r="F16" t="s">
        <v>3107</v>
      </c>
      <c r="G16" t="s">
        <v>1636</v>
      </c>
    </row>
    <row r="17" spans="1:7" ht="11.25" customHeight="1">
      <c r="A17" t="s">
        <v>14</v>
      </c>
      <c r="B17" t="s">
        <v>3124</v>
      </c>
      <c r="C17" t="s">
        <v>3125</v>
      </c>
      <c r="D17" t="s">
        <v>3132</v>
      </c>
      <c r="E17" t="s">
        <v>3133</v>
      </c>
      <c r="F17" t="s">
        <v>3107</v>
      </c>
      <c r="G17" t="s">
        <v>1642</v>
      </c>
    </row>
    <row r="18" spans="1:7" ht="11.25" customHeight="1">
      <c r="A18" t="s">
        <v>14</v>
      </c>
      <c r="B18" t="s">
        <v>3124</v>
      </c>
      <c r="C18" t="s">
        <v>3125</v>
      </c>
      <c r="D18" t="s">
        <v>3134</v>
      </c>
      <c r="E18" t="s">
        <v>3135</v>
      </c>
      <c r="F18" t="s">
        <v>3107</v>
      </c>
      <c r="G18" t="s">
        <v>1653</v>
      </c>
    </row>
    <row r="19" spans="1:7" ht="11.25" customHeight="1">
      <c r="A19" t="s">
        <v>14</v>
      </c>
      <c r="B19" t="s">
        <v>3124</v>
      </c>
      <c r="C19" t="s">
        <v>3125</v>
      </c>
      <c r="D19" t="s">
        <v>3136</v>
      </c>
      <c r="E19" t="s">
        <v>3137</v>
      </c>
      <c r="F19" t="s">
        <v>3107</v>
      </c>
      <c r="G19" t="s">
        <v>1667</v>
      </c>
    </row>
    <row r="20" spans="1:7" ht="11.25" customHeight="1">
      <c r="A20" t="s">
        <v>14</v>
      </c>
      <c r="B20" t="s">
        <v>3124</v>
      </c>
      <c r="C20" t="s">
        <v>3125</v>
      </c>
      <c r="D20" t="s">
        <v>3138</v>
      </c>
      <c r="E20" t="s">
        <v>3139</v>
      </c>
      <c r="F20" t="s">
        <v>3107</v>
      </c>
      <c r="G20" t="s">
        <v>1679</v>
      </c>
    </row>
    <row r="21" spans="1:7" ht="11.25" customHeight="1">
      <c r="A21" t="s">
        <v>14</v>
      </c>
      <c r="B21" t="s">
        <v>3124</v>
      </c>
      <c r="C21" t="s">
        <v>3125</v>
      </c>
      <c r="D21" t="s">
        <v>3140</v>
      </c>
      <c r="E21" t="s">
        <v>3141</v>
      </c>
      <c r="F21" t="s">
        <v>3107</v>
      </c>
      <c r="G21" t="s">
        <v>1688</v>
      </c>
    </row>
    <row r="22" spans="1:7" ht="11.25" customHeight="1">
      <c r="A22" t="s">
        <v>14</v>
      </c>
      <c r="B22" t="s">
        <v>3124</v>
      </c>
      <c r="C22" t="s">
        <v>3125</v>
      </c>
      <c r="D22" t="s">
        <v>3142</v>
      </c>
      <c r="E22" t="s">
        <v>3143</v>
      </c>
      <c r="F22" t="s">
        <v>3107</v>
      </c>
      <c r="G22" t="s">
        <v>1704</v>
      </c>
    </row>
    <row r="23" spans="1:7" ht="11.25" customHeight="1">
      <c r="A23" t="s">
        <v>14</v>
      </c>
      <c r="B23" t="s">
        <v>3124</v>
      </c>
      <c r="C23" t="s">
        <v>3125</v>
      </c>
      <c r="D23" t="s">
        <v>3144</v>
      </c>
      <c r="E23" t="s">
        <v>3145</v>
      </c>
      <c r="F23" t="s">
        <v>3107</v>
      </c>
      <c r="G23" t="s">
        <v>1711</v>
      </c>
    </row>
    <row r="24" spans="1:7" ht="11.25" customHeight="1">
      <c r="A24" t="s">
        <v>14</v>
      </c>
      <c r="B24" t="s">
        <v>3124</v>
      </c>
      <c r="C24" t="s">
        <v>3125</v>
      </c>
      <c r="D24" t="s">
        <v>3146</v>
      </c>
      <c r="E24" t="s">
        <v>3147</v>
      </c>
      <c r="F24" t="s">
        <v>3107</v>
      </c>
      <c r="G24" t="s">
        <v>1719</v>
      </c>
    </row>
    <row r="25" spans="1:7" ht="11.25" customHeight="1">
      <c r="A25" t="s">
        <v>14</v>
      </c>
      <c r="B25" t="s">
        <v>3148</v>
      </c>
      <c r="C25" t="s">
        <v>3149</v>
      </c>
      <c r="D25" t="s">
        <v>3148</v>
      </c>
      <c r="E25" t="s">
        <v>3149</v>
      </c>
      <c r="F25" t="s">
        <v>3101</v>
      </c>
      <c r="G25" t="s">
        <v>1726</v>
      </c>
    </row>
    <row r="26" spans="1:7" ht="11.25" customHeight="1">
      <c r="A26" t="s">
        <v>14</v>
      </c>
      <c r="B26" t="s">
        <v>3150</v>
      </c>
      <c r="C26" t="s">
        <v>3151</v>
      </c>
      <c r="D26" t="s">
        <v>3152</v>
      </c>
      <c r="E26" t="s">
        <v>3153</v>
      </c>
      <c r="F26" t="s">
        <v>3107</v>
      </c>
      <c r="G26" t="s">
        <v>1730</v>
      </c>
    </row>
    <row r="27" spans="1:7" ht="11.25" customHeight="1">
      <c r="A27" t="s">
        <v>14</v>
      </c>
      <c r="B27" t="s">
        <v>3150</v>
      </c>
      <c r="C27" t="s">
        <v>3151</v>
      </c>
      <c r="D27" t="s">
        <v>3150</v>
      </c>
      <c r="E27" t="s">
        <v>3151</v>
      </c>
      <c r="F27" t="s">
        <v>3104</v>
      </c>
      <c r="G27" t="s">
        <v>1735</v>
      </c>
    </row>
    <row r="28" spans="1:7" ht="11.25" customHeight="1">
      <c r="A28" t="s">
        <v>14</v>
      </c>
      <c r="B28" t="s">
        <v>3150</v>
      </c>
      <c r="C28" t="s">
        <v>3151</v>
      </c>
      <c r="D28" t="s">
        <v>3154</v>
      </c>
      <c r="E28" t="s">
        <v>3155</v>
      </c>
      <c r="F28" t="s">
        <v>3107</v>
      </c>
      <c r="G28" t="s">
        <v>1743</v>
      </c>
    </row>
    <row r="29" spans="1:7" ht="11.25" customHeight="1">
      <c r="A29" t="s">
        <v>14</v>
      </c>
      <c r="B29" t="s">
        <v>3150</v>
      </c>
      <c r="C29" t="s">
        <v>3151</v>
      </c>
      <c r="D29" t="s">
        <v>3156</v>
      </c>
      <c r="E29" t="s">
        <v>3157</v>
      </c>
      <c r="F29" t="s">
        <v>3107</v>
      </c>
      <c r="G29" t="s">
        <v>1745</v>
      </c>
    </row>
    <row r="30" spans="1:7" ht="11.25" customHeight="1">
      <c r="A30" t="s">
        <v>14</v>
      </c>
      <c r="B30" t="s">
        <v>3150</v>
      </c>
      <c r="C30" t="s">
        <v>3151</v>
      </c>
      <c r="D30" t="s">
        <v>3158</v>
      </c>
      <c r="E30" t="s">
        <v>3159</v>
      </c>
      <c r="F30" t="s">
        <v>3107</v>
      </c>
      <c r="G30" t="s">
        <v>1748</v>
      </c>
    </row>
    <row r="31" spans="1:7" ht="11.25" customHeight="1">
      <c r="A31" t="s">
        <v>14</v>
      </c>
      <c r="B31" t="s">
        <v>3150</v>
      </c>
      <c r="C31" t="s">
        <v>3151</v>
      </c>
      <c r="D31" t="s">
        <v>3160</v>
      </c>
      <c r="E31" t="s">
        <v>3161</v>
      </c>
      <c r="F31" t="s">
        <v>3107</v>
      </c>
      <c r="G31" t="s">
        <v>1753</v>
      </c>
    </row>
    <row r="32" spans="1:7" ht="11.25" customHeight="1">
      <c r="A32" t="s">
        <v>14</v>
      </c>
      <c r="B32" t="s">
        <v>3150</v>
      </c>
      <c r="C32" t="s">
        <v>3151</v>
      </c>
      <c r="D32" t="s">
        <v>3162</v>
      </c>
      <c r="E32" t="s">
        <v>3163</v>
      </c>
      <c r="F32" t="s">
        <v>3107</v>
      </c>
      <c r="G32" t="s">
        <v>1755</v>
      </c>
    </row>
    <row r="33" spans="1:7" ht="11.25" customHeight="1">
      <c r="A33" t="s">
        <v>14</v>
      </c>
      <c r="B33" t="s">
        <v>3150</v>
      </c>
      <c r="C33" t="s">
        <v>3151</v>
      </c>
      <c r="D33" t="s">
        <v>3164</v>
      </c>
      <c r="E33" t="s">
        <v>3165</v>
      </c>
      <c r="F33" t="s">
        <v>3107</v>
      </c>
      <c r="G33" t="s">
        <v>1757</v>
      </c>
    </row>
    <row r="34" spans="1:7" ht="11.25" customHeight="1">
      <c r="A34" t="s">
        <v>14</v>
      </c>
      <c r="B34" t="s">
        <v>3150</v>
      </c>
      <c r="C34" t="s">
        <v>3151</v>
      </c>
      <c r="D34" t="s">
        <v>3166</v>
      </c>
      <c r="E34" t="s">
        <v>3167</v>
      </c>
      <c r="F34" t="s">
        <v>3107</v>
      </c>
      <c r="G34" t="s">
        <v>1759</v>
      </c>
    </row>
    <row r="35" spans="1:7" ht="11.25" customHeight="1">
      <c r="A35" t="s">
        <v>14</v>
      </c>
      <c r="B35" t="s">
        <v>3150</v>
      </c>
      <c r="C35" t="s">
        <v>3151</v>
      </c>
      <c r="D35" t="s">
        <v>3168</v>
      </c>
      <c r="E35" t="s">
        <v>3169</v>
      </c>
      <c r="F35" t="s">
        <v>3107</v>
      </c>
      <c r="G35" t="s">
        <v>1764</v>
      </c>
    </row>
    <row r="36" spans="1:7" ht="11.25" customHeight="1">
      <c r="A36" t="s">
        <v>14</v>
      </c>
      <c r="B36" t="s">
        <v>3150</v>
      </c>
      <c r="C36" t="s">
        <v>3151</v>
      </c>
      <c r="D36" t="s">
        <v>3170</v>
      </c>
      <c r="E36" t="s">
        <v>3171</v>
      </c>
      <c r="F36" t="s">
        <v>3107</v>
      </c>
      <c r="G36" t="s">
        <v>1769</v>
      </c>
    </row>
    <row r="37" spans="1:7" ht="11.25" customHeight="1">
      <c r="A37" t="s">
        <v>14</v>
      </c>
      <c r="B37" t="s">
        <v>3150</v>
      </c>
      <c r="C37" t="s">
        <v>3151</v>
      </c>
      <c r="D37" t="s">
        <v>3172</v>
      </c>
      <c r="E37" t="s">
        <v>3173</v>
      </c>
      <c r="F37" t="s">
        <v>3107</v>
      </c>
      <c r="G37" t="s">
        <v>1773</v>
      </c>
    </row>
    <row r="38" spans="1:7" ht="11.25" customHeight="1">
      <c r="A38" t="s">
        <v>14</v>
      </c>
      <c r="B38" t="s">
        <v>3174</v>
      </c>
      <c r="C38" t="s">
        <v>3175</v>
      </c>
      <c r="D38" t="s">
        <v>3174</v>
      </c>
      <c r="E38" t="s">
        <v>3175</v>
      </c>
      <c r="F38" t="s">
        <v>3101</v>
      </c>
      <c r="G38" t="s">
        <v>1781</v>
      </c>
    </row>
    <row r="39" spans="1:7" ht="11.25" customHeight="1">
      <c r="A39" t="s">
        <v>14</v>
      </c>
      <c r="B39" t="s">
        <v>3176</v>
      </c>
      <c r="C39" t="s">
        <v>3177</v>
      </c>
      <c r="D39" t="s">
        <v>3176</v>
      </c>
      <c r="E39" t="s">
        <v>3177</v>
      </c>
      <c r="F39" t="s">
        <v>3104</v>
      </c>
      <c r="G39" t="s">
        <v>1787</v>
      </c>
    </row>
    <row r="40" spans="1:7" ht="11.25" customHeight="1">
      <c r="A40" t="s">
        <v>14</v>
      </c>
      <c r="B40" t="s">
        <v>3176</v>
      </c>
      <c r="C40" t="s">
        <v>3177</v>
      </c>
      <c r="D40" t="s">
        <v>3178</v>
      </c>
      <c r="E40" t="s">
        <v>3179</v>
      </c>
      <c r="F40" t="s">
        <v>3107</v>
      </c>
      <c r="G40" t="s">
        <v>1792</v>
      </c>
    </row>
    <row r="41" spans="1:7" ht="11.25" customHeight="1">
      <c r="A41" t="s">
        <v>14</v>
      </c>
      <c r="B41" t="s">
        <v>3176</v>
      </c>
      <c r="C41" t="s">
        <v>3177</v>
      </c>
      <c r="D41" t="s">
        <v>3180</v>
      </c>
      <c r="E41" t="s">
        <v>3181</v>
      </c>
      <c r="F41" t="s">
        <v>3107</v>
      </c>
      <c r="G41" t="s">
        <v>1796</v>
      </c>
    </row>
    <row r="42" spans="1:7" ht="11.25" customHeight="1">
      <c r="A42" t="s">
        <v>14</v>
      </c>
      <c r="B42" t="s">
        <v>3176</v>
      </c>
      <c r="C42" t="s">
        <v>3177</v>
      </c>
      <c r="D42" t="s">
        <v>3182</v>
      </c>
      <c r="E42" t="s">
        <v>3183</v>
      </c>
      <c r="F42" t="s">
        <v>3107</v>
      </c>
      <c r="G42" t="s">
        <v>1799</v>
      </c>
    </row>
    <row r="43" spans="1:7" ht="11.25" customHeight="1">
      <c r="A43" t="s">
        <v>14</v>
      </c>
      <c r="B43" t="s">
        <v>3176</v>
      </c>
      <c r="C43" t="s">
        <v>3177</v>
      </c>
      <c r="D43" t="s">
        <v>3184</v>
      </c>
      <c r="E43" t="s">
        <v>3185</v>
      </c>
      <c r="F43" t="s">
        <v>3107</v>
      </c>
      <c r="G43" t="s">
        <v>1806</v>
      </c>
    </row>
    <row r="44" spans="1:7" ht="11.25" customHeight="1">
      <c r="A44" t="s">
        <v>14</v>
      </c>
      <c r="B44" t="s">
        <v>3176</v>
      </c>
      <c r="C44" t="s">
        <v>3177</v>
      </c>
      <c r="D44" t="s">
        <v>3186</v>
      </c>
      <c r="E44" t="s">
        <v>3187</v>
      </c>
      <c r="F44" t="s">
        <v>3107</v>
      </c>
      <c r="G44" t="s">
        <v>1815</v>
      </c>
    </row>
    <row r="45" spans="1:7" ht="11.25" customHeight="1">
      <c r="A45" t="s">
        <v>14</v>
      </c>
      <c r="B45" t="s">
        <v>3176</v>
      </c>
      <c r="C45" t="s">
        <v>3177</v>
      </c>
      <c r="D45" t="s">
        <v>3188</v>
      </c>
      <c r="E45" t="s">
        <v>3189</v>
      </c>
      <c r="F45" t="s">
        <v>3107</v>
      </c>
      <c r="G45" t="s">
        <v>1820</v>
      </c>
    </row>
    <row r="46" spans="1:7" ht="11.25" customHeight="1">
      <c r="A46" t="s">
        <v>14</v>
      </c>
      <c r="B46" t="s">
        <v>3176</v>
      </c>
      <c r="C46" t="s">
        <v>3177</v>
      </c>
      <c r="D46" t="s">
        <v>3190</v>
      </c>
      <c r="E46" t="s">
        <v>3191</v>
      </c>
      <c r="F46" t="s">
        <v>3107</v>
      </c>
      <c r="G46" t="s">
        <v>1824</v>
      </c>
    </row>
    <row r="47" spans="1:7" ht="11.25" customHeight="1">
      <c r="A47" t="s">
        <v>14</v>
      </c>
      <c r="B47" t="s">
        <v>3176</v>
      </c>
      <c r="C47" t="s">
        <v>3177</v>
      </c>
      <c r="D47" t="s">
        <v>3192</v>
      </c>
      <c r="E47" t="s">
        <v>3193</v>
      </c>
      <c r="F47" t="s">
        <v>3107</v>
      </c>
      <c r="G47" t="s">
        <v>1830</v>
      </c>
    </row>
    <row r="48" spans="1:7" ht="11.25" customHeight="1">
      <c r="A48" t="s">
        <v>14</v>
      </c>
      <c r="B48" t="s">
        <v>3194</v>
      </c>
      <c r="C48" t="s">
        <v>3195</v>
      </c>
      <c r="D48" t="s">
        <v>3194</v>
      </c>
      <c r="E48" t="s">
        <v>3195</v>
      </c>
      <c r="F48" t="s">
        <v>3196</v>
      </c>
      <c r="G48" t="s">
        <v>1835</v>
      </c>
    </row>
    <row r="49" spans="1:7" ht="11.25" customHeight="1">
      <c r="A49" t="s">
        <v>14</v>
      </c>
      <c r="B49" t="s">
        <v>3197</v>
      </c>
      <c r="C49" t="s">
        <v>3198</v>
      </c>
      <c r="D49" t="s">
        <v>3197</v>
      </c>
      <c r="E49" t="s">
        <v>3198</v>
      </c>
      <c r="F49" t="s">
        <v>3101</v>
      </c>
      <c r="G49" t="s">
        <v>1838</v>
      </c>
    </row>
    <row r="50" spans="1:7" ht="11.25" customHeight="1">
      <c r="A50" t="s">
        <v>14</v>
      </c>
      <c r="B50" t="s">
        <v>3199</v>
      </c>
      <c r="C50" t="s">
        <v>3200</v>
      </c>
      <c r="D50" t="s">
        <v>3201</v>
      </c>
      <c r="E50" t="s">
        <v>3202</v>
      </c>
      <c r="F50" t="s">
        <v>3107</v>
      </c>
      <c r="G50" t="s">
        <v>1842</v>
      </c>
    </row>
    <row r="51" spans="1:7" ht="11.25" customHeight="1">
      <c r="A51" t="s">
        <v>14</v>
      </c>
      <c r="B51" t="s">
        <v>3199</v>
      </c>
      <c r="C51" t="s">
        <v>3200</v>
      </c>
      <c r="D51" t="s">
        <v>3203</v>
      </c>
      <c r="E51" t="s">
        <v>3204</v>
      </c>
      <c r="F51" t="s">
        <v>3107</v>
      </c>
      <c r="G51" t="s">
        <v>1846</v>
      </c>
    </row>
    <row r="52" spans="1:7" ht="11.25" customHeight="1">
      <c r="A52" t="s">
        <v>14</v>
      </c>
      <c r="B52" t="s">
        <v>3199</v>
      </c>
      <c r="C52" t="s">
        <v>3200</v>
      </c>
      <c r="D52" t="s">
        <v>3205</v>
      </c>
      <c r="E52" t="s">
        <v>3206</v>
      </c>
      <c r="F52" t="s">
        <v>3107</v>
      </c>
      <c r="G52" t="s">
        <v>1850</v>
      </c>
    </row>
    <row r="53" spans="1:7" ht="11.25" customHeight="1">
      <c r="A53" t="s">
        <v>14</v>
      </c>
      <c r="B53" t="s">
        <v>3199</v>
      </c>
      <c r="C53" t="s">
        <v>3200</v>
      </c>
      <c r="D53" t="s">
        <v>3199</v>
      </c>
      <c r="E53" t="s">
        <v>3200</v>
      </c>
      <c r="F53" t="s">
        <v>3104</v>
      </c>
      <c r="G53" t="s">
        <v>1852</v>
      </c>
    </row>
    <row r="54" spans="1:7" ht="11.25" customHeight="1">
      <c r="A54" t="s">
        <v>14</v>
      </c>
      <c r="B54" t="s">
        <v>3199</v>
      </c>
      <c r="C54" t="s">
        <v>3200</v>
      </c>
      <c r="D54" t="s">
        <v>3207</v>
      </c>
      <c r="E54" t="s">
        <v>3208</v>
      </c>
      <c r="F54" t="s">
        <v>3209</v>
      </c>
      <c r="G54" t="s">
        <v>1855</v>
      </c>
    </row>
    <row r="55" spans="1:7" ht="11.25" customHeight="1">
      <c r="A55" t="s">
        <v>14</v>
      </c>
      <c r="B55" t="s">
        <v>3199</v>
      </c>
      <c r="C55" t="s">
        <v>3200</v>
      </c>
      <c r="D55" t="s">
        <v>3210</v>
      </c>
      <c r="E55" t="s">
        <v>3211</v>
      </c>
      <c r="F55" t="s">
        <v>3107</v>
      </c>
      <c r="G55" t="s">
        <v>1859</v>
      </c>
    </row>
    <row r="56" spans="1:7" ht="11.25" customHeight="1">
      <c r="A56" t="s">
        <v>14</v>
      </c>
      <c r="B56" t="s">
        <v>3199</v>
      </c>
      <c r="C56" t="s">
        <v>3200</v>
      </c>
      <c r="D56" t="s">
        <v>3212</v>
      </c>
      <c r="E56" t="s">
        <v>3213</v>
      </c>
      <c r="F56" t="s">
        <v>3107</v>
      </c>
      <c r="G56" t="s">
        <v>1862</v>
      </c>
    </row>
    <row r="57" spans="1:7" ht="11.25" customHeight="1">
      <c r="A57" t="s">
        <v>14</v>
      </c>
      <c r="B57" t="s">
        <v>3199</v>
      </c>
      <c r="C57" t="s">
        <v>3200</v>
      </c>
      <c r="D57" t="s">
        <v>3214</v>
      </c>
      <c r="E57" t="s">
        <v>3215</v>
      </c>
      <c r="F57" t="s">
        <v>3107</v>
      </c>
      <c r="G57" t="s">
        <v>1865</v>
      </c>
    </row>
    <row r="58" spans="1:7" ht="11.25" customHeight="1">
      <c r="A58" t="s">
        <v>14</v>
      </c>
      <c r="B58" t="s">
        <v>3199</v>
      </c>
      <c r="C58" t="s">
        <v>3200</v>
      </c>
      <c r="D58" t="s">
        <v>3216</v>
      </c>
      <c r="E58" t="s">
        <v>3217</v>
      </c>
      <c r="F58" t="s">
        <v>3107</v>
      </c>
      <c r="G58" t="s">
        <v>1868</v>
      </c>
    </row>
    <row r="59" spans="1:7" ht="11.25" customHeight="1">
      <c r="A59" t="s">
        <v>14</v>
      </c>
      <c r="B59" t="s">
        <v>3199</v>
      </c>
      <c r="C59" t="s">
        <v>3200</v>
      </c>
      <c r="D59" t="s">
        <v>3218</v>
      </c>
      <c r="E59" t="s">
        <v>3219</v>
      </c>
      <c r="F59" t="s">
        <v>3107</v>
      </c>
      <c r="G59" t="s">
        <v>1872</v>
      </c>
    </row>
    <row r="60" spans="1:7" ht="11.25" customHeight="1">
      <c r="A60" t="s">
        <v>14</v>
      </c>
      <c r="B60" t="s">
        <v>3199</v>
      </c>
      <c r="C60" t="s">
        <v>3200</v>
      </c>
      <c r="D60" t="s">
        <v>3220</v>
      </c>
      <c r="E60" t="s">
        <v>3221</v>
      </c>
      <c r="F60" t="s">
        <v>3107</v>
      </c>
      <c r="G60" t="s">
        <v>1875</v>
      </c>
    </row>
    <row r="61" spans="1:7" ht="11.25" customHeight="1">
      <c r="A61" t="s">
        <v>14</v>
      </c>
      <c r="B61" t="s">
        <v>3199</v>
      </c>
      <c r="C61" t="s">
        <v>3200</v>
      </c>
      <c r="D61" t="s">
        <v>3222</v>
      </c>
      <c r="E61" t="s">
        <v>3223</v>
      </c>
      <c r="F61" t="s">
        <v>3107</v>
      </c>
      <c r="G61" t="s">
        <v>3224</v>
      </c>
    </row>
    <row r="62" spans="1:7" ht="11.25" customHeight="1">
      <c r="A62" t="s">
        <v>14</v>
      </c>
      <c r="B62" t="s">
        <v>3199</v>
      </c>
      <c r="C62" t="s">
        <v>3200</v>
      </c>
      <c r="D62" t="s">
        <v>3225</v>
      </c>
      <c r="E62" t="s">
        <v>3226</v>
      </c>
      <c r="F62" t="s">
        <v>3107</v>
      </c>
      <c r="G62" t="s">
        <v>3227</v>
      </c>
    </row>
    <row r="63" spans="1:7" ht="11.25" customHeight="1">
      <c r="A63" t="s">
        <v>14</v>
      </c>
      <c r="B63" t="s">
        <v>3199</v>
      </c>
      <c r="C63" t="s">
        <v>3200</v>
      </c>
      <c r="D63" t="s">
        <v>3228</v>
      </c>
      <c r="E63" t="s">
        <v>3229</v>
      </c>
      <c r="F63" t="s">
        <v>3107</v>
      </c>
      <c r="G63" t="s">
        <v>3230</v>
      </c>
    </row>
    <row r="64" spans="1:7" ht="11.25" customHeight="1">
      <c r="A64" t="s">
        <v>14</v>
      </c>
      <c r="B64" t="s">
        <v>3199</v>
      </c>
      <c r="C64" t="s">
        <v>3200</v>
      </c>
      <c r="D64" t="s">
        <v>3231</v>
      </c>
      <c r="E64" t="s">
        <v>3232</v>
      </c>
      <c r="F64" t="s">
        <v>3107</v>
      </c>
      <c r="G64" t="s">
        <v>3233</v>
      </c>
    </row>
    <row r="65" spans="1:7" ht="11.25" customHeight="1">
      <c r="A65" t="s">
        <v>14</v>
      </c>
      <c r="B65" t="s">
        <v>3234</v>
      </c>
      <c r="C65" t="s">
        <v>3235</v>
      </c>
      <c r="D65" t="s">
        <v>3234</v>
      </c>
      <c r="E65" t="s">
        <v>3235</v>
      </c>
      <c r="F65" t="s">
        <v>3101</v>
      </c>
      <c r="G65" t="s">
        <v>3236</v>
      </c>
    </row>
    <row r="66" spans="1:7" ht="11.25" customHeight="1">
      <c r="A66" t="s">
        <v>14</v>
      </c>
      <c r="B66" t="s">
        <v>98</v>
      </c>
      <c r="C66" t="s">
        <v>3237</v>
      </c>
      <c r="D66" t="s">
        <v>3238</v>
      </c>
      <c r="E66" t="s">
        <v>3239</v>
      </c>
      <c r="F66" t="s">
        <v>3107</v>
      </c>
      <c r="G66" t="s">
        <v>3240</v>
      </c>
    </row>
    <row r="67" spans="1:7" ht="11.25" customHeight="1">
      <c r="A67" t="s">
        <v>14</v>
      </c>
      <c r="B67" t="s">
        <v>98</v>
      </c>
      <c r="C67" t="s">
        <v>3237</v>
      </c>
      <c r="D67" t="s">
        <v>98</v>
      </c>
      <c r="E67" t="s">
        <v>3237</v>
      </c>
      <c r="F67" t="s">
        <v>3104</v>
      </c>
      <c r="G67" t="s">
        <v>2096</v>
      </c>
    </row>
    <row r="68" spans="1:7" ht="11.25" customHeight="1">
      <c r="A68" t="s">
        <v>14</v>
      </c>
      <c r="B68" t="s">
        <v>98</v>
      </c>
      <c r="C68" t="s">
        <v>3237</v>
      </c>
      <c r="D68" t="s">
        <v>3241</v>
      </c>
      <c r="E68" t="s">
        <v>3242</v>
      </c>
      <c r="F68" t="s">
        <v>3107</v>
      </c>
      <c r="G68" t="s">
        <v>2306</v>
      </c>
    </row>
    <row r="69" spans="1:7" ht="11.25" customHeight="1">
      <c r="A69" t="s">
        <v>14</v>
      </c>
      <c r="B69" t="s">
        <v>98</v>
      </c>
      <c r="C69" t="s">
        <v>3237</v>
      </c>
      <c r="D69" t="s">
        <v>3243</v>
      </c>
      <c r="E69" t="s">
        <v>3244</v>
      </c>
      <c r="F69" t="s">
        <v>3107</v>
      </c>
      <c r="G69" t="s">
        <v>3245</v>
      </c>
    </row>
    <row r="70" spans="1:7" ht="11.25" customHeight="1">
      <c r="A70" t="s">
        <v>14</v>
      </c>
      <c r="B70" t="s">
        <v>98</v>
      </c>
      <c r="C70" t="s">
        <v>3237</v>
      </c>
      <c r="D70" t="s">
        <v>3246</v>
      </c>
      <c r="E70" t="s">
        <v>3247</v>
      </c>
      <c r="F70" t="s">
        <v>3107</v>
      </c>
      <c r="G70" t="s">
        <v>3248</v>
      </c>
    </row>
    <row r="71" spans="1:7" ht="11.25" customHeight="1">
      <c r="A71" t="s">
        <v>14</v>
      </c>
      <c r="B71" t="s">
        <v>98</v>
      </c>
      <c r="C71" t="s">
        <v>3237</v>
      </c>
      <c r="D71" t="s">
        <v>3249</v>
      </c>
      <c r="E71" t="s">
        <v>3250</v>
      </c>
      <c r="F71" t="s">
        <v>3107</v>
      </c>
      <c r="G71" t="s">
        <v>3251</v>
      </c>
    </row>
    <row r="72" spans="1:7" ht="11.25" customHeight="1">
      <c r="A72" t="s">
        <v>14</v>
      </c>
      <c r="B72" t="s">
        <v>98</v>
      </c>
      <c r="C72" t="s">
        <v>3237</v>
      </c>
      <c r="D72" t="s">
        <v>3252</v>
      </c>
      <c r="E72" t="s">
        <v>3253</v>
      </c>
      <c r="F72" t="s">
        <v>3107</v>
      </c>
      <c r="G72" t="s">
        <v>3254</v>
      </c>
    </row>
    <row r="73" spans="1:7" ht="11.25" customHeight="1">
      <c r="A73" t="s">
        <v>14</v>
      </c>
      <c r="B73" t="s">
        <v>98</v>
      </c>
      <c r="C73" t="s">
        <v>3237</v>
      </c>
      <c r="D73" t="s">
        <v>3255</v>
      </c>
      <c r="E73" t="s">
        <v>3256</v>
      </c>
      <c r="F73" t="s">
        <v>3107</v>
      </c>
      <c r="G73" t="s">
        <v>3257</v>
      </c>
    </row>
    <row r="74" spans="1:7" ht="11.25" customHeight="1">
      <c r="A74" t="s">
        <v>14</v>
      </c>
      <c r="B74" t="s">
        <v>98</v>
      </c>
      <c r="C74" t="s">
        <v>3237</v>
      </c>
      <c r="D74" t="s">
        <v>3258</v>
      </c>
      <c r="E74" t="s">
        <v>3259</v>
      </c>
      <c r="F74" t="s">
        <v>3107</v>
      </c>
      <c r="G74" t="s">
        <v>3260</v>
      </c>
    </row>
    <row r="75" spans="1:7" ht="11.25" customHeight="1">
      <c r="A75" t="s">
        <v>14</v>
      </c>
      <c r="B75" t="s">
        <v>98</v>
      </c>
      <c r="C75" t="s">
        <v>3237</v>
      </c>
      <c r="D75" t="s">
        <v>3261</v>
      </c>
      <c r="E75" t="s">
        <v>3262</v>
      </c>
      <c r="F75" t="s">
        <v>3107</v>
      </c>
      <c r="G75" t="s">
        <v>3263</v>
      </c>
    </row>
    <row r="76" spans="1:7" ht="11.25" customHeight="1">
      <c r="A76" t="s">
        <v>14</v>
      </c>
      <c r="B76" t="s">
        <v>98</v>
      </c>
      <c r="C76" t="s">
        <v>3237</v>
      </c>
      <c r="D76" t="s">
        <v>3264</v>
      </c>
      <c r="E76" t="s">
        <v>3265</v>
      </c>
      <c r="F76" t="s">
        <v>3107</v>
      </c>
      <c r="G76" t="s">
        <v>3266</v>
      </c>
    </row>
    <row r="77" spans="1:7" ht="11.25" customHeight="1">
      <c r="A77" t="s">
        <v>14</v>
      </c>
      <c r="B77" t="s">
        <v>98</v>
      </c>
      <c r="C77" t="s">
        <v>3237</v>
      </c>
      <c r="D77" t="s">
        <v>3267</v>
      </c>
      <c r="E77" t="s">
        <v>3268</v>
      </c>
      <c r="F77" t="s">
        <v>3107</v>
      </c>
      <c r="G77" t="s">
        <v>3269</v>
      </c>
    </row>
    <row r="78" spans="1:7" ht="11.25" customHeight="1">
      <c r="A78" t="s">
        <v>14</v>
      </c>
      <c r="B78" t="s">
        <v>98</v>
      </c>
      <c r="C78" t="s">
        <v>3237</v>
      </c>
      <c r="D78" t="s">
        <v>3270</v>
      </c>
      <c r="E78" t="s">
        <v>3271</v>
      </c>
      <c r="F78" t="s">
        <v>3107</v>
      </c>
      <c r="G78" t="s">
        <v>3272</v>
      </c>
    </row>
    <row r="79" spans="1:7" ht="11.25" customHeight="1">
      <c r="A79" t="s">
        <v>14</v>
      </c>
      <c r="B79" t="s">
        <v>98</v>
      </c>
      <c r="C79" t="s">
        <v>3237</v>
      </c>
      <c r="D79" t="s">
        <v>3273</v>
      </c>
      <c r="E79" t="s">
        <v>3274</v>
      </c>
      <c r="F79" t="s">
        <v>3107</v>
      </c>
      <c r="G79" t="s">
        <v>3275</v>
      </c>
    </row>
    <row r="80" spans="1:7" ht="11.25" customHeight="1">
      <c r="A80" t="s">
        <v>14</v>
      </c>
      <c r="B80" t="s">
        <v>3276</v>
      </c>
      <c r="C80" t="s">
        <v>3277</v>
      </c>
      <c r="D80" t="s">
        <v>3276</v>
      </c>
      <c r="E80" t="s">
        <v>3277</v>
      </c>
      <c r="F80" t="s">
        <v>3196</v>
      </c>
      <c r="G80" t="s">
        <v>3278</v>
      </c>
    </row>
    <row r="81" spans="1:7" ht="11.25" customHeight="1">
      <c r="A81" t="s">
        <v>14</v>
      </c>
      <c r="B81" t="s">
        <v>3279</v>
      </c>
      <c r="C81" t="s">
        <v>3280</v>
      </c>
      <c r="D81" t="s">
        <v>3279</v>
      </c>
      <c r="E81" t="s">
        <v>3280</v>
      </c>
      <c r="F81" t="s">
        <v>3101</v>
      </c>
      <c r="G81" t="s">
        <v>3281</v>
      </c>
    </row>
    <row r="82" spans="1:7" ht="11.25" customHeight="1">
      <c r="A82" t="s">
        <v>14</v>
      </c>
      <c r="B82" t="s">
        <v>3282</v>
      </c>
      <c r="C82" t="s">
        <v>3283</v>
      </c>
      <c r="D82" t="s">
        <v>3203</v>
      </c>
      <c r="E82" t="s">
        <v>3284</v>
      </c>
      <c r="F82" t="s">
        <v>3107</v>
      </c>
      <c r="G82" t="s">
        <v>3285</v>
      </c>
    </row>
    <row r="83" spans="1:7" ht="11.25" customHeight="1">
      <c r="A83" t="s">
        <v>14</v>
      </c>
      <c r="B83" t="s">
        <v>3282</v>
      </c>
      <c r="C83" t="s">
        <v>3283</v>
      </c>
      <c r="D83" t="s">
        <v>3286</v>
      </c>
      <c r="E83" t="s">
        <v>3287</v>
      </c>
      <c r="F83" t="s">
        <v>3107</v>
      </c>
      <c r="G83" t="s">
        <v>3288</v>
      </c>
    </row>
    <row r="84" spans="1:7" ht="11.25" customHeight="1">
      <c r="A84" t="s">
        <v>14</v>
      </c>
      <c r="B84" t="s">
        <v>3282</v>
      </c>
      <c r="C84" t="s">
        <v>3283</v>
      </c>
      <c r="D84" t="s">
        <v>3282</v>
      </c>
      <c r="E84" t="s">
        <v>3283</v>
      </c>
      <c r="F84" t="s">
        <v>3104</v>
      </c>
      <c r="G84" t="s">
        <v>3289</v>
      </c>
    </row>
    <row r="85" spans="1:7" ht="11.25" customHeight="1">
      <c r="A85" t="s">
        <v>14</v>
      </c>
      <c r="B85" t="s">
        <v>3282</v>
      </c>
      <c r="C85" t="s">
        <v>3283</v>
      </c>
      <c r="D85" t="s">
        <v>3290</v>
      </c>
      <c r="E85" t="s">
        <v>3291</v>
      </c>
      <c r="F85" t="s">
        <v>3107</v>
      </c>
      <c r="G85" t="s">
        <v>3292</v>
      </c>
    </row>
    <row r="86" spans="1:7" ht="11.25" customHeight="1">
      <c r="A86" t="s">
        <v>14</v>
      </c>
      <c r="B86" t="s">
        <v>3282</v>
      </c>
      <c r="C86" t="s">
        <v>3283</v>
      </c>
      <c r="D86" t="s">
        <v>3293</v>
      </c>
      <c r="E86" t="s">
        <v>3294</v>
      </c>
      <c r="F86" t="s">
        <v>3107</v>
      </c>
      <c r="G86" t="s">
        <v>3295</v>
      </c>
    </row>
    <row r="87" spans="1:7" ht="11.25" customHeight="1">
      <c r="A87" t="s">
        <v>14</v>
      </c>
      <c r="B87" t="s">
        <v>3282</v>
      </c>
      <c r="C87" t="s">
        <v>3283</v>
      </c>
      <c r="D87" t="s">
        <v>3296</v>
      </c>
      <c r="E87" t="s">
        <v>3297</v>
      </c>
      <c r="F87" t="s">
        <v>3107</v>
      </c>
      <c r="G87" t="s">
        <v>3298</v>
      </c>
    </row>
    <row r="88" spans="1:7" ht="11.25" customHeight="1">
      <c r="A88" t="s">
        <v>14</v>
      </c>
      <c r="B88" t="s">
        <v>3282</v>
      </c>
      <c r="C88" t="s">
        <v>3283</v>
      </c>
      <c r="D88" t="s">
        <v>3299</v>
      </c>
      <c r="E88" t="s">
        <v>3300</v>
      </c>
      <c r="F88" t="s">
        <v>3107</v>
      </c>
      <c r="G88" t="s">
        <v>3301</v>
      </c>
    </row>
    <row r="89" spans="1:7" ht="11.25" customHeight="1">
      <c r="A89" t="s">
        <v>14</v>
      </c>
      <c r="B89" t="s">
        <v>3282</v>
      </c>
      <c r="C89" t="s">
        <v>3283</v>
      </c>
      <c r="D89" t="s">
        <v>3302</v>
      </c>
      <c r="E89" t="s">
        <v>3303</v>
      </c>
      <c r="F89" t="s">
        <v>3107</v>
      </c>
      <c r="G89" t="s">
        <v>3304</v>
      </c>
    </row>
    <row r="90" spans="1:7" ht="11.25" customHeight="1">
      <c r="A90" t="s">
        <v>14</v>
      </c>
      <c r="B90" t="s">
        <v>3282</v>
      </c>
      <c r="C90" t="s">
        <v>3283</v>
      </c>
      <c r="D90" t="s">
        <v>3305</v>
      </c>
      <c r="E90" t="s">
        <v>3306</v>
      </c>
      <c r="F90" t="s">
        <v>3107</v>
      </c>
      <c r="G90" t="s">
        <v>3307</v>
      </c>
    </row>
    <row r="91" spans="1:7" ht="11.25" customHeight="1">
      <c r="A91" t="s">
        <v>14</v>
      </c>
      <c r="B91" t="s">
        <v>3282</v>
      </c>
      <c r="C91" t="s">
        <v>3283</v>
      </c>
      <c r="D91" t="s">
        <v>3308</v>
      </c>
      <c r="E91" t="s">
        <v>3309</v>
      </c>
      <c r="F91" t="s">
        <v>3107</v>
      </c>
      <c r="G91" t="s">
        <v>3310</v>
      </c>
    </row>
    <row r="92" spans="1:7" ht="11.25" customHeight="1">
      <c r="A92" t="s">
        <v>14</v>
      </c>
      <c r="B92" t="s">
        <v>3282</v>
      </c>
      <c r="C92" t="s">
        <v>3283</v>
      </c>
      <c r="D92" t="s">
        <v>3311</v>
      </c>
      <c r="E92" t="s">
        <v>3312</v>
      </c>
      <c r="F92" t="s">
        <v>3107</v>
      </c>
      <c r="G92" t="s">
        <v>3313</v>
      </c>
    </row>
    <row r="93" spans="1:7" ht="11.25" customHeight="1">
      <c r="A93" t="s">
        <v>14</v>
      </c>
      <c r="B93" t="s">
        <v>3282</v>
      </c>
      <c r="C93" t="s">
        <v>3283</v>
      </c>
      <c r="D93" t="s">
        <v>3314</v>
      </c>
      <c r="E93" t="s">
        <v>3315</v>
      </c>
      <c r="F93" t="s">
        <v>3107</v>
      </c>
      <c r="G93" t="s">
        <v>3316</v>
      </c>
    </row>
    <row r="94" spans="1:7" ht="11.25" customHeight="1">
      <c r="A94" t="s">
        <v>14</v>
      </c>
      <c r="B94" t="s">
        <v>3282</v>
      </c>
      <c r="C94" t="s">
        <v>3283</v>
      </c>
      <c r="D94" t="s">
        <v>3317</v>
      </c>
      <c r="E94" t="s">
        <v>3318</v>
      </c>
      <c r="F94" t="s">
        <v>3107</v>
      </c>
      <c r="G94" t="s">
        <v>3319</v>
      </c>
    </row>
    <row r="95" spans="1:7" ht="11.25" customHeight="1">
      <c r="A95" t="s">
        <v>14</v>
      </c>
      <c r="B95" t="s">
        <v>3282</v>
      </c>
      <c r="C95" t="s">
        <v>3283</v>
      </c>
      <c r="D95" t="s">
        <v>3320</v>
      </c>
      <c r="E95" t="s">
        <v>3321</v>
      </c>
      <c r="F95" t="s">
        <v>3107</v>
      </c>
      <c r="G95" t="s">
        <v>3322</v>
      </c>
    </row>
    <row r="96" spans="1:7" ht="11.25" customHeight="1">
      <c r="A96" t="s">
        <v>14</v>
      </c>
      <c r="B96" t="s">
        <v>3282</v>
      </c>
      <c r="C96" t="s">
        <v>3283</v>
      </c>
      <c r="D96" t="s">
        <v>3323</v>
      </c>
      <c r="E96" t="s">
        <v>3324</v>
      </c>
      <c r="F96" t="s">
        <v>3107</v>
      </c>
      <c r="G96" t="s">
        <v>3325</v>
      </c>
    </row>
    <row r="97" spans="1:7" ht="11.25" customHeight="1">
      <c r="A97" t="s">
        <v>14</v>
      </c>
      <c r="B97" t="s">
        <v>3326</v>
      </c>
      <c r="C97" t="s">
        <v>3327</v>
      </c>
      <c r="D97" t="s">
        <v>3326</v>
      </c>
      <c r="E97" t="s">
        <v>3327</v>
      </c>
      <c r="F97" t="s">
        <v>3196</v>
      </c>
      <c r="G97" t="s">
        <v>3328</v>
      </c>
    </row>
    <row r="98" spans="1:7" ht="11.25" customHeight="1">
      <c r="A98" t="s">
        <v>14</v>
      </c>
      <c r="B98" t="s">
        <v>3329</v>
      </c>
      <c r="C98" t="s">
        <v>3330</v>
      </c>
      <c r="D98" t="s">
        <v>3329</v>
      </c>
      <c r="E98" t="s">
        <v>3330</v>
      </c>
      <c r="F98" t="s">
        <v>3196</v>
      </c>
      <c r="G98" t="s">
        <v>3331</v>
      </c>
    </row>
    <row r="99" spans="1:7" ht="11.25" customHeight="1">
      <c r="A99" t="s">
        <v>14</v>
      </c>
      <c r="B99" t="s">
        <v>3332</v>
      </c>
      <c r="C99" t="s">
        <v>3333</v>
      </c>
      <c r="D99" t="s">
        <v>3332</v>
      </c>
      <c r="E99" t="s">
        <v>3333</v>
      </c>
      <c r="F99" t="s">
        <v>3196</v>
      </c>
      <c r="G99" t="s">
        <v>3334</v>
      </c>
    </row>
    <row r="100" spans="1:7" ht="11.25" customHeight="1">
      <c r="A100" t="s">
        <v>14</v>
      </c>
      <c r="B100" t="s">
        <v>3335</v>
      </c>
      <c r="C100" t="s">
        <v>3336</v>
      </c>
      <c r="D100" t="s">
        <v>3335</v>
      </c>
      <c r="E100" t="s">
        <v>3336</v>
      </c>
      <c r="F100" t="s">
        <v>3196</v>
      </c>
      <c r="G100" t="s">
        <v>3337</v>
      </c>
    </row>
    <row r="101" spans="1:7" ht="11.25" customHeight="1">
      <c r="A101" t="s">
        <v>14</v>
      </c>
      <c r="B101" t="s">
        <v>3338</v>
      </c>
      <c r="C101" t="s">
        <v>3339</v>
      </c>
      <c r="D101" t="s">
        <v>3338</v>
      </c>
      <c r="E101" t="s">
        <v>3339</v>
      </c>
      <c r="F101" t="s">
        <v>3196</v>
      </c>
      <c r="G101" t="s">
        <v>3340</v>
      </c>
    </row>
    <row r="102" spans="1:7" ht="11.25" customHeight="1">
      <c r="A102" t="s">
        <v>14</v>
      </c>
      <c r="B102" t="s">
        <v>3341</v>
      </c>
      <c r="C102" t="s">
        <v>3342</v>
      </c>
      <c r="D102" t="s">
        <v>3341</v>
      </c>
      <c r="E102" t="s">
        <v>3342</v>
      </c>
      <c r="F102" t="s">
        <v>3196</v>
      </c>
      <c r="G102" t="s">
        <v>3343</v>
      </c>
    </row>
    <row r="103" spans="1:7" ht="11.25" customHeight="1">
      <c r="A103" t="s">
        <v>14</v>
      </c>
      <c r="B103" t="s">
        <v>3344</v>
      </c>
      <c r="C103" t="s">
        <v>3345</v>
      </c>
      <c r="D103" t="s">
        <v>3344</v>
      </c>
      <c r="E103" t="s">
        <v>3345</v>
      </c>
      <c r="F103" t="s">
        <v>3196</v>
      </c>
      <c r="G103" t="s">
        <v>3346</v>
      </c>
    </row>
    <row r="104" spans="1:7" ht="11.25" customHeight="1">
      <c r="A104" t="s">
        <v>14</v>
      </c>
      <c r="B104" t="s">
        <v>3347</v>
      </c>
      <c r="C104" t="s">
        <v>3348</v>
      </c>
      <c r="D104" t="s">
        <v>3347</v>
      </c>
      <c r="E104" t="s">
        <v>3348</v>
      </c>
      <c r="F104" t="s">
        <v>3101</v>
      </c>
      <c r="G104" t="s">
        <v>3349</v>
      </c>
    </row>
    <row r="105" spans="1:7" ht="11.25" customHeight="1">
      <c r="A105" t="s">
        <v>14</v>
      </c>
      <c r="B105" t="s">
        <v>3350</v>
      </c>
      <c r="C105" t="s">
        <v>3351</v>
      </c>
      <c r="D105" t="s">
        <v>3350</v>
      </c>
      <c r="E105" t="s">
        <v>3351</v>
      </c>
      <c r="F105" t="s">
        <v>3104</v>
      </c>
      <c r="G105" t="s">
        <v>3352</v>
      </c>
    </row>
    <row r="106" spans="1:7" ht="11.25" customHeight="1">
      <c r="A106" t="s">
        <v>14</v>
      </c>
      <c r="B106" t="s">
        <v>3350</v>
      </c>
      <c r="C106" t="s">
        <v>3351</v>
      </c>
      <c r="D106" t="s">
        <v>3353</v>
      </c>
      <c r="E106" t="s">
        <v>3354</v>
      </c>
      <c r="F106" t="s">
        <v>3107</v>
      </c>
      <c r="G106" t="s">
        <v>3355</v>
      </c>
    </row>
    <row r="107" spans="1:7" ht="11.25" customHeight="1">
      <c r="A107" t="s">
        <v>14</v>
      </c>
      <c r="B107" t="s">
        <v>3350</v>
      </c>
      <c r="C107" t="s">
        <v>3351</v>
      </c>
      <c r="D107" t="s">
        <v>3356</v>
      </c>
      <c r="E107" t="s">
        <v>3357</v>
      </c>
      <c r="F107" t="s">
        <v>3107</v>
      </c>
      <c r="G107" t="s">
        <v>3358</v>
      </c>
    </row>
    <row r="108" spans="1:7" ht="11.25" customHeight="1">
      <c r="A108" t="s">
        <v>14</v>
      </c>
      <c r="B108" t="s">
        <v>3350</v>
      </c>
      <c r="C108" t="s">
        <v>3351</v>
      </c>
      <c r="D108" t="s">
        <v>3359</v>
      </c>
      <c r="E108" t="s">
        <v>3360</v>
      </c>
      <c r="F108" t="s">
        <v>3107</v>
      </c>
      <c r="G108" t="s">
        <v>3361</v>
      </c>
    </row>
    <row r="109" spans="1:7" ht="11.25" customHeight="1">
      <c r="A109" t="s">
        <v>14</v>
      </c>
      <c r="B109" t="s">
        <v>3350</v>
      </c>
      <c r="C109" t="s">
        <v>3351</v>
      </c>
      <c r="D109" t="s">
        <v>3362</v>
      </c>
      <c r="E109" t="s">
        <v>3363</v>
      </c>
      <c r="F109" t="s">
        <v>3107</v>
      </c>
      <c r="G109" t="s">
        <v>3364</v>
      </c>
    </row>
    <row r="110" spans="1:7" ht="11.25" customHeight="1">
      <c r="A110" t="s">
        <v>14</v>
      </c>
      <c r="B110" t="s">
        <v>3350</v>
      </c>
      <c r="C110" t="s">
        <v>3351</v>
      </c>
      <c r="D110" t="s">
        <v>3365</v>
      </c>
      <c r="E110" t="s">
        <v>3366</v>
      </c>
      <c r="F110" t="s">
        <v>3107</v>
      </c>
      <c r="G110" t="s">
        <v>3367</v>
      </c>
    </row>
    <row r="111" spans="1:7" ht="11.25" customHeight="1">
      <c r="A111" t="s">
        <v>14</v>
      </c>
      <c r="B111" t="s">
        <v>3350</v>
      </c>
      <c r="C111" t="s">
        <v>3351</v>
      </c>
      <c r="D111" t="s">
        <v>3368</v>
      </c>
      <c r="E111" t="s">
        <v>3369</v>
      </c>
      <c r="F111" t="s">
        <v>3107</v>
      </c>
      <c r="G111" t="s">
        <v>3370</v>
      </c>
    </row>
    <row r="112" spans="1:7" ht="11.25" customHeight="1">
      <c r="A112" t="s">
        <v>14</v>
      </c>
      <c r="B112" t="s">
        <v>3350</v>
      </c>
      <c r="C112" t="s">
        <v>3351</v>
      </c>
      <c r="D112" t="s">
        <v>3371</v>
      </c>
      <c r="E112" t="s">
        <v>3372</v>
      </c>
      <c r="F112" t="s">
        <v>3107</v>
      </c>
      <c r="G112" t="s">
        <v>3373</v>
      </c>
    </row>
    <row r="113" spans="1:7" ht="11.25" customHeight="1">
      <c r="A113" t="s">
        <v>14</v>
      </c>
      <c r="B113" t="s">
        <v>3350</v>
      </c>
      <c r="C113" t="s">
        <v>3351</v>
      </c>
      <c r="D113" t="s">
        <v>3374</v>
      </c>
      <c r="E113" t="s">
        <v>3375</v>
      </c>
      <c r="F113" t="s">
        <v>3107</v>
      </c>
      <c r="G113" t="s">
        <v>3376</v>
      </c>
    </row>
    <row r="114" spans="1:7" ht="11.25" customHeight="1">
      <c r="A114" t="s">
        <v>14</v>
      </c>
      <c r="B114" t="s">
        <v>3377</v>
      </c>
      <c r="C114" t="s">
        <v>3378</v>
      </c>
      <c r="D114" t="s">
        <v>3377</v>
      </c>
      <c r="E114" t="s">
        <v>3378</v>
      </c>
      <c r="F114" t="s">
        <v>3101</v>
      </c>
      <c r="G114" t="s">
        <v>3379</v>
      </c>
    </row>
    <row r="115" spans="1:7" ht="11.25" customHeight="1">
      <c r="A115" t="s">
        <v>14</v>
      </c>
      <c r="B115" t="s">
        <v>3380</v>
      </c>
      <c r="C115" t="s">
        <v>3381</v>
      </c>
      <c r="D115" t="s">
        <v>3382</v>
      </c>
      <c r="E115" t="s">
        <v>3383</v>
      </c>
      <c r="F115" t="s">
        <v>3209</v>
      </c>
      <c r="G115" t="s">
        <v>3384</v>
      </c>
    </row>
    <row r="116" spans="1:7" ht="11.25" customHeight="1">
      <c r="A116" t="s">
        <v>14</v>
      </c>
      <c r="B116" t="s">
        <v>3380</v>
      </c>
      <c r="C116" t="s">
        <v>3381</v>
      </c>
      <c r="D116" t="s">
        <v>3380</v>
      </c>
      <c r="E116" t="s">
        <v>3381</v>
      </c>
      <c r="F116" t="s">
        <v>3104</v>
      </c>
      <c r="G116" t="s">
        <v>3385</v>
      </c>
    </row>
    <row r="117" spans="1:7" ht="11.25" customHeight="1">
      <c r="A117" t="s">
        <v>14</v>
      </c>
      <c r="B117" t="s">
        <v>3380</v>
      </c>
      <c r="C117" t="s">
        <v>3381</v>
      </c>
      <c r="D117" t="s">
        <v>3386</v>
      </c>
      <c r="E117" t="s">
        <v>3387</v>
      </c>
      <c r="F117" t="s">
        <v>3107</v>
      </c>
      <c r="G117" t="s">
        <v>3388</v>
      </c>
    </row>
    <row r="118" spans="1:7" ht="11.25" customHeight="1">
      <c r="A118" t="s">
        <v>14</v>
      </c>
      <c r="B118" t="s">
        <v>3380</v>
      </c>
      <c r="C118" t="s">
        <v>3381</v>
      </c>
      <c r="D118" t="s">
        <v>3389</v>
      </c>
      <c r="E118" t="s">
        <v>3390</v>
      </c>
      <c r="F118" t="s">
        <v>3107</v>
      </c>
      <c r="G118" t="s">
        <v>3391</v>
      </c>
    </row>
    <row r="119" spans="1:7" ht="11.25" customHeight="1">
      <c r="A119" t="s">
        <v>14</v>
      </c>
      <c r="B119" t="s">
        <v>3380</v>
      </c>
      <c r="C119" t="s">
        <v>3381</v>
      </c>
      <c r="D119" t="s">
        <v>3392</v>
      </c>
      <c r="E119" t="s">
        <v>3393</v>
      </c>
      <c r="F119" t="s">
        <v>3107</v>
      </c>
      <c r="G119" t="s">
        <v>3394</v>
      </c>
    </row>
    <row r="120" spans="1:7" ht="11.25" customHeight="1">
      <c r="A120" t="s">
        <v>14</v>
      </c>
      <c r="B120" t="s">
        <v>3380</v>
      </c>
      <c r="C120" t="s">
        <v>3381</v>
      </c>
      <c r="D120" t="s">
        <v>3395</v>
      </c>
      <c r="E120" t="s">
        <v>3396</v>
      </c>
      <c r="F120" t="s">
        <v>3107</v>
      </c>
      <c r="G120" t="s">
        <v>3397</v>
      </c>
    </row>
    <row r="121" spans="1:7" ht="11.25" customHeight="1">
      <c r="A121" t="s">
        <v>14</v>
      </c>
      <c r="B121" t="s">
        <v>3380</v>
      </c>
      <c r="C121" t="s">
        <v>3381</v>
      </c>
      <c r="D121" t="s">
        <v>3398</v>
      </c>
      <c r="E121" t="s">
        <v>3399</v>
      </c>
      <c r="F121" t="s">
        <v>3107</v>
      </c>
      <c r="G121" t="s">
        <v>3400</v>
      </c>
    </row>
    <row r="122" spans="1:7" ht="11.25" customHeight="1">
      <c r="A122" t="s">
        <v>14</v>
      </c>
      <c r="B122" t="s">
        <v>3380</v>
      </c>
      <c r="C122" t="s">
        <v>3381</v>
      </c>
      <c r="D122" t="s">
        <v>3401</v>
      </c>
      <c r="E122" t="s">
        <v>3402</v>
      </c>
      <c r="F122" t="s">
        <v>3403</v>
      </c>
      <c r="G122" t="s">
        <v>3404</v>
      </c>
    </row>
    <row r="123" spans="1:7" ht="11.25" customHeight="1">
      <c r="A123" t="s">
        <v>14</v>
      </c>
      <c r="B123" t="s">
        <v>3380</v>
      </c>
      <c r="C123" t="s">
        <v>3381</v>
      </c>
      <c r="D123" t="s">
        <v>3405</v>
      </c>
      <c r="E123" t="s">
        <v>3406</v>
      </c>
      <c r="F123" t="s">
        <v>3403</v>
      </c>
      <c r="G123" t="s">
        <v>3407</v>
      </c>
    </row>
    <row r="124" spans="1:7" ht="11.25" customHeight="1">
      <c r="A124" t="s">
        <v>14</v>
      </c>
      <c r="B124" t="s">
        <v>3380</v>
      </c>
      <c r="C124" t="s">
        <v>3381</v>
      </c>
      <c r="D124" t="s">
        <v>3408</v>
      </c>
      <c r="E124" t="s">
        <v>3409</v>
      </c>
      <c r="F124" t="s">
        <v>3107</v>
      </c>
      <c r="G124" t="s">
        <v>3410</v>
      </c>
    </row>
    <row r="125" spans="1:7" ht="11.25" customHeight="1">
      <c r="A125" t="s">
        <v>14</v>
      </c>
      <c r="B125" t="s">
        <v>3380</v>
      </c>
      <c r="C125" t="s">
        <v>3381</v>
      </c>
      <c r="D125" t="s">
        <v>3411</v>
      </c>
      <c r="E125" t="s">
        <v>3412</v>
      </c>
      <c r="F125" t="s">
        <v>3107</v>
      </c>
      <c r="G125" t="s">
        <v>3413</v>
      </c>
    </row>
    <row r="126" spans="1:7" ht="11.25" customHeight="1">
      <c r="A126" t="s">
        <v>14</v>
      </c>
      <c r="B126" t="s">
        <v>3380</v>
      </c>
      <c r="C126" t="s">
        <v>3381</v>
      </c>
      <c r="D126" t="s">
        <v>3414</v>
      </c>
      <c r="E126" t="s">
        <v>3415</v>
      </c>
      <c r="F126" t="s">
        <v>3107</v>
      </c>
      <c r="G126" t="s">
        <v>3416</v>
      </c>
    </row>
    <row r="127" spans="1:7" ht="11.25" customHeight="1">
      <c r="A127" t="s">
        <v>14</v>
      </c>
      <c r="B127" t="s">
        <v>3380</v>
      </c>
      <c r="C127" t="s">
        <v>3381</v>
      </c>
      <c r="D127" t="s">
        <v>3417</v>
      </c>
      <c r="E127" t="s">
        <v>3418</v>
      </c>
      <c r="F127" t="s">
        <v>3107</v>
      </c>
      <c r="G127" t="s">
        <v>3419</v>
      </c>
    </row>
    <row r="128" spans="1:7" ht="11.25" customHeight="1">
      <c r="A128" t="s">
        <v>14</v>
      </c>
      <c r="B128" t="s">
        <v>3380</v>
      </c>
      <c r="C128" t="s">
        <v>3381</v>
      </c>
      <c r="D128" t="s">
        <v>3420</v>
      </c>
      <c r="E128" t="s">
        <v>3421</v>
      </c>
      <c r="F128" t="s">
        <v>3107</v>
      </c>
      <c r="G128" t="s">
        <v>3422</v>
      </c>
    </row>
    <row r="129" spans="1:7" ht="11.25" customHeight="1">
      <c r="A129" t="s">
        <v>14</v>
      </c>
      <c r="B129" t="s">
        <v>3380</v>
      </c>
      <c r="C129" t="s">
        <v>3381</v>
      </c>
      <c r="D129" t="s">
        <v>3423</v>
      </c>
      <c r="E129" t="s">
        <v>3424</v>
      </c>
      <c r="F129" t="s">
        <v>3107</v>
      </c>
      <c r="G129" t="s">
        <v>3425</v>
      </c>
    </row>
    <row r="130" spans="1:7" ht="11.25" customHeight="1">
      <c r="A130" t="s">
        <v>14</v>
      </c>
      <c r="B130" t="s">
        <v>3380</v>
      </c>
      <c r="C130" t="s">
        <v>3381</v>
      </c>
      <c r="D130" t="s">
        <v>3426</v>
      </c>
      <c r="E130" t="s">
        <v>3427</v>
      </c>
      <c r="F130" t="s">
        <v>3107</v>
      </c>
      <c r="G130" t="s">
        <v>3428</v>
      </c>
    </row>
    <row r="131" spans="1:7" ht="11.25" customHeight="1">
      <c r="A131" t="s">
        <v>14</v>
      </c>
      <c r="B131" t="s">
        <v>3429</v>
      </c>
      <c r="C131" t="s">
        <v>3430</v>
      </c>
      <c r="D131" t="s">
        <v>3429</v>
      </c>
      <c r="E131" t="s">
        <v>3430</v>
      </c>
      <c r="F131" t="s">
        <v>3196</v>
      </c>
      <c r="G131" t="s">
        <v>3431</v>
      </c>
    </row>
    <row r="132" spans="1:7" ht="11.25" customHeight="1">
      <c r="A132" t="s">
        <v>14</v>
      </c>
      <c r="B132" t="s">
        <v>3432</v>
      </c>
      <c r="C132" t="s">
        <v>3433</v>
      </c>
      <c r="D132" t="s">
        <v>3432</v>
      </c>
      <c r="E132" t="s">
        <v>3433</v>
      </c>
      <c r="F132" t="s">
        <v>3101</v>
      </c>
      <c r="G132" t="s">
        <v>3434</v>
      </c>
    </row>
    <row r="133" spans="1:7" ht="11.25" customHeight="1">
      <c r="A133" t="s">
        <v>14</v>
      </c>
      <c r="B133" t="s">
        <v>3435</v>
      </c>
      <c r="C133" t="s">
        <v>3436</v>
      </c>
      <c r="D133" t="s">
        <v>3437</v>
      </c>
      <c r="E133" t="s">
        <v>3438</v>
      </c>
      <c r="F133" t="s">
        <v>3107</v>
      </c>
      <c r="G133" t="s">
        <v>3439</v>
      </c>
    </row>
    <row r="134" spans="1:7" ht="11.25" customHeight="1">
      <c r="A134" t="s">
        <v>14</v>
      </c>
      <c r="B134" t="s">
        <v>3435</v>
      </c>
      <c r="C134" t="s">
        <v>3436</v>
      </c>
      <c r="D134" t="s">
        <v>3440</v>
      </c>
      <c r="E134" t="s">
        <v>3441</v>
      </c>
      <c r="F134" t="s">
        <v>3107</v>
      </c>
      <c r="G134" t="s">
        <v>3442</v>
      </c>
    </row>
    <row r="135" spans="1:7" ht="11.25" customHeight="1">
      <c r="A135" t="s">
        <v>14</v>
      </c>
      <c r="B135" t="s">
        <v>3435</v>
      </c>
      <c r="C135" t="s">
        <v>3436</v>
      </c>
      <c r="D135" t="s">
        <v>3443</v>
      </c>
      <c r="E135" t="s">
        <v>3444</v>
      </c>
      <c r="F135" t="s">
        <v>3209</v>
      </c>
      <c r="G135" t="s">
        <v>3445</v>
      </c>
    </row>
    <row r="136" spans="1:7" ht="11.25" customHeight="1">
      <c r="A136" t="s">
        <v>14</v>
      </c>
      <c r="B136" t="s">
        <v>3435</v>
      </c>
      <c r="C136" t="s">
        <v>3436</v>
      </c>
      <c r="D136" t="s">
        <v>3446</v>
      </c>
      <c r="E136" t="s">
        <v>3447</v>
      </c>
      <c r="F136" t="s">
        <v>3107</v>
      </c>
      <c r="G136" t="s">
        <v>3448</v>
      </c>
    </row>
    <row r="137" spans="1:7" ht="11.25" customHeight="1">
      <c r="A137" t="s">
        <v>14</v>
      </c>
      <c r="B137" t="s">
        <v>3435</v>
      </c>
      <c r="C137" t="s">
        <v>3436</v>
      </c>
      <c r="D137" t="s">
        <v>3449</v>
      </c>
      <c r="E137" t="s">
        <v>3450</v>
      </c>
      <c r="F137" t="s">
        <v>3107</v>
      </c>
      <c r="G137" t="s">
        <v>3451</v>
      </c>
    </row>
    <row r="138" spans="1:7" ht="11.25" customHeight="1">
      <c r="A138" t="s">
        <v>14</v>
      </c>
      <c r="B138" t="s">
        <v>3435</v>
      </c>
      <c r="C138" t="s">
        <v>3436</v>
      </c>
      <c r="D138" t="s">
        <v>3435</v>
      </c>
      <c r="E138" t="s">
        <v>3436</v>
      </c>
      <c r="F138" t="s">
        <v>3104</v>
      </c>
      <c r="G138" t="s">
        <v>3452</v>
      </c>
    </row>
    <row r="139" spans="1:7" ht="11.25" customHeight="1">
      <c r="A139" t="s">
        <v>14</v>
      </c>
      <c r="B139" t="s">
        <v>3435</v>
      </c>
      <c r="C139" t="s">
        <v>3436</v>
      </c>
      <c r="D139" t="s">
        <v>3453</v>
      </c>
      <c r="E139" t="s">
        <v>3454</v>
      </c>
      <c r="F139" t="s">
        <v>3107</v>
      </c>
      <c r="G139" t="s">
        <v>3455</v>
      </c>
    </row>
    <row r="140" spans="1:7" ht="11.25" customHeight="1">
      <c r="A140" t="s">
        <v>14</v>
      </c>
      <c r="B140" t="s">
        <v>3435</v>
      </c>
      <c r="C140" t="s">
        <v>3436</v>
      </c>
      <c r="D140" t="s">
        <v>3456</v>
      </c>
      <c r="E140" t="s">
        <v>3457</v>
      </c>
      <c r="F140" t="s">
        <v>3107</v>
      </c>
      <c r="G140" t="s">
        <v>3458</v>
      </c>
    </row>
    <row r="141" spans="1:7" ht="11.25" customHeight="1">
      <c r="A141" t="s">
        <v>14</v>
      </c>
      <c r="B141" t="s">
        <v>3435</v>
      </c>
      <c r="C141" t="s">
        <v>3436</v>
      </c>
      <c r="D141" t="s">
        <v>3459</v>
      </c>
      <c r="E141" t="s">
        <v>3460</v>
      </c>
      <c r="F141" t="s">
        <v>3107</v>
      </c>
      <c r="G141" t="s">
        <v>3461</v>
      </c>
    </row>
    <row r="142" spans="1:7" ht="11.25" customHeight="1">
      <c r="A142" t="s">
        <v>14</v>
      </c>
      <c r="B142" t="s">
        <v>3435</v>
      </c>
      <c r="C142" t="s">
        <v>3436</v>
      </c>
      <c r="D142" t="s">
        <v>3462</v>
      </c>
      <c r="E142" t="s">
        <v>3463</v>
      </c>
      <c r="F142" t="s">
        <v>3107</v>
      </c>
      <c r="G142" t="s">
        <v>3464</v>
      </c>
    </row>
    <row r="143" spans="1:7" ht="11.25" customHeight="1">
      <c r="A143" t="s">
        <v>14</v>
      </c>
      <c r="B143" t="s">
        <v>3435</v>
      </c>
      <c r="C143" t="s">
        <v>3436</v>
      </c>
      <c r="D143" t="s">
        <v>3465</v>
      </c>
      <c r="E143" t="s">
        <v>3466</v>
      </c>
      <c r="F143" t="s">
        <v>3107</v>
      </c>
      <c r="G143" t="s">
        <v>3467</v>
      </c>
    </row>
    <row r="144" spans="1:7" ht="11.25" customHeight="1">
      <c r="A144" t="s">
        <v>14</v>
      </c>
      <c r="B144" t="s">
        <v>3435</v>
      </c>
      <c r="C144" t="s">
        <v>3436</v>
      </c>
      <c r="D144" t="s">
        <v>3468</v>
      </c>
      <c r="E144" t="s">
        <v>3469</v>
      </c>
      <c r="F144" t="s">
        <v>3107</v>
      </c>
      <c r="G144" t="s">
        <v>3470</v>
      </c>
    </row>
    <row r="145" spans="1:7" ht="11.25" customHeight="1">
      <c r="A145" t="s">
        <v>14</v>
      </c>
      <c r="B145" t="s">
        <v>3435</v>
      </c>
      <c r="C145" t="s">
        <v>3436</v>
      </c>
      <c r="D145" t="s">
        <v>3471</v>
      </c>
      <c r="E145" t="s">
        <v>3472</v>
      </c>
      <c r="F145" t="s">
        <v>3107</v>
      </c>
      <c r="G145" t="s">
        <v>3473</v>
      </c>
    </row>
    <row r="146" spans="1:7" ht="11.25" customHeight="1">
      <c r="A146" t="s">
        <v>14</v>
      </c>
      <c r="B146" t="s">
        <v>3435</v>
      </c>
      <c r="C146" t="s">
        <v>3436</v>
      </c>
      <c r="D146" t="s">
        <v>3474</v>
      </c>
      <c r="E146" t="s">
        <v>3475</v>
      </c>
      <c r="F146" t="s">
        <v>3107</v>
      </c>
      <c r="G146" t="s">
        <v>3476</v>
      </c>
    </row>
    <row r="147" spans="1:7" ht="11.25" customHeight="1">
      <c r="A147" t="s">
        <v>14</v>
      </c>
      <c r="B147" t="s">
        <v>3435</v>
      </c>
      <c r="C147" t="s">
        <v>3436</v>
      </c>
      <c r="D147" t="s">
        <v>3477</v>
      </c>
      <c r="E147" t="s">
        <v>3478</v>
      </c>
      <c r="F147" t="s">
        <v>3107</v>
      </c>
      <c r="G147" t="s">
        <v>3479</v>
      </c>
    </row>
    <row r="148" spans="1:7" ht="11.25" customHeight="1">
      <c r="A148" t="s">
        <v>14</v>
      </c>
      <c r="B148" t="s">
        <v>3435</v>
      </c>
      <c r="C148" t="s">
        <v>3436</v>
      </c>
      <c r="D148" t="s">
        <v>3480</v>
      </c>
      <c r="E148" t="s">
        <v>3481</v>
      </c>
      <c r="F148" t="s">
        <v>3107</v>
      </c>
      <c r="G148" t="s">
        <v>3482</v>
      </c>
    </row>
    <row r="149" spans="1:7" ht="11.25" customHeight="1">
      <c r="A149" t="s">
        <v>14</v>
      </c>
      <c r="B149" t="s">
        <v>3435</v>
      </c>
      <c r="C149" t="s">
        <v>3436</v>
      </c>
      <c r="D149" t="s">
        <v>3483</v>
      </c>
      <c r="E149" t="s">
        <v>3484</v>
      </c>
      <c r="F149" t="s">
        <v>3107</v>
      </c>
      <c r="G149" t="s">
        <v>3485</v>
      </c>
    </row>
    <row r="150" spans="1:7" ht="11.25" customHeight="1">
      <c r="A150" t="s">
        <v>14</v>
      </c>
      <c r="B150" t="s">
        <v>3486</v>
      </c>
      <c r="C150" t="s">
        <v>3487</v>
      </c>
      <c r="D150" t="s">
        <v>3486</v>
      </c>
      <c r="E150" t="s">
        <v>3487</v>
      </c>
      <c r="F150" t="s">
        <v>3196</v>
      </c>
      <c r="G150" t="s">
        <v>3488</v>
      </c>
    </row>
    <row r="151" spans="1:7" ht="11.25" customHeight="1">
      <c r="A151" t="s">
        <v>14</v>
      </c>
      <c r="B151" t="s">
        <v>3489</v>
      </c>
      <c r="C151" t="s">
        <v>3490</v>
      </c>
      <c r="D151" t="s">
        <v>3489</v>
      </c>
      <c r="E151" t="s">
        <v>3490</v>
      </c>
      <c r="F151" t="s">
        <v>3101</v>
      </c>
      <c r="G151" t="s">
        <v>3491</v>
      </c>
    </row>
    <row r="152" spans="1:7" ht="11.25" customHeight="1">
      <c r="A152" t="s">
        <v>14</v>
      </c>
      <c r="B152" t="s">
        <v>3492</v>
      </c>
      <c r="C152" t="s">
        <v>3493</v>
      </c>
      <c r="D152" t="s">
        <v>3494</v>
      </c>
      <c r="E152" t="s">
        <v>3495</v>
      </c>
      <c r="F152" t="s">
        <v>3107</v>
      </c>
      <c r="G152" t="s">
        <v>3496</v>
      </c>
    </row>
    <row r="153" spans="1:7" ht="11.25" customHeight="1">
      <c r="A153" t="s">
        <v>14</v>
      </c>
      <c r="B153" t="s">
        <v>3492</v>
      </c>
      <c r="C153" t="s">
        <v>3493</v>
      </c>
      <c r="D153" t="s">
        <v>3497</v>
      </c>
      <c r="E153" t="s">
        <v>3498</v>
      </c>
      <c r="F153" t="s">
        <v>3209</v>
      </c>
      <c r="G153" t="s">
        <v>3499</v>
      </c>
    </row>
    <row r="154" spans="1:7" ht="11.25" customHeight="1">
      <c r="A154" t="s">
        <v>14</v>
      </c>
      <c r="B154" t="s">
        <v>3492</v>
      </c>
      <c r="C154" t="s">
        <v>3493</v>
      </c>
      <c r="D154" t="s">
        <v>3500</v>
      </c>
      <c r="E154" t="s">
        <v>3501</v>
      </c>
      <c r="F154" t="s">
        <v>3107</v>
      </c>
      <c r="G154" t="s">
        <v>3502</v>
      </c>
    </row>
    <row r="155" spans="1:7" ht="11.25" customHeight="1">
      <c r="A155" t="s">
        <v>14</v>
      </c>
      <c r="B155" t="s">
        <v>3492</v>
      </c>
      <c r="C155" t="s">
        <v>3493</v>
      </c>
      <c r="D155" t="s">
        <v>3492</v>
      </c>
      <c r="E155" t="s">
        <v>3493</v>
      </c>
      <c r="F155" t="s">
        <v>3104</v>
      </c>
      <c r="G155" t="s">
        <v>3503</v>
      </c>
    </row>
    <row r="156" spans="1:7" ht="11.25" customHeight="1">
      <c r="A156" t="s">
        <v>14</v>
      </c>
      <c r="B156" t="s">
        <v>3492</v>
      </c>
      <c r="C156" t="s">
        <v>3493</v>
      </c>
      <c r="D156" t="s">
        <v>3504</v>
      </c>
      <c r="E156" t="s">
        <v>3505</v>
      </c>
      <c r="F156" t="s">
        <v>3107</v>
      </c>
      <c r="G156" t="s">
        <v>3506</v>
      </c>
    </row>
    <row r="157" spans="1:7" ht="11.25" customHeight="1">
      <c r="A157" t="s">
        <v>14</v>
      </c>
      <c r="B157" t="s">
        <v>3492</v>
      </c>
      <c r="C157" t="s">
        <v>3493</v>
      </c>
      <c r="D157" t="s">
        <v>3507</v>
      </c>
      <c r="E157" t="s">
        <v>3508</v>
      </c>
      <c r="F157" t="s">
        <v>3107</v>
      </c>
      <c r="G157" t="s">
        <v>3509</v>
      </c>
    </row>
    <row r="158" spans="1:7" ht="11.25" customHeight="1">
      <c r="A158" t="s">
        <v>14</v>
      </c>
      <c r="B158" t="s">
        <v>3492</v>
      </c>
      <c r="C158" t="s">
        <v>3493</v>
      </c>
      <c r="D158" t="s">
        <v>3249</v>
      </c>
      <c r="E158" t="s">
        <v>3510</v>
      </c>
      <c r="F158" t="s">
        <v>3107</v>
      </c>
      <c r="G158" t="s">
        <v>3511</v>
      </c>
    </row>
    <row r="159" spans="1:7" ht="11.25" customHeight="1">
      <c r="A159" t="s">
        <v>14</v>
      </c>
      <c r="B159" t="s">
        <v>3492</v>
      </c>
      <c r="C159" t="s">
        <v>3493</v>
      </c>
      <c r="D159" t="s">
        <v>3512</v>
      </c>
      <c r="E159" t="s">
        <v>3513</v>
      </c>
      <c r="F159" t="s">
        <v>3107</v>
      </c>
      <c r="G159" t="s">
        <v>3514</v>
      </c>
    </row>
    <row r="160" spans="1:7" ht="11.25" customHeight="1">
      <c r="A160" t="s">
        <v>14</v>
      </c>
      <c r="B160" t="s">
        <v>3492</v>
      </c>
      <c r="C160" t="s">
        <v>3493</v>
      </c>
      <c r="D160" t="s">
        <v>3515</v>
      </c>
      <c r="E160" t="s">
        <v>3516</v>
      </c>
      <c r="F160" t="s">
        <v>3107</v>
      </c>
      <c r="G160" t="s">
        <v>3517</v>
      </c>
    </row>
    <row r="161" spans="1:7" ht="11.25" customHeight="1">
      <c r="A161" t="s">
        <v>14</v>
      </c>
      <c r="B161" t="s">
        <v>3492</v>
      </c>
      <c r="C161" t="s">
        <v>3493</v>
      </c>
      <c r="D161" t="s">
        <v>3518</v>
      </c>
      <c r="E161" t="s">
        <v>3519</v>
      </c>
      <c r="F161" t="s">
        <v>3107</v>
      </c>
      <c r="G161" t="s">
        <v>3520</v>
      </c>
    </row>
    <row r="162" spans="1:7" ht="11.25" customHeight="1">
      <c r="A162" t="s">
        <v>14</v>
      </c>
      <c r="B162" t="s">
        <v>3492</v>
      </c>
      <c r="C162" t="s">
        <v>3493</v>
      </c>
      <c r="D162" t="s">
        <v>3521</v>
      </c>
      <c r="E162" t="s">
        <v>3522</v>
      </c>
      <c r="F162" t="s">
        <v>3107</v>
      </c>
      <c r="G162" t="s">
        <v>3523</v>
      </c>
    </row>
    <row r="163" spans="1:7" ht="11.25" customHeight="1">
      <c r="A163" t="s">
        <v>14</v>
      </c>
      <c r="B163" t="s">
        <v>3524</v>
      </c>
      <c r="C163" t="s">
        <v>3525</v>
      </c>
      <c r="D163" t="s">
        <v>3524</v>
      </c>
      <c r="E163" t="s">
        <v>3525</v>
      </c>
      <c r="F163" t="s">
        <v>3101</v>
      </c>
      <c r="G163" t="s">
        <v>3526</v>
      </c>
    </row>
    <row r="164" spans="1:7" ht="11.25" customHeight="1">
      <c r="A164" t="s">
        <v>14</v>
      </c>
      <c r="B164" t="s">
        <v>3527</v>
      </c>
      <c r="C164" t="s">
        <v>3528</v>
      </c>
      <c r="D164" t="s">
        <v>3529</v>
      </c>
      <c r="E164" t="s">
        <v>3530</v>
      </c>
      <c r="F164" t="s">
        <v>3107</v>
      </c>
      <c r="G164" t="s">
        <v>3531</v>
      </c>
    </row>
    <row r="165" spans="1:7" ht="11.25" customHeight="1">
      <c r="A165" t="s">
        <v>14</v>
      </c>
      <c r="B165" t="s">
        <v>3527</v>
      </c>
      <c r="C165" t="s">
        <v>3528</v>
      </c>
      <c r="D165" t="s">
        <v>3532</v>
      </c>
      <c r="E165" t="s">
        <v>3533</v>
      </c>
      <c r="F165" t="s">
        <v>3107</v>
      </c>
      <c r="G165" t="s">
        <v>3534</v>
      </c>
    </row>
    <row r="166" spans="1:7" ht="11.25" customHeight="1">
      <c r="A166" t="s">
        <v>14</v>
      </c>
      <c r="B166" t="s">
        <v>3527</v>
      </c>
      <c r="C166" t="s">
        <v>3528</v>
      </c>
      <c r="D166" t="s">
        <v>3535</v>
      </c>
      <c r="E166" t="s">
        <v>3536</v>
      </c>
      <c r="F166" t="s">
        <v>3107</v>
      </c>
      <c r="G166" t="s">
        <v>3537</v>
      </c>
    </row>
    <row r="167" spans="1:7" ht="11.25" customHeight="1">
      <c r="A167" t="s">
        <v>14</v>
      </c>
      <c r="B167" t="s">
        <v>3527</v>
      </c>
      <c r="C167" t="s">
        <v>3528</v>
      </c>
      <c r="D167" t="s">
        <v>3538</v>
      </c>
      <c r="E167" t="s">
        <v>3539</v>
      </c>
      <c r="F167" t="s">
        <v>3107</v>
      </c>
      <c r="G167" t="s">
        <v>3540</v>
      </c>
    </row>
    <row r="168" spans="1:7" ht="11.25" customHeight="1">
      <c r="A168" t="s">
        <v>14</v>
      </c>
      <c r="B168" t="s">
        <v>3527</v>
      </c>
      <c r="C168" t="s">
        <v>3528</v>
      </c>
      <c r="D168" t="s">
        <v>3541</v>
      </c>
      <c r="E168" t="s">
        <v>3542</v>
      </c>
      <c r="F168" t="s">
        <v>3107</v>
      </c>
      <c r="G168" t="s">
        <v>3543</v>
      </c>
    </row>
    <row r="169" spans="1:7" ht="11.25" customHeight="1">
      <c r="A169" t="s">
        <v>14</v>
      </c>
      <c r="B169" t="s">
        <v>3527</v>
      </c>
      <c r="C169" t="s">
        <v>3528</v>
      </c>
      <c r="D169" t="s">
        <v>3544</v>
      </c>
      <c r="E169" t="s">
        <v>3545</v>
      </c>
      <c r="F169" t="s">
        <v>3107</v>
      </c>
      <c r="G169" t="s">
        <v>3546</v>
      </c>
    </row>
    <row r="170" spans="1:7" ht="11.25" customHeight="1">
      <c r="A170" t="s">
        <v>14</v>
      </c>
      <c r="B170" t="s">
        <v>3527</v>
      </c>
      <c r="C170" t="s">
        <v>3528</v>
      </c>
      <c r="D170" t="s">
        <v>3547</v>
      </c>
      <c r="E170" t="s">
        <v>3548</v>
      </c>
      <c r="F170" t="s">
        <v>3107</v>
      </c>
      <c r="G170" t="s">
        <v>3549</v>
      </c>
    </row>
    <row r="171" spans="1:7" ht="11.25" customHeight="1">
      <c r="A171" t="s">
        <v>14</v>
      </c>
      <c r="B171" t="s">
        <v>3527</v>
      </c>
      <c r="C171" t="s">
        <v>3528</v>
      </c>
      <c r="D171" t="s">
        <v>3550</v>
      </c>
      <c r="E171" t="s">
        <v>3551</v>
      </c>
      <c r="F171" t="s">
        <v>3107</v>
      </c>
      <c r="G171" t="s">
        <v>3552</v>
      </c>
    </row>
    <row r="172" spans="1:7" ht="11.25" customHeight="1">
      <c r="A172" t="s">
        <v>14</v>
      </c>
      <c r="B172" t="s">
        <v>3527</v>
      </c>
      <c r="C172" t="s">
        <v>3528</v>
      </c>
      <c r="D172" t="s">
        <v>3527</v>
      </c>
      <c r="E172" t="s">
        <v>3528</v>
      </c>
      <c r="F172" t="s">
        <v>3104</v>
      </c>
      <c r="G172" t="s">
        <v>3553</v>
      </c>
    </row>
    <row r="173" spans="1:7" ht="11.25" customHeight="1">
      <c r="A173" t="s">
        <v>14</v>
      </c>
      <c r="B173" t="s">
        <v>3527</v>
      </c>
      <c r="C173" t="s">
        <v>3528</v>
      </c>
      <c r="D173" t="s">
        <v>3554</v>
      </c>
      <c r="E173" t="s">
        <v>3555</v>
      </c>
      <c r="F173" t="s">
        <v>3107</v>
      </c>
      <c r="G173" t="s">
        <v>3556</v>
      </c>
    </row>
    <row r="174" spans="1:7" ht="11.25" customHeight="1">
      <c r="A174" t="s">
        <v>14</v>
      </c>
      <c r="B174" t="s">
        <v>3527</v>
      </c>
      <c r="C174" t="s">
        <v>3528</v>
      </c>
      <c r="D174" t="s">
        <v>3557</v>
      </c>
      <c r="E174" t="s">
        <v>3558</v>
      </c>
      <c r="F174" t="s">
        <v>3107</v>
      </c>
      <c r="G174" t="s">
        <v>3559</v>
      </c>
    </row>
    <row r="175" spans="1:7" ht="11.25" customHeight="1">
      <c r="A175" t="s">
        <v>14</v>
      </c>
      <c r="B175" t="s">
        <v>3527</v>
      </c>
      <c r="C175" t="s">
        <v>3528</v>
      </c>
      <c r="D175" t="s">
        <v>3560</v>
      </c>
      <c r="E175" t="s">
        <v>3561</v>
      </c>
      <c r="F175" t="s">
        <v>3107</v>
      </c>
      <c r="G175" t="s">
        <v>3562</v>
      </c>
    </row>
    <row r="176" spans="1:7" ht="11.25" customHeight="1">
      <c r="A176" t="s">
        <v>14</v>
      </c>
      <c r="B176" t="s">
        <v>3527</v>
      </c>
      <c r="C176" t="s">
        <v>3528</v>
      </c>
      <c r="D176" t="s">
        <v>3563</v>
      </c>
      <c r="E176" t="s">
        <v>3564</v>
      </c>
      <c r="F176" t="s">
        <v>3107</v>
      </c>
      <c r="G176" t="s">
        <v>3565</v>
      </c>
    </row>
    <row r="177" spans="1:7" ht="11.25" customHeight="1">
      <c r="A177" t="s">
        <v>14</v>
      </c>
      <c r="B177" t="s">
        <v>3527</v>
      </c>
      <c r="C177" t="s">
        <v>3528</v>
      </c>
      <c r="D177" t="s">
        <v>3566</v>
      </c>
      <c r="E177" t="s">
        <v>3567</v>
      </c>
      <c r="F177" t="s">
        <v>3107</v>
      </c>
      <c r="G177" t="s">
        <v>3568</v>
      </c>
    </row>
    <row r="178" spans="1:7" ht="11.25" customHeight="1">
      <c r="A178" t="s">
        <v>14</v>
      </c>
      <c r="B178" t="s">
        <v>3527</v>
      </c>
      <c r="C178" t="s">
        <v>3528</v>
      </c>
      <c r="D178" t="s">
        <v>3569</v>
      </c>
      <c r="E178" t="s">
        <v>3570</v>
      </c>
      <c r="F178" t="s">
        <v>3107</v>
      </c>
      <c r="G178" t="s">
        <v>3571</v>
      </c>
    </row>
    <row r="179" spans="1:7" ht="11.25" customHeight="1">
      <c r="A179" t="s">
        <v>14</v>
      </c>
      <c r="B179" t="s">
        <v>3527</v>
      </c>
      <c r="C179" t="s">
        <v>3528</v>
      </c>
      <c r="D179" t="s">
        <v>3572</v>
      </c>
      <c r="E179" t="s">
        <v>3573</v>
      </c>
      <c r="F179" t="s">
        <v>3107</v>
      </c>
      <c r="G179" t="s">
        <v>3574</v>
      </c>
    </row>
    <row r="180" spans="1:7" ht="11.25" customHeight="1">
      <c r="A180" t="s">
        <v>14</v>
      </c>
      <c r="B180" t="s">
        <v>3575</v>
      </c>
      <c r="C180" t="s">
        <v>3576</v>
      </c>
      <c r="D180" t="s">
        <v>3575</v>
      </c>
      <c r="E180" t="s">
        <v>3576</v>
      </c>
      <c r="F180" t="s">
        <v>3101</v>
      </c>
      <c r="G180" t="s">
        <v>3577</v>
      </c>
    </row>
    <row r="181" spans="1:7" ht="11.25" customHeight="1">
      <c r="A181" t="s">
        <v>14</v>
      </c>
      <c r="B181" t="s">
        <v>3578</v>
      </c>
      <c r="C181" t="s">
        <v>3579</v>
      </c>
      <c r="D181" t="s">
        <v>3580</v>
      </c>
      <c r="E181" t="s">
        <v>3581</v>
      </c>
      <c r="F181" t="s">
        <v>3107</v>
      </c>
      <c r="G181" t="s">
        <v>3582</v>
      </c>
    </row>
    <row r="182" spans="1:7" ht="11.25" customHeight="1">
      <c r="A182" t="s">
        <v>14</v>
      </c>
      <c r="B182" t="s">
        <v>3578</v>
      </c>
      <c r="C182" t="s">
        <v>3579</v>
      </c>
      <c r="D182" t="s">
        <v>3578</v>
      </c>
      <c r="E182" t="s">
        <v>3579</v>
      </c>
      <c r="F182" t="s">
        <v>3104</v>
      </c>
      <c r="G182" t="s">
        <v>3583</v>
      </c>
    </row>
    <row r="183" spans="1:7" ht="11.25" customHeight="1">
      <c r="A183" t="s">
        <v>14</v>
      </c>
      <c r="B183" t="s">
        <v>3578</v>
      </c>
      <c r="C183" t="s">
        <v>3579</v>
      </c>
      <c r="D183" t="s">
        <v>3584</v>
      </c>
      <c r="E183" t="s">
        <v>3585</v>
      </c>
      <c r="F183" t="s">
        <v>3107</v>
      </c>
      <c r="G183" t="s">
        <v>3586</v>
      </c>
    </row>
    <row r="184" spans="1:7" ht="11.25" customHeight="1">
      <c r="A184" t="s">
        <v>14</v>
      </c>
      <c r="B184" t="s">
        <v>3578</v>
      </c>
      <c r="C184" t="s">
        <v>3579</v>
      </c>
      <c r="D184" t="s">
        <v>3587</v>
      </c>
      <c r="E184" t="s">
        <v>3588</v>
      </c>
      <c r="F184" t="s">
        <v>3107</v>
      </c>
      <c r="G184" t="s">
        <v>3589</v>
      </c>
    </row>
    <row r="185" spans="1:7" ht="11.25" customHeight="1">
      <c r="A185" t="s">
        <v>14</v>
      </c>
      <c r="B185" t="s">
        <v>3578</v>
      </c>
      <c r="C185" t="s">
        <v>3579</v>
      </c>
      <c r="D185" t="s">
        <v>3590</v>
      </c>
      <c r="E185" t="s">
        <v>3591</v>
      </c>
      <c r="F185" t="s">
        <v>3107</v>
      </c>
      <c r="G185" t="s">
        <v>3592</v>
      </c>
    </row>
    <row r="186" spans="1:7" ht="11.25" customHeight="1">
      <c r="A186" t="s">
        <v>14</v>
      </c>
      <c r="B186" t="s">
        <v>3578</v>
      </c>
      <c r="C186" t="s">
        <v>3579</v>
      </c>
      <c r="D186" t="s">
        <v>3593</v>
      </c>
      <c r="E186" t="s">
        <v>3594</v>
      </c>
      <c r="F186" t="s">
        <v>3107</v>
      </c>
      <c r="G186" t="s">
        <v>3595</v>
      </c>
    </row>
    <row r="187" spans="1:7" ht="11.25" customHeight="1">
      <c r="A187" t="s">
        <v>14</v>
      </c>
      <c r="B187" t="s">
        <v>3578</v>
      </c>
      <c r="C187" t="s">
        <v>3579</v>
      </c>
      <c r="D187" t="s">
        <v>3596</v>
      </c>
      <c r="E187" t="s">
        <v>3597</v>
      </c>
      <c r="F187" t="s">
        <v>3107</v>
      </c>
      <c r="G187" t="s">
        <v>3598</v>
      </c>
    </row>
    <row r="188" spans="1:7" ht="11.25" customHeight="1">
      <c r="A188" t="s">
        <v>14</v>
      </c>
      <c r="B188" t="s">
        <v>3578</v>
      </c>
      <c r="C188" t="s">
        <v>3579</v>
      </c>
      <c r="D188" t="s">
        <v>3599</v>
      </c>
      <c r="E188" t="s">
        <v>3600</v>
      </c>
      <c r="F188" t="s">
        <v>3107</v>
      </c>
      <c r="G188" t="s">
        <v>3601</v>
      </c>
    </row>
    <row r="189" spans="1:7" ht="11.25" customHeight="1">
      <c r="A189" t="s">
        <v>14</v>
      </c>
      <c r="B189" t="s">
        <v>3578</v>
      </c>
      <c r="C189" t="s">
        <v>3579</v>
      </c>
      <c r="D189" t="s">
        <v>3602</v>
      </c>
      <c r="E189" t="s">
        <v>3603</v>
      </c>
      <c r="F189" t="s">
        <v>3107</v>
      </c>
      <c r="G189" t="s">
        <v>3604</v>
      </c>
    </row>
    <row r="190" spans="1:7" ht="11.25" customHeight="1">
      <c r="A190" t="s">
        <v>14</v>
      </c>
      <c r="B190" t="s">
        <v>3578</v>
      </c>
      <c r="C190" t="s">
        <v>3579</v>
      </c>
      <c r="D190" t="s">
        <v>3605</v>
      </c>
      <c r="E190" t="s">
        <v>3606</v>
      </c>
      <c r="F190" t="s">
        <v>3107</v>
      </c>
      <c r="G190" t="s">
        <v>3607</v>
      </c>
    </row>
    <row r="191" spans="1:7" ht="11.25" customHeight="1">
      <c r="A191" t="s">
        <v>14</v>
      </c>
      <c r="B191" t="s">
        <v>3578</v>
      </c>
      <c r="C191" t="s">
        <v>3579</v>
      </c>
      <c r="D191" t="s">
        <v>3608</v>
      </c>
      <c r="E191" t="s">
        <v>3609</v>
      </c>
      <c r="F191" t="s">
        <v>3107</v>
      </c>
      <c r="G191" t="s">
        <v>3610</v>
      </c>
    </row>
    <row r="192" spans="1:7" ht="11.25" customHeight="1">
      <c r="A192" t="s">
        <v>14</v>
      </c>
      <c r="B192" t="s">
        <v>3578</v>
      </c>
      <c r="C192" t="s">
        <v>3579</v>
      </c>
      <c r="D192" t="s">
        <v>3611</v>
      </c>
      <c r="E192" t="s">
        <v>3612</v>
      </c>
      <c r="F192" t="s">
        <v>3107</v>
      </c>
      <c r="G192" t="s">
        <v>3613</v>
      </c>
    </row>
    <row r="193" spans="1:7" ht="11.25" customHeight="1">
      <c r="A193" t="s">
        <v>14</v>
      </c>
      <c r="B193" t="s">
        <v>110</v>
      </c>
      <c r="C193" t="s">
        <v>111</v>
      </c>
      <c r="D193" t="s">
        <v>110</v>
      </c>
      <c r="E193" t="s">
        <v>111</v>
      </c>
      <c r="F193" t="s">
        <v>3101</v>
      </c>
      <c r="G193" t="s">
        <v>109</v>
      </c>
    </row>
    <row r="194" spans="1:7" ht="11.25" customHeight="1">
      <c r="A194" t="s">
        <v>14</v>
      </c>
      <c r="B194" t="s">
        <v>3614</v>
      </c>
      <c r="C194" t="s">
        <v>3615</v>
      </c>
      <c r="D194" t="s">
        <v>3616</v>
      </c>
      <c r="E194" t="s">
        <v>3617</v>
      </c>
      <c r="F194" t="s">
        <v>3107</v>
      </c>
      <c r="G194" t="s">
        <v>3618</v>
      </c>
    </row>
    <row r="195" spans="1:7" ht="11.25" customHeight="1">
      <c r="A195" t="s">
        <v>14</v>
      </c>
      <c r="B195" t="s">
        <v>3614</v>
      </c>
      <c r="C195" t="s">
        <v>3615</v>
      </c>
      <c r="D195" t="s">
        <v>3619</v>
      </c>
      <c r="E195" t="s">
        <v>3620</v>
      </c>
      <c r="F195" t="s">
        <v>3107</v>
      </c>
      <c r="G195" t="s">
        <v>3621</v>
      </c>
    </row>
    <row r="196" spans="1:7" ht="11.25" customHeight="1">
      <c r="A196" t="s">
        <v>14</v>
      </c>
      <c r="B196" t="s">
        <v>3614</v>
      </c>
      <c r="C196" t="s">
        <v>3615</v>
      </c>
      <c r="D196" t="s">
        <v>3622</v>
      </c>
      <c r="E196" t="s">
        <v>3623</v>
      </c>
      <c r="F196" t="s">
        <v>3107</v>
      </c>
      <c r="G196" t="s">
        <v>3624</v>
      </c>
    </row>
    <row r="197" spans="1:7" ht="11.25" customHeight="1">
      <c r="A197" t="s">
        <v>14</v>
      </c>
      <c r="B197" t="s">
        <v>3614</v>
      </c>
      <c r="C197" t="s">
        <v>3615</v>
      </c>
      <c r="D197" t="s">
        <v>3614</v>
      </c>
      <c r="E197" t="s">
        <v>3615</v>
      </c>
      <c r="F197" t="s">
        <v>3104</v>
      </c>
      <c r="G197" t="s">
        <v>3625</v>
      </c>
    </row>
    <row r="198" spans="1:7" ht="11.25" customHeight="1">
      <c r="A198" t="s">
        <v>14</v>
      </c>
      <c r="B198" t="s">
        <v>3614</v>
      </c>
      <c r="C198" t="s">
        <v>3615</v>
      </c>
      <c r="D198" t="s">
        <v>3626</v>
      </c>
      <c r="E198" t="s">
        <v>3627</v>
      </c>
      <c r="F198" t="s">
        <v>3107</v>
      </c>
      <c r="G198" t="s">
        <v>3628</v>
      </c>
    </row>
    <row r="199" spans="1:7" ht="11.25" customHeight="1">
      <c r="A199" t="s">
        <v>14</v>
      </c>
      <c r="B199" t="s">
        <v>3614</v>
      </c>
      <c r="C199" t="s">
        <v>3615</v>
      </c>
      <c r="D199" t="s">
        <v>3629</v>
      </c>
      <c r="E199" t="s">
        <v>3630</v>
      </c>
      <c r="F199" t="s">
        <v>3107</v>
      </c>
      <c r="G199" t="s">
        <v>3631</v>
      </c>
    </row>
    <row r="200" spans="1:7" ht="11.25" customHeight="1">
      <c r="A200" t="s">
        <v>14</v>
      </c>
      <c r="B200" t="s">
        <v>3614</v>
      </c>
      <c r="C200" t="s">
        <v>3615</v>
      </c>
      <c r="D200" t="s">
        <v>3632</v>
      </c>
      <c r="E200" t="s">
        <v>3633</v>
      </c>
      <c r="F200" t="s">
        <v>3107</v>
      </c>
      <c r="G200" t="s">
        <v>3634</v>
      </c>
    </row>
    <row r="201" spans="1:7" ht="11.25" customHeight="1">
      <c r="A201" t="s">
        <v>14</v>
      </c>
      <c r="B201" t="s">
        <v>3614</v>
      </c>
      <c r="C201" t="s">
        <v>3615</v>
      </c>
      <c r="D201" t="s">
        <v>3635</v>
      </c>
      <c r="E201" t="s">
        <v>3636</v>
      </c>
      <c r="F201" t="s">
        <v>3107</v>
      </c>
      <c r="G201" t="s">
        <v>3637</v>
      </c>
    </row>
    <row r="202" spans="1:7" ht="11.25" customHeight="1">
      <c r="A202" t="s">
        <v>14</v>
      </c>
      <c r="B202" t="s">
        <v>3614</v>
      </c>
      <c r="C202" t="s">
        <v>3615</v>
      </c>
      <c r="D202" t="s">
        <v>3638</v>
      </c>
      <c r="E202" t="s">
        <v>3639</v>
      </c>
      <c r="F202" t="s">
        <v>3107</v>
      </c>
      <c r="G202" t="s">
        <v>3640</v>
      </c>
    </row>
    <row r="203" spans="1:7" ht="11.25" customHeight="1">
      <c r="A203" t="s">
        <v>14</v>
      </c>
      <c r="B203" t="s">
        <v>3614</v>
      </c>
      <c r="C203" t="s">
        <v>3615</v>
      </c>
      <c r="D203" t="s">
        <v>3641</v>
      </c>
      <c r="E203" t="s">
        <v>3642</v>
      </c>
      <c r="F203" t="s">
        <v>3107</v>
      </c>
      <c r="G203" t="s">
        <v>3643</v>
      </c>
    </row>
    <row r="204" spans="1:7" ht="11.25" customHeight="1">
      <c r="A204" t="s">
        <v>14</v>
      </c>
      <c r="B204" t="s">
        <v>3614</v>
      </c>
      <c r="C204" t="s">
        <v>3615</v>
      </c>
      <c r="D204" t="s">
        <v>3644</v>
      </c>
      <c r="E204" t="s">
        <v>3645</v>
      </c>
      <c r="F204" t="s">
        <v>3107</v>
      </c>
      <c r="G204" t="s">
        <v>3646</v>
      </c>
    </row>
    <row r="205" spans="1:7" ht="11.25" customHeight="1">
      <c r="A205" t="s">
        <v>14</v>
      </c>
      <c r="B205" t="s">
        <v>3614</v>
      </c>
      <c r="C205" t="s">
        <v>3615</v>
      </c>
      <c r="D205" t="s">
        <v>3647</v>
      </c>
      <c r="E205" t="s">
        <v>3648</v>
      </c>
      <c r="F205" t="s">
        <v>3107</v>
      </c>
      <c r="G205" t="s">
        <v>3649</v>
      </c>
    </row>
    <row r="206" spans="1:7" ht="11.25" customHeight="1">
      <c r="A206" t="s">
        <v>14</v>
      </c>
      <c r="B206" t="s">
        <v>3614</v>
      </c>
      <c r="C206" t="s">
        <v>3615</v>
      </c>
      <c r="D206" t="s">
        <v>3650</v>
      </c>
      <c r="E206" t="s">
        <v>3651</v>
      </c>
      <c r="F206" t="s">
        <v>3107</v>
      </c>
      <c r="G206" t="s">
        <v>3652</v>
      </c>
    </row>
    <row r="207" spans="1:7" ht="11.25" customHeight="1">
      <c r="A207" t="s">
        <v>14</v>
      </c>
      <c r="B207" t="s">
        <v>3653</v>
      </c>
      <c r="C207" t="s">
        <v>3654</v>
      </c>
      <c r="D207" t="s">
        <v>3653</v>
      </c>
      <c r="E207" t="s">
        <v>3654</v>
      </c>
      <c r="F207" t="s">
        <v>3101</v>
      </c>
      <c r="G207" t="s">
        <v>3655</v>
      </c>
    </row>
    <row r="208" spans="1:7" ht="11.25" customHeight="1">
      <c r="A208" t="s">
        <v>14</v>
      </c>
      <c r="B208" t="s">
        <v>114</v>
      </c>
      <c r="C208" t="s">
        <v>3656</v>
      </c>
      <c r="D208" t="s">
        <v>3657</v>
      </c>
      <c r="E208" t="s">
        <v>3658</v>
      </c>
      <c r="F208" t="s">
        <v>3107</v>
      </c>
      <c r="G208" t="s">
        <v>3659</v>
      </c>
    </row>
    <row r="209" spans="1:7" ht="11.25" customHeight="1">
      <c r="A209" t="s">
        <v>14</v>
      </c>
      <c r="B209" t="s">
        <v>114</v>
      </c>
      <c r="C209" t="s">
        <v>3656</v>
      </c>
      <c r="D209" t="s">
        <v>3660</v>
      </c>
      <c r="E209" t="s">
        <v>3661</v>
      </c>
      <c r="F209" t="s">
        <v>3107</v>
      </c>
      <c r="G209" t="s">
        <v>3662</v>
      </c>
    </row>
    <row r="210" spans="1:7" ht="11.25" customHeight="1">
      <c r="A210" t="s">
        <v>14</v>
      </c>
      <c r="B210" t="s">
        <v>114</v>
      </c>
      <c r="C210" t="s">
        <v>3656</v>
      </c>
      <c r="D210" t="s">
        <v>3663</v>
      </c>
      <c r="E210" t="s">
        <v>3664</v>
      </c>
      <c r="F210" t="s">
        <v>3107</v>
      </c>
      <c r="G210" t="s">
        <v>3665</v>
      </c>
    </row>
    <row r="211" spans="1:7" ht="11.25" customHeight="1">
      <c r="A211" t="s">
        <v>14</v>
      </c>
      <c r="B211" t="s">
        <v>114</v>
      </c>
      <c r="C211" t="s">
        <v>3656</v>
      </c>
      <c r="D211" t="s">
        <v>3666</v>
      </c>
      <c r="E211" t="s">
        <v>3667</v>
      </c>
      <c r="F211" t="s">
        <v>3107</v>
      </c>
      <c r="G211" t="s">
        <v>3668</v>
      </c>
    </row>
    <row r="212" spans="1:7" ht="11.25" customHeight="1">
      <c r="A212" t="s">
        <v>14</v>
      </c>
      <c r="B212" t="s">
        <v>114</v>
      </c>
      <c r="C212" t="s">
        <v>3656</v>
      </c>
      <c r="D212" t="s">
        <v>114</v>
      </c>
      <c r="E212" t="s">
        <v>3656</v>
      </c>
      <c r="F212" t="s">
        <v>3104</v>
      </c>
      <c r="G212" t="s">
        <v>3669</v>
      </c>
    </row>
    <row r="213" spans="1:7" ht="11.25" customHeight="1">
      <c r="A213" t="s">
        <v>14</v>
      </c>
      <c r="B213" t="s">
        <v>114</v>
      </c>
      <c r="C213" t="s">
        <v>3656</v>
      </c>
      <c r="D213" t="s">
        <v>3670</v>
      </c>
      <c r="E213" t="s">
        <v>3671</v>
      </c>
      <c r="F213" t="s">
        <v>3107</v>
      </c>
      <c r="G213" t="s">
        <v>3672</v>
      </c>
    </row>
    <row r="214" spans="1:7" ht="11.25" customHeight="1">
      <c r="A214" t="s">
        <v>14</v>
      </c>
      <c r="B214" t="s">
        <v>114</v>
      </c>
      <c r="C214" t="s">
        <v>3656</v>
      </c>
      <c r="D214" t="s">
        <v>3673</v>
      </c>
      <c r="E214" t="s">
        <v>3674</v>
      </c>
      <c r="F214" t="s">
        <v>3107</v>
      </c>
      <c r="G214" t="s">
        <v>3675</v>
      </c>
    </row>
    <row r="215" spans="1:7" ht="11.25" customHeight="1">
      <c r="A215" t="s">
        <v>14</v>
      </c>
      <c r="B215" t="s">
        <v>114</v>
      </c>
      <c r="C215" t="s">
        <v>3656</v>
      </c>
      <c r="D215" t="s">
        <v>115</v>
      </c>
      <c r="E215" t="s">
        <v>116</v>
      </c>
      <c r="F215" t="s">
        <v>3107</v>
      </c>
      <c r="G215" t="s">
        <v>113</v>
      </c>
    </row>
    <row r="216" spans="1:7" ht="11.25" customHeight="1">
      <c r="A216" t="s">
        <v>14</v>
      </c>
      <c r="B216" t="s">
        <v>114</v>
      </c>
      <c r="C216" t="s">
        <v>3656</v>
      </c>
      <c r="D216" t="s">
        <v>3676</v>
      </c>
      <c r="E216" t="s">
        <v>3677</v>
      </c>
      <c r="F216" t="s">
        <v>3107</v>
      </c>
      <c r="G216" t="s">
        <v>3678</v>
      </c>
    </row>
    <row r="217" spans="1:7" ht="11.25" customHeight="1">
      <c r="A217" t="s">
        <v>14</v>
      </c>
      <c r="B217" t="s">
        <v>114</v>
      </c>
      <c r="C217" t="s">
        <v>3656</v>
      </c>
      <c r="D217" t="s">
        <v>3679</v>
      </c>
      <c r="E217" t="s">
        <v>3680</v>
      </c>
      <c r="F217" t="s">
        <v>3107</v>
      </c>
      <c r="G217" t="s">
        <v>3681</v>
      </c>
    </row>
    <row r="218" spans="1:7" ht="11.25" customHeight="1">
      <c r="A218" t="s">
        <v>14</v>
      </c>
      <c r="B218" t="s">
        <v>114</v>
      </c>
      <c r="C218" t="s">
        <v>3656</v>
      </c>
      <c r="D218" t="s">
        <v>3682</v>
      </c>
      <c r="E218" t="s">
        <v>3683</v>
      </c>
      <c r="F218" t="s">
        <v>3107</v>
      </c>
      <c r="G218" t="s">
        <v>3684</v>
      </c>
    </row>
    <row r="219" spans="1:7" ht="11.25" customHeight="1">
      <c r="A219" t="s">
        <v>14</v>
      </c>
      <c r="B219" t="s">
        <v>114</v>
      </c>
      <c r="C219" t="s">
        <v>3656</v>
      </c>
      <c r="D219" t="s">
        <v>3685</v>
      </c>
      <c r="E219" t="s">
        <v>3686</v>
      </c>
      <c r="F219" t="s">
        <v>3107</v>
      </c>
      <c r="G219" t="s">
        <v>3687</v>
      </c>
    </row>
    <row r="220" spans="1:7" ht="11.25" customHeight="1">
      <c r="A220" t="s">
        <v>14</v>
      </c>
      <c r="B220" t="s">
        <v>3688</v>
      </c>
      <c r="C220" t="s">
        <v>3689</v>
      </c>
      <c r="D220" t="s">
        <v>3688</v>
      </c>
      <c r="E220" t="s">
        <v>3689</v>
      </c>
      <c r="F220" t="s">
        <v>3196</v>
      </c>
      <c r="G220" t="s">
        <v>3690</v>
      </c>
    </row>
    <row r="221" spans="1:7" ht="11.25" customHeight="1">
      <c r="A221" t="s">
        <v>14</v>
      </c>
      <c r="B221" t="s">
        <v>3691</v>
      </c>
      <c r="C221" t="s">
        <v>3692</v>
      </c>
      <c r="D221" t="s">
        <v>3691</v>
      </c>
      <c r="E221" t="s">
        <v>3692</v>
      </c>
      <c r="F221" t="s">
        <v>3101</v>
      </c>
      <c r="G221" t="s">
        <v>3693</v>
      </c>
    </row>
    <row r="222" spans="1:7" ht="11.25" customHeight="1">
      <c r="A222" t="s">
        <v>14</v>
      </c>
      <c r="B222" t="s">
        <v>3694</v>
      </c>
      <c r="C222" t="s">
        <v>3695</v>
      </c>
      <c r="D222" t="s">
        <v>3696</v>
      </c>
      <c r="E222" t="s">
        <v>3697</v>
      </c>
      <c r="F222" t="s">
        <v>3209</v>
      </c>
      <c r="G222" t="s">
        <v>3698</v>
      </c>
    </row>
    <row r="223" spans="1:7" ht="11.25" customHeight="1">
      <c r="A223" t="s">
        <v>14</v>
      </c>
      <c r="B223" t="s">
        <v>3694</v>
      </c>
      <c r="C223" t="s">
        <v>3695</v>
      </c>
      <c r="D223" t="s">
        <v>3699</v>
      </c>
      <c r="E223" t="s">
        <v>3700</v>
      </c>
      <c r="F223" t="s">
        <v>3107</v>
      </c>
      <c r="G223" t="s">
        <v>3701</v>
      </c>
    </row>
    <row r="224" spans="1:7" ht="11.25" customHeight="1">
      <c r="A224" t="s">
        <v>14</v>
      </c>
      <c r="B224" t="s">
        <v>3694</v>
      </c>
      <c r="C224" t="s">
        <v>3695</v>
      </c>
      <c r="D224" t="s">
        <v>3702</v>
      </c>
      <c r="E224" t="s">
        <v>3703</v>
      </c>
      <c r="F224" t="s">
        <v>3107</v>
      </c>
      <c r="G224" t="s">
        <v>3704</v>
      </c>
    </row>
    <row r="225" spans="1:7" ht="11.25" customHeight="1">
      <c r="A225" t="s">
        <v>14</v>
      </c>
      <c r="B225" t="s">
        <v>3694</v>
      </c>
      <c r="C225" t="s">
        <v>3695</v>
      </c>
      <c r="D225" t="s">
        <v>3705</v>
      </c>
      <c r="E225" t="s">
        <v>3706</v>
      </c>
      <c r="F225" t="s">
        <v>3107</v>
      </c>
      <c r="G225" t="s">
        <v>3707</v>
      </c>
    </row>
    <row r="226" spans="1:7" ht="11.25" customHeight="1">
      <c r="A226" t="s">
        <v>14</v>
      </c>
      <c r="B226" t="s">
        <v>3694</v>
      </c>
      <c r="C226" t="s">
        <v>3695</v>
      </c>
      <c r="D226" t="s">
        <v>3708</v>
      </c>
      <c r="E226" t="s">
        <v>3709</v>
      </c>
      <c r="F226" t="s">
        <v>3107</v>
      </c>
      <c r="G226" t="s">
        <v>3710</v>
      </c>
    </row>
    <row r="227" spans="1:7" ht="11.25" customHeight="1">
      <c r="A227" t="s">
        <v>14</v>
      </c>
      <c r="B227" t="s">
        <v>3694</v>
      </c>
      <c r="C227" t="s">
        <v>3695</v>
      </c>
      <c r="D227" t="s">
        <v>3694</v>
      </c>
      <c r="E227" t="s">
        <v>3695</v>
      </c>
      <c r="F227" t="s">
        <v>3104</v>
      </c>
      <c r="G227" t="s">
        <v>3711</v>
      </c>
    </row>
    <row r="228" spans="1:7" ht="11.25" customHeight="1">
      <c r="A228" t="s">
        <v>14</v>
      </c>
      <c r="B228" t="s">
        <v>3694</v>
      </c>
      <c r="C228" t="s">
        <v>3695</v>
      </c>
      <c r="D228" t="s">
        <v>3712</v>
      </c>
      <c r="E228" t="s">
        <v>3713</v>
      </c>
      <c r="F228" t="s">
        <v>3107</v>
      </c>
      <c r="G228" t="s">
        <v>3714</v>
      </c>
    </row>
    <row r="229" spans="1:7" ht="11.25" customHeight="1">
      <c r="A229" t="s">
        <v>14</v>
      </c>
      <c r="B229" t="s">
        <v>3694</v>
      </c>
      <c r="C229" t="s">
        <v>3695</v>
      </c>
      <c r="D229" t="s">
        <v>3471</v>
      </c>
      <c r="E229" t="s">
        <v>3715</v>
      </c>
      <c r="F229" t="s">
        <v>3107</v>
      </c>
      <c r="G229" t="s">
        <v>3716</v>
      </c>
    </row>
    <row r="230" spans="1:7" ht="11.25" customHeight="1">
      <c r="A230" t="s">
        <v>14</v>
      </c>
      <c r="B230" t="s">
        <v>3694</v>
      </c>
      <c r="C230" t="s">
        <v>3695</v>
      </c>
      <c r="D230" t="s">
        <v>3717</v>
      </c>
      <c r="E230" t="s">
        <v>3718</v>
      </c>
      <c r="F230" t="s">
        <v>3107</v>
      </c>
      <c r="G230" t="s">
        <v>3719</v>
      </c>
    </row>
    <row r="231" spans="1:7" ht="11.25" customHeight="1">
      <c r="A231" t="s">
        <v>14</v>
      </c>
      <c r="B231" t="s">
        <v>3694</v>
      </c>
      <c r="C231" t="s">
        <v>3695</v>
      </c>
      <c r="D231" t="s">
        <v>3720</v>
      </c>
      <c r="E231" t="s">
        <v>3721</v>
      </c>
      <c r="F231" t="s">
        <v>3107</v>
      </c>
      <c r="G231" t="s">
        <v>3722</v>
      </c>
    </row>
    <row r="232" spans="1:7" ht="11.25" customHeight="1">
      <c r="A232" t="s">
        <v>14</v>
      </c>
      <c r="B232" t="s">
        <v>3694</v>
      </c>
      <c r="C232" t="s">
        <v>3695</v>
      </c>
      <c r="D232" t="s">
        <v>3723</v>
      </c>
      <c r="E232" t="s">
        <v>3724</v>
      </c>
      <c r="F232" t="s">
        <v>3403</v>
      </c>
      <c r="G232" t="s">
        <v>3725</v>
      </c>
    </row>
    <row r="233" spans="1:7" ht="11.25" customHeight="1">
      <c r="A233" t="s">
        <v>14</v>
      </c>
      <c r="B233" t="s">
        <v>3694</v>
      </c>
      <c r="C233" t="s">
        <v>3695</v>
      </c>
      <c r="D233" t="s">
        <v>3726</v>
      </c>
      <c r="E233" t="s">
        <v>3727</v>
      </c>
      <c r="F233" t="s">
        <v>3107</v>
      </c>
      <c r="G233" t="s">
        <v>3728</v>
      </c>
    </row>
    <row r="234" spans="1:7" ht="11.25" customHeight="1">
      <c r="A234" t="s">
        <v>14</v>
      </c>
      <c r="B234" t="s">
        <v>3694</v>
      </c>
      <c r="C234" t="s">
        <v>3695</v>
      </c>
      <c r="D234" t="s">
        <v>3729</v>
      </c>
      <c r="E234" t="s">
        <v>3730</v>
      </c>
      <c r="F234" t="s">
        <v>3107</v>
      </c>
      <c r="G234" t="s">
        <v>3731</v>
      </c>
    </row>
    <row r="235" spans="1:7" ht="11.25" customHeight="1">
      <c r="A235" t="s">
        <v>14</v>
      </c>
      <c r="B235" t="s">
        <v>3694</v>
      </c>
      <c r="C235" t="s">
        <v>3695</v>
      </c>
      <c r="D235" t="s">
        <v>3732</v>
      </c>
      <c r="E235" t="s">
        <v>3733</v>
      </c>
      <c r="F235" t="s">
        <v>3107</v>
      </c>
      <c r="G235" t="s">
        <v>3734</v>
      </c>
    </row>
    <row r="236" spans="1:7" ht="11.25" customHeight="1">
      <c r="A236" t="s">
        <v>14</v>
      </c>
      <c r="B236" t="s">
        <v>3694</v>
      </c>
      <c r="C236" t="s">
        <v>3695</v>
      </c>
      <c r="D236" t="s">
        <v>3735</v>
      </c>
      <c r="E236" t="s">
        <v>3736</v>
      </c>
      <c r="F236" t="s">
        <v>3107</v>
      </c>
      <c r="G236" t="s">
        <v>3737</v>
      </c>
    </row>
    <row r="237" spans="1:7" ht="11.25" customHeight="1">
      <c r="A237" t="s">
        <v>14</v>
      </c>
      <c r="B237" t="s">
        <v>3694</v>
      </c>
      <c r="C237" t="s">
        <v>3695</v>
      </c>
      <c r="D237" t="s">
        <v>3317</v>
      </c>
      <c r="E237" t="s">
        <v>3738</v>
      </c>
      <c r="F237" t="s">
        <v>3107</v>
      </c>
      <c r="G237" t="s">
        <v>3739</v>
      </c>
    </row>
    <row r="238" spans="1:7" ht="11.25" customHeight="1">
      <c r="A238" t="s">
        <v>14</v>
      </c>
      <c r="B238" t="s">
        <v>3740</v>
      </c>
      <c r="C238" t="s">
        <v>3741</v>
      </c>
      <c r="D238" t="s">
        <v>3740</v>
      </c>
      <c r="E238" t="s">
        <v>3741</v>
      </c>
      <c r="F238" t="s">
        <v>3196</v>
      </c>
      <c r="G238" t="s">
        <v>3742</v>
      </c>
    </row>
    <row r="239" spans="1:7" ht="11.25" customHeight="1">
      <c r="A239" t="s">
        <v>14</v>
      </c>
      <c r="B239" t="s">
        <v>3743</v>
      </c>
      <c r="C239" t="s">
        <v>3744</v>
      </c>
      <c r="D239" t="s">
        <v>3743</v>
      </c>
      <c r="E239" t="s">
        <v>3744</v>
      </c>
      <c r="F239" t="s">
        <v>3101</v>
      </c>
      <c r="G239" t="s">
        <v>3745</v>
      </c>
    </row>
    <row r="240" spans="1:7" ht="11.25" customHeight="1">
      <c r="A240" t="s">
        <v>14</v>
      </c>
      <c r="B240" t="s">
        <v>120</v>
      </c>
      <c r="C240" t="s">
        <v>3746</v>
      </c>
      <c r="D240" t="s">
        <v>121</v>
      </c>
      <c r="E240" t="s">
        <v>122</v>
      </c>
      <c r="F240" t="s">
        <v>3209</v>
      </c>
      <c r="G240" t="s">
        <v>119</v>
      </c>
    </row>
    <row r="241" spans="1:7" ht="11.25" customHeight="1">
      <c r="A241" t="s">
        <v>14</v>
      </c>
      <c r="B241" t="s">
        <v>120</v>
      </c>
      <c r="C241" t="s">
        <v>3746</v>
      </c>
      <c r="D241" t="s">
        <v>3747</v>
      </c>
      <c r="E241" t="s">
        <v>3748</v>
      </c>
      <c r="F241" t="s">
        <v>3107</v>
      </c>
      <c r="G241" t="s">
        <v>3749</v>
      </c>
    </row>
    <row r="242" spans="1:7" ht="11.25" customHeight="1">
      <c r="A242" t="s">
        <v>14</v>
      </c>
      <c r="B242" t="s">
        <v>120</v>
      </c>
      <c r="C242" t="s">
        <v>3746</v>
      </c>
      <c r="D242" t="s">
        <v>3750</v>
      </c>
      <c r="E242" t="s">
        <v>3751</v>
      </c>
      <c r="F242" t="s">
        <v>3107</v>
      </c>
      <c r="G242" t="s">
        <v>3752</v>
      </c>
    </row>
    <row r="243" spans="1:7" ht="11.25" customHeight="1">
      <c r="A243" t="s">
        <v>14</v>
      </c>
      <c r="B243" t="s">
        <v>120</v>
      </c>
      <c r="C243" t="s">
        <v>3746</v>
      </c>
      <c r="D243" t="s">
        <v>3753</v>
      </c>
      <c r="E243" t="s">
        <v>3754</v>
      </c>
      <c r="F243" t="s">
        <v>3107</v>
      </c>
      <c r="G243" t="s">
        <v>3755</v>
      </c>
    </row>
    <row r="244" spans="1:7" ht="11.25" customHeight="1">
      <c r="A244" t="s">
        <v>14</v>
      </c>
      <c r="B244" t="s">
        <v>120</v>
      </c>
      <c r="C244" t="s">
        <v>3746</v>
      </c>
      <c r="D244" t="s">
        <v>3756</v>
      </c>
      <c r="E244" t="s">
        <v>3757</v>
      </c>
      <c r="F244" t="s">
        <v>3107</v>
      </c>
      <c r="G244" t="s">
        <v>3758</v>
      </c>
    </row>
    <row r="245" spans="1:7" ht="11.25" customHeight="1">
      <c r="A245" t="s">
        <v>14</v>
      </c>
      <c r="B245" t="s">
        <v>120</v>
      </c>
      <c r="C245" t="s">
        <v>3746</v>
      </c>
      <c r="D245" t="s">
        <v>3759</v>
      </c>
      <c r="E245" t="s">
        <v>3760</v>
      </c>
      <c r="F245" t="s">
        <v>3107</v>
      </c>
      <c r="G245" t="s">
        <v>3761</v>
      </c>
    </row>
    <row r="246" spans="1:7" ht="11.25" customHeight="1">
      <c r="A246" t="s">
        <v>14</v>
      </c>
      <c r="B246" t="s">
        <v>120</v>
      </c>
      <c r="C246" t="s">
        <v>3746</v>
      </c>
      <c r="D246" t="s">
        <v>3762</v>
      </c>
      <c r="E246" t="s">
        <v>3763</v>
      </c>
      <c r="F246" t="s">
        <v>3107</v>
      </c>
      <c r="G246" t="s">
        <v>3764</v>
      </c>
    </row>
    <row r="247" spans="1:7" ht="11.25" customHeight="1">
      <c r="A247" t="s">
        <v>14</v>
      </c>
      <c r="B247" t="s">
        <v>120</v>
      </c>
      <c r="C247" t="s">
        <v>3746</v>
      </c>
      <c r="D247" t="s">
        <v>120</v>
      </c>
      <c r="E247" t="s">
        <v>3746</v>
      </c>
      <c r="F247" t="s">
        <v>3104</v>
      </c>
      <c r="G247" t="s">
        <v>3765</v>
      </c>
    </row>
    <row r="248" spans="1:7" ht="11.25" customHeight="1">
      <c r="A248" t="s">
        <v>14</v>
      </c>
      <c r="B248" t="s">
        <v>120</v>
      </c>
      <c r="C248" t="s">
        <v>3746</v>
      </c>
      <c r="D248" t="s">
        <v>3766</v>
      </c>
      <c r="E248" t="s">
        <v>3767</v>
      </c>
      <c r="F248" t="s">
        <v>3107</v>
      </c>
      <c r="G248" t="s">
        <v>3768</v>
      </c>
    </row>
    <row r="249" spans="1:7" ht="11.25" customHeight="1">
      <c r="A249" t="s">
        <v>14</v>
      </c>
      <c r="B249" t="s">
        <v>120</v>
      </c>
      <c r="C249" t="s">
        <v>3746</v>
      </c>
      <c r="D249" t="s">
        <v>3769</v>
      </c>
      <c r="E249" t="s">
        <v>3770</v>
      </c>
      <c r="F249" t="s">
        <v>3107</v>
      </c>
      <c r="G249" t="s">
        <v>3771</v>
      </c>
    </row>
    <row r="250" spans="1:7" ht="11.25" customHeight="1">
      <c r="A250" t="s">
        <v>14</v>
      </c>
      <c r="B250" t="s">
        <v>120</v>
      </c>
      <c r="C250" t="s">
        <v>3746</v>
      </c>
      <c r="D250" t="s">
        <v>3772</v>
      </c>
      <c r="E250" t="s">
        <v>3773</v>
      </c>
      <c r="F250" t="s">
        <v>3403</v>
      </c>
      <c r="G250" t="s">
        <v>3774</v>
      </c>
    </row>
    <row r="251" spans="1:7" ht="11.25" customHeight="1">
      <c r="A251" t="s">
        <v>14</v>
      </c>
      <c r="B251" t="s">
        <v>120</v>
      </c>
      <c r="C251" t="s">
        <v>3746</v>
      </c>
      <c r="D251" t="s">
        <v>3775</v>
      </c>
      <c r="E251" t="s">
        <v>3776</v>
      </c>
      <c r="F251" t="s">
        <v>3107</v>
      </c>
      <c r="G251" t="s">
        <v>3777</v>
      </c>
    </row>
    <row r="252" spans="1:7" ht="11.25" customHeight="1">
      <c r="A252" t="s">
        <v>14</v>
      </c>
      <c r="B252" t="s">
        <v>120</v>
      </c>
      <c r="C252" t="s">
        <v>3746</v>
      </c>
      <c r="D252" t="s">
        <v>3778</v>
      </c>
      <c r="E252" t="s">
        <v>3779</v>
      </c>
      <c r="F252" t="s">
        <v>3107</v>
      </c>
      <c r="G252" t="s">
        <v>3780</v>
      </c>
    </row>
    <row r="253" spans="1:7" ht="11.25" customHeight="1">
      <c r="A253" t="s">
        <v>14</v>
      </c>
      <c r="B253" t="s">
        <v>3781</v>
      </c>
      <c r="C253" t="s">
        <v>3782</v>
      </c>
      <c r="D253" t="s">
        <v>3781</v>
      </c>
      <c r="E253" t="s">
        <v>3782</v>
      </c>
      <c r="F253" t="s">
        <v>3196</v>
      </c>
      <c r="G253" t="s">
        <v>3783</v>
      </c>
    </row>
    <row r="254" spans="1:7" ht="11.25" customHeight="1">
      <c r="A254" t="s">
        <v>14</v>
      </c>
      <c r="B254" t="s">
        <v>3784</v>
      </c>
      <c r="C254" t="s">
        <v>3785</v>
      </c>
      <c r="D254" t="s">
        <v>3784</v>
      </c>
      <c r="E254" t="s">
        <v>3785</v>
      </c>
      <c r="F254" t="s">
        <v>3101</v>
      </c>
      <c r="G254" t="s">
        <v>3786</v>
      </c>
    </row>
    <row r="255" spans="1:7" ht="11.25" customHeight="1">
      <c r="A255" t="s">
        <v>14</v>
      </c>
      <c r="B255" t="s">
        <v>3787</v>
      </c>
      <c r="C255" t="s">
        <v>3788</v>
      </c>
      <c r="D255" t="s">
        <v>3789</v>
      </c>
      <c r="E255" t="s">
        <v>3790</v>
      </c>
      <c r="F255" t="s">
        <v>3209</v>
      </c>
      <c r="G255" t="s">
        <v>3791</v>
      </c>
    </row>
    <row r="256" spans="1:7" ht="11.25" customHeight="1">
      <c r="A256" t="s">
        <v>14</v>
      </c>
      <c r="B256" t="s">
        <v>3787</v>
      </c>
      <c r="C256" t="s">
        <v>3788</v>
      </c>
      <c r="D256" t="s">
        <v>3792</v>
      </c>
      <c r="E256" t="s">
        <v>3793</v>
      </c>
      <c r="F256" t="s">
        <v>3107</v>
      </c>
      <c r="G256" t="s">
        <v>3794</v>
      </c>
    </row>
    <row r="257" spans="1:7" ht="11.25" customHeight="1">
      <c r="A257" t="s">
        <v>14</v>
      </c>
      <c r="B257" t="s">
        <v>3787</v>
      </c>
      <c r="C257" t="s">
        <v>3788</v>
      </c>
      <c r="D257" t="s">
        <v>3795</v>
      </c>
      <c r="E257" t="s">
        <v>3796</v>
      </c>
      <c r="F257" t="s">
        <v>3107</v>
      </c>
      <c r="G257" t="s">
        <v>3797</v>
      </c>
    </row>
    <row r="258" spans="1:7" ht="11.25" customHeight="1">
      <c r="A258" t="s">
        <v>14</v>
      </c>
      <c r="B258" t="s">
        <v>3787</v>
      </c>
      <c r="C258" t="s">
        <v>3788</v>
      </c>
      <c r="D258" t="s">
        <v>3798</v>
      </c>
      <c r="E258" t="s">
        <v>3799</v>
      </c>
      <c r="F258" t="s">
        <v>3107</v>
      </c>
      <c r="G258" t="s">
        <v>3800</v>
      </c>
    </row>
    <row r="259" spans="1:7" ht="11.25" customHeight="1">
      <c r="A259" t="s">
        <v>14</v>
      </c>
      <c r="B259" t="s">
        <v>3787</v>
      </c>
      <c r="C259" t="s">
        <v>3788</v>
      </c>
      <c r="D259" t="s">
        <v>3801</v>
      </c>
      <c r="E259" t="s">
        <v>3802</v>
      </c>
      <c r="F259" t="s">
        <v>3107</v>
      </c>
      <c r="G259" t="s">
        <v>3803</v>
      </c>
    </row>
    <row r="260" spans="1:7" ht="11.25" customHeight="1">
      <c r="A260" t="s">
        <v>14</v>
      </c>
      <c r="B260" t="s">
        <v>3787</v>
      </c>
      <c r="C260" t="s">
        <v>3788</v>
      </c>
      <c r="D260" t="s">
        <v>3787</v>
      </c>
      <c r="E260" t="s">
        <v>3788</v>
      </c>
      <c r="F260" t="s">
        <v>3104</v>
      </c>
      <c r="G260" t="s">
        <v>3804</v>
      </c>
    </row>
    <row r="261" spans="1:7" ht="11.25" customHeight="1">
      <c r="A261" t="s">
        <v>14</v>
      </c>
      <c r="B261" t="s">
        <v>3787</v>
      </c>
      <c r="C261" t="s">
        <v>3788</v>
      </c>
      <c r="D261" t="s">
        <v>3805</v>
      </c>
      <c r="E261" t="s">
        <v>3806</v>
      </c>
      <c r="F261" t="s">
        <v>3107</v>
      </c>
      <c r="G261" t="s">
        <v>3807</v>
      </c>
    </row>
    <row r="262" spans="1:7" ht="11.25" customHeight="1">
      <c r="A262" t="s">
        <v>14</v>
      </c>
      <c r="B262" t="s">
        <v>3787</v>
      </c>
      <c r="C262" t="s">
        <v>3788</v>
      </c>
      <c r="D262" t="s">
        <v>3808</v>
      </c>
      <c r="E262" t="s">
        <v>3809</v>
      </c>
      <c r="F262" t="s">
        <v>3107</v>
      </c>
      <c r="G262" t="s">
        <v>3810</v>
      </c>
    </row>
    <row r="263" spans="1:7" ht="11.25" customHeight="1">
      <c r="A263" t="s">
        <v>14</v>
      </c>
      <c r="B263" t="s">
        <v>3787</v>
      </c>
      <c r="C263" t="s">
        <v>3788</v>
      </c>
      <c r="D263" t="s">
        <v>3811</v>
      </c>
      <c r="E263" t="s">
        <v>3812</v>
      </c>
      <c r="F263" t="s">
        <v>3107</v>
      </c>
      <c r="G263" t="s">
        <v>3813</v>
      </c>
    </row>
    <row r="264" spans="1:7" ht="11.25" customHeight="1">
      <c r="A264" t="s">
        <v>14</v>
      </c>
      <c r="B264" t="s">
        <v>3787</v>
      </c>
      <c r="C264" t="s">
        <v>3788</v>
      </c>
      <c r="D264" t="s">
        <v>3814</v>
      </c>
      <c r="E264" t="s">
        <v>3815</v>
      </c>
      <c r="F264" t="s">
        <v>3107</v>
      </c>
      <c r="G264" t="s">
        <v>3816</v>
      </c>
    </row>
    <row r="265" spans="1:7" ht="11.25" customHeight="1">
      <c r="A265" t="s">
        <v>14</v>
      </c>
      <c r="B265" t="s">
        <v>3787</v>
      </c>
      <c r="C265" t="s">
        <v>3788</v>
      </c>
      <c r="D265" t="s">
        <v>3817</v>
      </c>
      <c r="E265" t="s">
        <v>3818</v>
      </c>
      <c r="F265" t="s">
        <v>3107</v>
      </c>
      <c r="G265" t="s">
        <v>3819</v>
      </c>
    </row>
    <row r="266" spans="1:7" ht="11.25" customHeight="1">
      <c r="A266" t="s">
        <v>14</v>
      </c>
      <c r="B266" t="s">
        <v>3787</v>
      </c>
      <c r="C266" t="s">
        <v>3788</v>
      </c>
      <c r="D266" t="s">
        <v>3820</v>
      </c>
      <c r="E266" t="s">
        <v>3821</v>
      </c>
      <c r="F266" t="s">
        <v>3107</v>
      </c>
      <c r="G266" t="s">
        <v>3822</v>
      </c>
    </row>
    <row r="267" spans="1:7" ht="11.25" customHeight="1">
      <c r="A267" t="s">
        <v>14</v>
      </c>
      <c r="B267" t="s">
        <v>3787</v>
      </c>
      <c r="C267" t="s">
        <v>3788</v>
      </c>
      <c r="D267" t="s">
        <v>3823</v>
      </c>
      <c r="E267" t="s">
        <v>3824</v>
      </c>
      <c r="F267" t="s">
        <v>3107</v>
      </c>
      <c r="G267" t="s">
        <v>3825</v>
      </c>
    </row>
    <row r="268" spans="1:7" ht="11.25" customHeight="1">
      <c r="A268" t="s">
        <v>14</v>
      </c>
      <c r="B268" t="s">
        <v>3826</v>
      </c>
      <c r="C268" t="s">
        <v>3827</v>
      </c>
      <c r="D268" t="s">
        <v>3826</v>
      </c>
      <c r="E268" t="s">
        <v>3827</v>
      </c>
      <c r="F268" t="s">
        <v>3101</v>
      </c>
      <c r="G268" t="s">
        <v>3828</v>
      </c>
    </row>
    <row r="269" spans="1:7" ht="11.25" customHeight="1">
      <c r="A269" t="s">
        <v>14</v>
      </c>
      <c r="B269" t="s">
        <v>3829</v>
      </c>
      <c r="C269" t="s">
        <v>3830</v>
      </c>
      <c r="D269" t="s">
        <v>3831</v>
      </c>
      <c r="E269" t="s">
        <v>3832</v>
      </c>
      <c r="F269" t="s">
        <v>3107</v>
      </c>
      <c r="G269" t="s">
        <v>3833</v>
      </c>
    </row>
    <row r="270" spans="1:7" ht="11.25" customHeight="1">
      <c r="A270" t="s">
        <v>14</v>
      </c>
      <c r="B270" t="s">
        <v>3829</v>
      </c>
      <c r="C270" t="s">
        <v>3830</v>
      </c>
      <c r="D270" t="s">
        <v>3834</v>
      </c>
      <c r="E270" t="s">
        <v>3835</v>
      </c>
      <c r="F270" t="s">
        <v>3107</v>
      </c>
      <c r="G270" t="s">
        <v>3836</v>
      </c>
    </row>
    <row r="271" spans="1:7" ht="11.25" customHeight="1">
      <c r="A271" t="s">
        <v>14</v>
      </c>
      <c r="B271" t="s">
        <v>3829</v>
      </c>
      <c r="C271" t="s">
        <v>3830</v>
      </c>
      <c r="D271" t="s">
        <v>3829</v>
      </c>
      <c r="E271" t="s">
        <v>3830</v>
      </c>
      <c r="F271" t="s">
        <v>3104</v>
      </c>
      <c r="G271" t="s">
        <v>3837</v>
      </c>
    </row>
    <row r="272" spans="1:7" ht="11.25" customHeight="1">
      <c r="A272" t="s">
        <v>14</v>
      </c>
      <c r="B272" t="s">
        <v>3829</v>
      </c>
      <c r="C272" t="s">
        <v>3830</v>
      </c>
      <c r="D272" t="s">
        <v>3838</v>
      </c>
      <c r="E272" t="s">
        <v>3839</v>
      </c>
      <c r="F272" t="s">
        <v>3107</v>
      </c>
      <c r="G272" t="s">
        <v>3840</v>
      </c>
    </row>
    <row r="273" spans="1:7" ht="11.25" customHeight="1">
      <c r="A273" t="s">
        <v>14</v>
      </c>
      <c r="B273" t="s">
        <v>3829</v>
      </c>
      <c r="C273" t="s">
        <v>3830</v>
      </c>
      <c r="D273" t="s">
        <v>3841</v>
      </c>
      <c r="E273" t="s">
        <v>3842</v>
      </c>
      <c r="F273" t="s">
        <v>3107</v>
      </c>
      <c r="G273" t="s">
        <v>3843</v>
      </c>
    </row>
    <row r="274" spans="1:7" ht="11.25" customHeight="1">
      <c r="A274" t="s">
        <v>14</v>
      </c>
      <c r="B274" t="s">
        <v>3829</v>
      </c>
      <c r="C274" t="s">
        <v>3830</v>
      </c>
      <c r="D274" t="s">
        <v>3844</v>
      </c>
      <c r="E274" t="s">
        <v>3845</v>
      </c>
      <c r="F274" t="s">
        <v>3107</v>
      </c>
      <c r="G274" t="s">
        <v>3846</v>
      </c>
    </row>
    <row r="275" spans="1:7" ht="11.25" customHeight="1">
      <c r="A275" t="s">
        <v>14</v>
      </c>
      <c r="B275" t="s">
        <v>3829</v>
      </c>
      <c r="C275" t="s">
        <v>3830</v>
      </c>
      <c r="D275" t="s">
        <v>3847</v>
      </c>
      <c r="E275" t="s">
        <v>3848</v>
      </c>
      <c r="F275" t="s">
        <v>3107</v>
      </c>
      <c r="G275" t="s">
        <v>3849</v>
      </c>
    </row>
    <row r="276" spans="1:7" ht="11.25" customHeight="1">
      <c r="A276" t="s">
        <v>14</v>
      </c>
      <c r="B276" t="s">
        <v>3829</v>
      </c>
      <c r="C276" t="s">
        <v>3830</v>
      </c>
      <c r="D276" t="s">
        <v>3850</v>
      </c>
      <c r="E276" t="s">
        <v>3851</v>
      </c>
      <c r="F276" t="s">
        <v>3107</v>
      </c>
      <c r="G276" t="s">
        <v>3852</v>
      </c>
    </row>
    <row r="277" spans="1:7" ht="11.25" customHeight="1">
      <c r="A277" t="s">
        <v>14</v>
      </c>
      <c r="B277" t="s">
        <v>3829</v>
      </c>
      <c r="C277" t="s">
        <v>3830</v>
      </c>
      <c r="D277" t="s">
        <v>3853</v>
      </c>
      <c r="E277" t="s">
        <v>3854</v>
      </c>
      <c r="F277" t="s">
        <v>3107</v>
      </c>
      <c r="G277" t="s">
        <v>3855</v>
      </c>
    </row>
    <row r="278" spans="1:7" ht="11.25" customHeight="1">
      <c r="A278" t="s">
        <v>14</v>
      </c>
      <c r="B278" t="s">
        <v>3856</v>
      </c>
      <c r="C278" t="s">
        <v>3857</v>
      </c>
      <c r="D278" t="s">
        <v>3856</v>
      </c>
      <c r="E278" t="s">
        <v>3857</v>
      </c>
      <c r="F278" t="s">
        <v>3196</v>
      </c>
      <c r="G278" t="s">
        <v>3858</v>
      </c>
    </row>
    <row r="279" spans="1:7" ht="11.25" customHeight="1">
      <c r="A279" t="s">
        <v>14</v>
      </c>
      <c r="B279" t="s">
        <v>3859</v>
      </c>
      <c r="C279" t="s">
        <v>3860</v>
      </c>
      <c r="D279" t="s">
        <v>3859</v>
      </c>
      <c r="E279" t="s">
        <v>3860</v>
      </c>
      <c r="F279" t="s">
        <v>3101</v>
      </c>
      <c r="G279" t="s">
        <v>3861</v>
      </c>
    </row>
    <row r="280" spans="1:7" ht="11.25" customHeight="1">
      <c r="A280" t="s">
        <v>14</v>
      </c>
      <c r="B280" t="s">
        <v>3862</v>
      </c>
      <c r="C280" t="s">
        <v>3863</v>
      </c>
      <c r="D280" t="s">
        <v>3864</v>
      </c>
      <c r="E280" t="s">
        <v>3865</v>
      </c>
      <c r="F280" t="s">
        <v>3107</v>
      </c>
      <c r="G280" t="s">
        <v>3866</v>
      </c>
    </row>
    <row r="281" spans="1:7" ht="11.25" customHeight="1">
      <c r="A281" t="s">
        <v>14</v>
      </c>
      <c r="B281" t="s">
        <v>3862</v>
      </c>
      <c r="C281" t="s">
        <v>3863</v>
      </c>
      <c r="D281" t="s">
        <v>3867</v>
      </c>
      <c r="E281" t="s">
        <v>3868</v>
      </c>
      <c r="F281" t="s">
        <v>3209</v>
      </c>
      <c r="G281" t="s">
        <v>3869</v>
      </c>
    </row>
    <row r="282" spans="1:7" ht="11.25" customHeight="1">
      <c r="A282" t="s">
        <v>14</v>
      </c>
      <c r="B282" t="s">
        <v>3862</v>
      </c>
      <c r="C282" t="s">
        <v>3863</v>
      </c>
      <c r="D282" t="s">
        <v>3870</v>
      </c>
      <c r="E282" t="s">
        <v>3871</v>
      </c>
      <c r="F282" t="s">
        <v>3107</v>
      </c>
      <c r="G282" t="s">
        <v>3872</v>
      </c>
    </row>
    <row r="283" spans="1:7" ht="11.25" customHeight="1">
      <c r="A283" t="s">
        <v>14</v>
      </c>
      <c r="B283" t="s">
        <v>3862</v>
      </c>
      <c r="C283" t="s">
        <v>3863</v>
      </c>
      <c r="D283" t="s">
        <v>3873</v>
      </c>
      <c r="E283" t="s">
        <v>3874</v>
      </c>
      <c r="F283" t="s">
        <v>3107</v>
      </c>
      <c r="G283" t="s">
        <v>3875</v>
      </c>
    </row>
    <row r="284" spans="1:7" ht="11.25" customHeight="1">
      <c r="A284" t="s">
        <v>14</v>
      </c>
      <c r="B284" t="s">
        <v>3862</v>
      </c>
      <c r="C284" t="s">
        <v>3863</v>
      </c>
      <c r="D284" t="s">
        <v>3862</v>
      </c>
      <c r="E284" t="s">
        <v>3863</v>
      </c>
      <c r="F284" t="s">
        <v>3104</v>
      </c>
      <c r="G284" t="s">
        <v>3876</v>
      </c>
    </row>
    <row r="285" spans="1:7" ht="11.25" customHeight="1">
      <c r="A285" t="s">
        <v>14</v>
      </c>
      <c r="B285" t="s">
        <v>3862</v>
      </c>
      <c r="C285" t="s">
        <v>3863</v>
      </c>
      <c r="D285" t="s">
        <v>3877</v>
      </c>
      <c r="E285" t="s">
        <v>3878</v>
      </c>
      <c r="F285" t="s">
        <v>3107</v>
      </c>
      <c r="G285" t="s">
        <v>3879</v>
      </c>
    </row>
    <row r="286" spans="1:7" ht="11.25" customHeight="1">
      <c r="A286" t="s">
        <v>14</v>
      </c>
      <c r="B286" t="s">
        <v>3862</v>
      </c>
      <c r="C286" t="s">
        <v>3863</v>
      </c>
      <c r="D286" t="s">
        <v>3880</v>
      </c>
      <c r="E286" t="s">
        <v>3881</v>
      </c>
      <c r="F286" t="s">
        <v>3107</v>
      </c>
      <c r="G286" t="s">
        <v>3882</v>
      </c>
    </row>
    <row r="287" spans="1:7" ht="11.25" customHeight="1">
      <c r="A287" t="s">
        <v>14</v>
      </c>
      <c r="B287" t="s">
        <v>3862</v>
      </c>
      <c r="C287" t="s">
        <v>3863</v>
      </c>
      <c r="D287" t="s">
        <v>3883</v>
      </c>
      <c r="E287" t="s">
        <v>3884</v>
      </c>
      <c r="F287" t="s">
        <v>3107</v>
      </c>
      <c r="G287" t="s">
        <v>3885</v>
      </c>
    </row>
    <row r="288" spans="1:7" ht="11.25" customHeight="1">
      <c r="A288" t="s">
        <v>14</v>
      </c>
      <c r="B288" t="s">
        <v>3862</v>
      </c>
      <c r="C288" t="s">
        <v>3863</v>
      </c>
      <c r="D288" t="s">
        <v>3886</v>
      </c>
      <c r="E288" t="s">
        <v>3887</v>
      </c>
      <c r="F288" t="s">
        <v>3107</v>
      </c>
      <c r="G288" t="s">
        <v>3888</v>
      </c>
    </row>
    <row r="289" spans="1:7" ht="11.25" customHeight="1">
      <c r="A289" t="s">
        <v>14</v>
      </c>
      <c r="B289" t="s">
        <v>3862</v>
      </c>
      <c r="C289" t="s">
        <v>3863</v>
      </c>
      <c r="D289" t="s">
        <v>3889</v>
      </c>
      <c r="E289" t="s">
        <v>3890</v>
      </c>
      <c r="F289" t="s">
        <v>3107</v>
      </c>
      <c r="G289" t="s">
        <v>3891</v>
      </c>
    </row>
    <row r="290" spans="1:7" ht="11.25" customHeight="1">
      <c r="A290" t="s">
        <v>14</v>
      </c>
      <c r="B290" t="s">
        <v>3862</v>
      </c>
      <c r="C290" t="s">
        <v>3863</v>
      </c>
      <c r="D290" t="s">
        <v>3892</v>
      </c>
      <c r="E290" t="s">
        <v>3893</v>
      </c>
      <c r="F290" t="s">
        <v>3107</v>
      </c>
      <c r="G290" t="s">
        <v>3894</v>
      </c>
    </row>
    <row r="291" spans="1:7" ht="11.25" customHeight="1">
      <c r="A291" t="s">
        <v>14</v>
      </c>
      <c r="B291" t="s">
        <v>3862</v>
      </c>
      <c r="C291" t="s">
        <v>3863</v>
      </c>
      <c r="D291" t="s">
        <v>3895</v>
      </c>
      <c r="E291" t="s">
        <v>3896</v>
      </c>
      <c r="F291" t="s">
        <v>3107</v>
      </c>
      <c r="G291" t="s">
        <v>3897</v>
      </c>
    </row>
    <row r="292" spans="1:7" ht="11.25" customHeight="1">
      <c r="A292" t="s">
        <v>14</v>
      </c>
      <c r="B292" t="s">
        <v>3862</v>
      </c>
      <c r="C292" t="s">
        <v>3863</v>
      </c>
      <c r="D292" t="s">
        <v>3898</v>
      </c>
      <c r="E292" t="s">
        <v>3899</v>
      </c>
      <c r="F292" t="s">
        <v>3107</v>
      </c>
      <c r="G292" t="s">
        <v>3900</v>
      </c>
    </row>
    <row r="293" spans="1:7" ht="11.25" customHeight="1">
      <c r="A293" t="s">
        <v>14</v>
      </c>
      <c r="B293" t="s">
        <v>3862</v>
      </c>
      <c r="C293" t="s">
        <v>3863</v>
      </c>
      <c r="D293" t="s">
        <v>3901</v>
      </c>
      <c r="E293" t="s">
        <v>3902</v>
      </c>
      <c r="F293" t="s">
        <v>3107</v>
      </c>
      <c r="G293" t="s">
        <v>3903</v>
      </c>
    </row>
    <row r="294" spans="1:7" ht="11.25" customHeight="1">
      <c r="A294" t="s">
        <v>14</v>
      </c>
      <c r="B294" t="s">
        <v>3904</v>
      </c>
      <c r="C294" t="s">
        <v>3905</v>
      </c>
      <c r="D294" t="s">
        <v>3904</v>
      </c>
      <c r="E294" t="s">
        <v>3905</v>
      </c>
      <c r="F294" t="s">
        <v>3101</v>
      </c>
      <c r="G294" t="s">
        <v>3906</v>
      </c>
    </row>
    <row r="295" spans="1:7" ht="11.25" customHeight="1">
      <c r="A295" t="s">
        <v>14</v>
      </c>
      <c r="B295" t="s">
        <v>3907</v>
      </c>
      <c r="C295" t="s">
        <v>3908</v>
      </c>
      <c r="D295" t="s">
        <v>3909</v>
      </c>
      <c r="E295" t="s">
        <v>3910</v>
      </c>
      <c r="F295" t="s">
        <v>3107</v>
      </c>
      <c r="G295" t="s">
        <v>3911</v>
      </c>
    </row>
    <row r="296" spans="1:7" ht="11.25" customHeight="1">
      <c r="A296" t="s">
        <v>14</v>
      </c>
      <c r="B296" t="s">
        <v>3907</v>
      </c>
      <c r="C296" t="s">
        <v>3908</v>
      </c>
      <c r="D296" t="s">
        <v>3912</v>
      </c>
      <c r="E296" t="s">
        <v>3913</v>
      </c>
      <c r="F296" t="s">
        <v>3107</v>
      </c>
      <c r="G296" t="s">
        <v>3914</v>
      </c>
    </row>
    <row r="297" spans="1:7" ht="11.25" customHeight="1">
      <c r="A297" t="s">
        <v>14</v>
      </c>
      <c r="B297" t="s">
        <v>3907</v>
      </c>
      <c r="C297" t="s">
        <v>3908</v>
      </c>
      <c r="D297" t="s">
        <v>3915</v>
      </c>
      <c r="E297" t="s">
        <v>3916</v>
      </c>
      <c r="F297" t="s">
        <v>3107</v>
      </c>
      <c r="G297" t="s">
        <v>3917</v>
      </c>
    </row>
    <row r="298" spans="1:7" ht="11.25" customHeight="1">
      <c r="A298" t="s">
        <v>14</v>
      </c>
      <c r="B298" t="s">
        <v>3907</v>
      </c>
      <c r="C298" t="s">
        <v>3908</v>
      </c>
      <c r="D298" t="s">
        <v>3918</v>
      </c>
      <c r="E298" t="s">
        <v>3919</v>
      </c>
      <c r="F298" t="s">
        <v>3107</v>
      </c>
      <c r="G298" t="s">
        <v>3920</v>
      </c>
    </row>
    <row r="299" spans="1:7" ht="11.25" customHeight="1">
      <c r="A299" t="s">
        <v>14</v>
      </c>
      <c r="B299" t="s">
        <v>3907</v>
      </c>
      <c r="C299" t="s">
        <v>3908</v>
      </c>
      <c r="D299" t="s">
        <v>3921</v>
      </c>
      <c r="E299" t="s">
        <v>3922</v>
      </c>
      <c r="F299" t="s">
        <v>3107</v>
      </c>
      <c r="G299" t="s">
        <v>3923</v>
      </c>
    </row>
    <row r="300" spans="1:7" ht="11.25" customHeight="1">
      <c r="A300" t="s">
        <v>14</v>
      </c>
      <c r="B300" t="s">
        <v>3907</v>
      </c>
      <c r="C300" t="s">
        <v>3908</v>
      </c>
      <c r="D300" t="s">
        <v>3924</v>
      </c>
      <c r="E300" t="s">
        <v>3925</v>
      </c>
      <c r="F300" t="s">
        <v>3107</v>
      </c>
      <c r="G300" t="s">
        <v>3926</v>
      </c>
    </row>
    <row r="301" spans="1:7" ht="11.25" customHeight="1">
      <c r="A301" t="s">
        <v>14</v>
      </c>
      <c r="B301" t="s">
        <v>3907</v>
      </c>
      <c r="C301" t="s">
        <v>3908</v>
      </c>
      <c r="D301" t="s">
        <v>3907</v>
      </c>
      <c r="E301" t="s">
        <v>3908</v>
      </c>
      <c r="F301" t="s">
        <v>3104</v>
      </c>
      <c r="G301" t="s">
        <v>3927</v>
      </c>
    </row>
    <row r="302" spans="1:7" ht="11.25" customHeight="1">
      <c r="A302" t="s">
        <v>14</v>
      </c>
      <c r="B302" t="s">
        <v>3907</v>
      </c>
      <c r="C302" t="s">
        <v>3908</v>
      </c>
      <c r="D302" t="s">
        <v>3928</v>
      </c>
      <c r="E302" t="s">
        <v>3929</v>
      </c>
      <c r="F302" t="s">
        <v>3107</v>
      </c>
      <c r="G302" t="s">
        <v>3930</v>
      </c>
    </row>
    <row r="303" spans="1:7" ht="11.25" customHeight="1">
      <c r="A303" t="s">
        <v>14</v>
      </c>
      <c r="B303" t="s">
        <v>3907</v>
      </c>
      <c r="C303" t="s">
        <v>3908</v>
      </c>
      <c r="D303" t="s">
        <v>3931</v>
      </c>
      <c r="E303" t="s">
        <v>3932</v>
      </c>
      <c r="F303" t="s">
        <v>3107</v>
      </c>
      <c r="G303" t="s">
        <v>3933</v>
      </c>
    </row>
    <row r="304" spans="1:7" ht="11.25" customHeight="1">
      <c r="A304" t="s">
        <v>14</v>
      </c>
      <c r="B304" t="s">
        <v>3907</v>
      </c>
      <c r="C304" t="s">
        <v>3908</v>
      </c>
      <c r="D304" t="s">
        <v>3934</v>
      </c>
      <c r="E304" t="s">
        <v>3935</v>
      </c>
      <c r="F304" t="s">
        <v>3107</v>
      </c>
      <c r="G304" t="s">
        <v>3936</v>
      </c>
    </row>
    <row r="305" spans="1:7" ht="11.25" customHeight="1">
      <c r="A305" t="s">
        <v>14</v>
      </c>
      <c r="B305" t="s">
        <v>3907</v>
      </c>
      <c r="C305" t="s">
        <v>3908</v>
      </c>
      <c r="D305" t="s">
        <v>3937</v>
      </c>
      <c r="E305" t="s">
        <v>3938</v>
      </c>
      <c r="F305" t="s">
        <v>3107</v>
      </c>
      <c r="G305" t="s">
        <v>3939</v>
      </c>
    </row>
    <row r="306" spans="1:7" ht="11.25" customHeight="1">
      <c r="A306" t="s">
        <v>14</v>
      </c>
      <c r="B306" t="s">
        <v>3907</v>
      </c>
      <c r="C306" t="s">
        <v>3908</v>
      </c>
      <c r="D306" t="s">
        <v>3940</v>
      </c>
      <c r="E306" t="s">
        <v>3941</v>
      </c>
      <c r="F306" t="s">
        <v>3107</v>
      </c>
      <c r="G306" t="s">
        <v>3942</v>
      </c>
    </row>
    <row r="307" spans="1:7" ht="11.25" customHeight="1">
      <c r="A307" t="s">
        <v>14</v>
      </c>
      <c r="B307" t="s">
        <v>3907</v>
      </c>
      <c r="C307" t="s">
        <v>3908</v>
      </c>
      <c r="D307" t="s">
        <v>3943</v>
      </c>
      <c r="E307" t="s">
        <v>3944</v>
      </c>
      <c r="F307" t="s">
        <v>3107</v>
      </c>
      <c r="G307" t="s">
        <v>3945</v>
      </c>
    </row>
    <row r="308" spans="1:7" ht="11.25" customHeight="1">
      <c r="A308" t="s">
        <v>14</v>
      </c>
      <c r="B308" t="s">
        <v>3907</v>
      </c>
      <c r="C308" t="s">
        <v>3908</v>
      </c>
      <c r="D308" t="s">
        <v>3946</v>
      </c>
      <c r="E308" t="s">
        <v>3947</v>
      </c>
      <c r="F308" t="s">
        <v>3107</v>
      </c>
      <c r="G308" t="s">
        <v>3948</v>
      </c>
    </row>
    <row r="309" spans="1:7" ht="11.25" customHeight="1">
      <c r="A309" t="s">
        <v>14</v>
      </c>
      <c r="B309" t="s">
        <v>3907</v>
      </c>
      <c r="C309" t="s">
        <v>3908</v>
      </c>
      <c r="D309" t="s">
        <v>3949</v>
      </c>
      <c r="E309" t="s">
        <v>3950</v>
      </c>
      <c r="F309" t="s">
        <v>3107</v>
      </c>
      <c r="G309" t="s">
        <v>3951</v>
      </c>
    </row>
    <row r="310" spans="1:7" ht="11.25" customHeight="1">
      <c r="A310" t="s">
        <v>14</v>
      </c>
      <c r="B310" t="s">
        <v>3907</v>
      </c>
      <c r="C310" t="s">
        <v>3908</v>
      </c>
      <c r="D310" t="s">
        <v>3952</v>
      </c>
      <c r="E310" t="s">
        <v>3953</v>
      </c>
      <c r="F310" t="s">
        <v>3107</v>
      </c>
      <c r="G310" t="s">
        <v>3954</v>
      </c>
    </row>
    <row r="311" spans="1:7" ht="11.25" customHeight="1">
      <c r="A311" t="s">
        <v>14</v>
      </c>
      <c r="B311" t="s">
        <v>3955</v>
      </c>
      <c r="C311" t="s">
        <v>3956</v>
      </c>
      <c r="D311" t="s">
        <v>3955</v>
      </c>
      <c r="E311" t="s">
        <v>3956</v>
      </c>
      <c r="F311" t="s">
        <v>3196</v>
      </c>
      <c r="G311" t="s">
        <v>3957</v>
      </c>
    </row>
    <row r="312" spans="1:7" ht="11.25" customHeight="1">
      <c r="A312" t="s">
        <v>14</v>
      </c>
      <c r="B312" t="s">
        <v>3958</v>
      </c>
      <c r="C312" t="s">
        <v>3959</v>
      </c>
      <c r="D312" t="s">
        <v>3958</v>
      </c>
      <c r="E312" t="s">
        <v>3959</v>
      </c>
      <c r="F312" t="s">
        <v>3101</v>
      </c>
      <c r="G312" t="s">
        <v>3960</v>
      </c>
    </row>
    <row r="313" spans="1:7" ht="11.25" customHeight="1">
      <c r="A313" t="s">
        <v>14</v>
      </c>
      <c r="B313" t="s">
        <v>3961</v>
      </c>
      <c r="C313" t="s">
        <v>3962</v>
      </c>
      <c r="D313" t="s">
        <v>3963</v>
      </c>
      <c r="E313" t="s">
        <v>3964</v>
      </c>
      <c r="F313" t="s">
        <v>3107</v>
      </c>
      <c r="G313" t="s">
        <v>3965</v>
      </c>
    </row>
    <row r="314" spans="1:7" ht="11.25" customHeight="1">
      <c r="A314" t="s">
        <v>14</v>
      </c>
      <c r="B314" t="s">
        <v>3961</v>
      </c>
      <c r="C314" t="s">
        <v>3962</v>
      </c>
      <c r="D314" t="s">
        <v>3966</v>
      </c>
      <c r="E314" t="s">
        <v>3967</v>
      </c>
      <c r="F314" t="s">
        <v>3209</v>
      </c>
      <c r="G314" t="s">
        <v>3968</v>
      </c>
    </row>
    <row r="315" spans="1:7" ht="11.25" customHeight="1">
      <c r="A315" t="s">
        <v>14</v>
      </c>
      <c r="B315" t="s">
        <v>3961</v>
      </c>
      <c r="C315" t="s">
        <v>3962</v>
      </c>
      <c r="D315" t="s">
        <v>3969</v>
      </c>
      <c r="E315" t="s">
        <v>3970</v>
      </c>
      <c r="F315" t="s">
        <v>3107</v>
      </c>
      <c r="G315" t="s">
        <v>3971</v>
      </c>
    </row>
    <row r="316" spans="1:7" ht="11.25" customHeight="1">
      <c r="A316" t="s">
        <v>14</v>
      </c>
      <c r="B316" t="s">
        <v>3961</v>
      </c>
      <c r="C316" t="s">
        <v>3962</v>
      </c>
      <c r="D316" t="s">
        <v>3972</v>
      </c>
      <c r="E316" t="s">
        <v>3973</v>
      </c>
      <c r="F316" t="s">
        <v>3107</v>
      </c>
      <c r="G316" t="s">
        <v>3974</v>
      </c>
    </row>
    <row r="317" spans="1:7" ht="11.25" customHeight="1">
      <c r="A317" t="s">
        <v>14</v>
      </c>
      <c r="B317" t="s">
        <v>3961</v>
      </c>
      <c r="C317" t="s">
        <v>3962</v>
      </c>
      <c r="D317" t="s">
        <v>3975</v>
      </c>
      <c r="E317" t="s">
        <v>3976</v>
      </c>
      <c r="F317" t="s">
        <v>3107</v>
      </c>
      <c r="G317" t="s">
        <v>3977</v>
      </c>
    </row>
    <row r="318" spans="1:7" ht="11.25" customHeight="1">
      <c r="A318" t="s">
        <v>14</v>
      </c>
      <c r="B318" t="s">
        <v>3961</v>
      </c>
      <c r="C318" t="s">
        <v>3962</v>
      </c>
      <c r="D318" t="s">
        <v>3978</v>
      </c>
      <c r="E318" t="s">
        <v>3979</v>
      </c>
      <c r="F318" t="s">
        <v>3107</v>
      </c>
      <c r="G318" t="s">
        <v>3980</v>
      </c>
    </row>
    <row r="319" spans="1:7" ht="11.25" customHeight="1">
      <c r="A319" t="s">
        <v>14</v>
      </c>
      <c r="B319" t="s">
        <v>3961</v>
      </c>
      <c r="C319" t="s">
        <v>3962</v>
      </c>
      <c r="D319" t="s">
        <v>3961</v>
      </c>
      <c r="E319" t="s">
        <v>3962</v>
      </c>
      <c r="F319" t="s">
        <v>3104</v>
      </c>
      <c r="G319" t="s">
        <v>3981</v>
      </c>
    </row>
    <row r="320" spans="1:7" ht="11.25" customHeight="1">
      <c r="A320" t="s">
        <v>14</v>
      </c>
      <c r="B320" t="s">
        <v>3961</v>
      </c>
      <c r="C320" t="s">
        <v>3962</v>
      </c>
      <c r="D320" t="s">
        <v>3982</v>
      </c>
      <c r="E320" t="s">
        <v>3983</v>
      </c>
      <c r="F320" t="s">
        <v>3107</v>
      </c>
      <c r="G320" t="s">
        <v>3984</v>
      </c>
    </row>
    <row r="321" spans="1:7" ht="11.25" customHeight="1">
      <c r="A321" t="s">
        <v>14</v>
      </c>
      <c r="B321" t="s">
        <v>3985</v>
      </c>
      <c r="C321" t="s">
        <v>3986</v>
      </c>
      <c r="D321" t="s">
        <v>3985</v>
      </c>
      <c r="E321" t="s">
        <v>3986</v>
      </c>
      <c r="F321" t="s">
        <v>3101</v>
      </c>
      <c r="G321" t="s">
        <v>3987</v>
      </c>
    </row>
    <row r="322" spans="1:7" ht="11.25" customHeight="1">
      <c r="A322" t="s">
        <v>14</v>
      </c>
      <c r="B322" t="s">
        <v>3988</v>
      </c>
      <c r="C322" t="s">
        <v>3989</v>
      </c>
      <c r="D322" t="s">
        <v>3990</v>
      </c>
      <c r="E322" t="s">
        <v>3991</v>
      </c>
      <c r="F322" t="s">
        <v>3107</v>
      </c>
      <c r="G322" t="s">
        <v>3992</v>
      </c>
    </row>
    <row r="323" spans="1:7" ht="11.25" customHeight="1">
      <c r="A323" t="s">
        <v>14</v>
      </c>
      <c r="B323" t="s">
        <v>3988</v>
      </c>
      <c r="C323" t="s">
        <v>3989</v>
      </c>
      <c r="D323" t="s">
        <v>3993</v>
      </c>
      <c r="E323" t="s">
        <v>3994</v>
      </c>
      <c r="F323" t="s">
        <v>3107</v>
      </c>
      <c r="G323" t="s">
        <v>3995</v>
      </c>
    </row>
    <row r="324" spans="1:7" ht="11.25" customHeight="1">
      <c r="A324" t="s">
        <v>14</v>
      </c>
      <c r="B324" t="s">
        <v>3988</v>
      </c>
      <c r="C324" t="s">
        <v>3989</v>
      </c>
      <c r="D324" t="s">
        <v>3996</v>
      </c>
      <c r="E324" t="s">
        <v>3997</v>
      </c>
      <c r="F324" t="s">
        <v>3107</v>
      </c>
      <c r="G324" t="s">
        <v>3998</v>
      </c>
    </row>
    <row r="325" spans="1:7" ht="11.25" customHeight="1">
      <c r="A325" t="s">
        <v>14</v>
      </c>
      <c r="B325" t="s">
        <v>3988</v>
      </c>
      <c r="C325" t="s">
        <v>3989</v>
      </c>
      <c r="D325" t="s">
        <v>3999</v>
      </c>
      <c r="E325" t="s">
        <v>4000</v>
      </c>
      <c r="F325" t="s">
        <v>3107</v>
      </c>
      <c r="G325" t="s">
        <v>4001</v>
      </c>
    </row>
    <row r="326" spans="1:7" ht="11.25" customHeight="1">
      <c r="A326" t="s">
        <v>14</v>
      </c>
      <c r="B326" t="s">
        <v>3988</v>
      </c>
      <c r="C326" t="s">
        <v>3989</v>
      </c>
      <c r="D326" t="s">
        <v>4002</v>
      </c>
      <c r="E326" t="s">
        <v>4003</v>
      </c>
      <c r="F326" t="s">
        <v>3107</v>
      </c>
      <c r="G326" t="s">
        <v>4004</v>
      </c>
    </row>
    <row r="327" spans="1:7" ht="11.25" customHeight="1">
      <c r="A327" t="s">
        <v>14</v>
      </c>
      <c r="B327" t="s">
        <v>3988</v>
      </c>
      <c r="C327" t="s">
        <v>3989</v>
      </c>
      <c r="D327" t="s">
        <v>4005</v>
      </c>
      <c r="E327" t="s">
        <v>4006</v>
      </c>
      <c r="F327" t="s">
        <v>3107</v>
      </c>
      <c r="G327" t="s">
        <v>4007</v>
      </c>
    </row>
    <row r="328" spans="1:7" ht="11.25" customHeight="1">
      <c r="A328" t="s">
        <v>14</v>
      </c>
      <c r="B328" t="s">
        <v>3988</v>
      </c>
      <c r="C328" t="s">
        <v>3989</v>
      </c>
      <c r="D328" t="s">
        <v>3988</v>
      </c>
      <c r="E328" t="s">
        <v>3989</v>
      </c>
      <c r="F328" t="s">
        <v>3104</v>
      </c>
      <c r="G328" t="s">
        <v>4008</v>
      </c>
    </row>
    <row r="329" spans="1:7" ht="11.25" customHeight="1">
      <c r="A329" t="s">
        <v>14</v>
      </c>
      <c r="B329" t="s">
        <v>3988</v>
      </c>
      <c r="C329" t="s">
        <v>3989</v>
      </c>
      <c r="D329" t="s">
        <v>4009</v>
      </c>
      <c r="E329" t="s">
        <v>4010</v>
      </c>
      <c r="F329" t="s">
        <v>3107</v>
      </c>
      <c r="G329" t="s">
        <v>4011</v>
      </c>
    </row>
    <row r="330" spans="1:7" ht="11.25" customHeight="1">
      <c r="A330" t="s">
        <v>14</v>
      </c>
      <c r="B330" t="s">
        <v>4012</v>
      </c>
      <c r="C330" t="s">
        <v>4013</v>
      </c>
      <c r="D330" t="s">
        <v>4012</v>
      </c>
      <c r="E330" t="s">
        <v>4013</v>
      </c>
      <c r="F330" t="s">
        <v>3101</v>
      </c>
      <c r="G330" t="s">
        <v>4014</v>
      </c>
    </row>
    <row r="331" spans="1:7" ht="11.25" customHeight="1">
      <c r="A331" t="s">
        <v>14</v>
      </c>
      <c r="B331" t="s">
        <v>4015</v>
      </c>
      <c r="C331" t="s">
        <v>4016</v>
      </c>
      <c r="D331" t="s">
        <v>4017</v>
      </c>
      <c r="E331" t="s">
        <v>4018</v>
      </c>
      <c r="F331" t="s">
        <v>3107</v>
      </c>
      <c r="G331" t="s">
        <v>4019</v>
      </c>
    </row>
    <row r="332" spans="1:7" ht="11.25" customHeight="1">
      <c r="A332" t="s">
        <v>14</v>
      </c>
      <c r="B332" t="s">
        <v>4015</v>
      </c>
      <c r="C332" t="s">
        <v>4016</v>
      </c>
      <c r="D332" t="s">
        <v>4020</v>
      </c>
      <c r="E332" t="s">
        <v>4021</v>
      </c>
      <c r="F332" t="s">
        <v>3107</v>
      </c>
      <c r="G332" t="s">
        <v>4022</v>
      </c>
    </row>
    <row r="333" spans="1:7" ht="11.25" customHeight="1">
      <c r="A333" t="s">
        <v>14</v>
      </c>
      <c r="B333" t="s">
        <v>4015</v>
      </c>
      <c r="C333" t="s">
        <v>4016</v>
      </c>
      <c r="D333" t="s">
        <v>4023</v>
      </c>
      <c r="E333" t="s">
        <v>4024</v>
      </c>
      <c r="F333" t="s">
        <v>3107</v>
      </c>
      <c r="G333" t="s">
        <v>4025</v>
      </c>
    </row>
    <row r="334" spans="1:7" ht="11.25" customHeight="1">
      <c r="A334" t="s">
        <v>14</v>
      </c>
      <c r="B334" t="s">
        <v>4015</v>
      </c>
      <c r="C334" t="s">
        <v>4016</v>
      </c>
      <c r="D334" t="s">
        <v>4026</v>
      </c>
      <c r="E334" t="s">
        <v>4027</v>
      </c>
      <c r="F334" t="s">
        <v>3107</v>
      </c>
      <c r="G334" t="s">
        <v>4028</v>
      </c>
    </row>
    <row r="335" spans="1:7" ht="11.25" customHeight="1">
      <c r="A335" t="s">
        <v>14</v>
      </c>
      <c r="B335" t="s">
        <v>4015</v>
      </c>
      <c r="C335" t="s">
        <v>4016</v>
      </c>
      <c r="D335" t="s">
        <v>4029</v>
      </c>
      <c r="E335" t="s">
        <v>4030</v>
      </c>
      <c r="F335" t="s">
        <v>3107</v>
      </c>
      <c r="G335" t="s">
        <v>4031</v>
      </c>
    </row>
    <row r="336" spans="1:7" ht="11.25" customHeight="1">
      <c r="A336" t="s">
        <v>14</v>
      </c>
      <c r="B336" t="s">
        <v>4015</v>
      </c>
      <c r="C336" t="s">
        <v>4016</v>
      </c>
      <c r="D336" t="s">
        <v>4015</v>
      </c>
      <c r="E336" t="s">
        <v>4016</v>
      </c>
      <c r="F336" t="s">
        <v>3104</v>
      </c>
      <c r="G336" t="s">
        <v>4032</v>
      </c>
    </row>
    <row r="337" spans="1:7" ht="11.25" customHeight="1">
      <c r="A337" t="s">
        <v>14</v>
      </c>
      <c r="B337" t="s">
        <v>4015</v>
      </c>
      <c r="C337" t="s">
        <v>4016</v>
      </c>
      <c r="D337" t="s">
        <v>4033</v>
      </c>
      <c r="E337" t="s">
        <v>4034</v>
      </c>
      <c r="F337" t="s">
        <v>3107</v>
      </c>
      <c r="G337" t="s">
        <v>4035</v>
      </c>
    </row>
    <row r="338" spans="1:7" ht="11.25" customHeight="1">
      <c r="A338" t="s">
        <v>14</v>
      </c>
      <c r="B338" t="s">
        <v>4036</v>
      </c>
      <c r="C338" t="s">
        <v>4037</v>
      </c>
      <c r="D338" t="s">
        <v>4036</v>
      </c>
      <c r="E338" t="s">
        <v>4037</v>
      </c>
      <c r="F338" t="s">
        <v>3101</v>
      </c>
      <c r="G338" t="s">
        <v>4038</v>
      </c>
    </row>
    <row r="339" spans="1:7" ht="11.25" customHeight="1">
      <c r="A339" t="s">
        <v>14</v>
      </c>
      <c r="B339" t="s">
        <v>4039</v>
      </c>
      <c r="C339" t="s">
        <v>4040</v>
      </c>
      <c r="D339" t="s">
        <v>3663</v>
      </c>
      <c r="E339" t="s">
        <v>4041</v>
      </c>
      <c r="F339" t="s">
        <v>3107</v>
      </c>
      <c r="G339" t="s">
        <v>4042</v>
      </c>
    </row>
    <row r="340" spans="1:7" ht="11.25" customHeight="1">
      <c r="A340" t="s">
        <v>14</v>
      </c>
      <c r="B340" t="s">
        <v>4039</v>
      </c>
      <c r="C340" t="s">
        <v>4040</v>
      </c>
      <c r="D340" t="s">
        <v>4043</v>
      </c>
      <c r="E340" t="s">
        <v>4044</v>
      </c>
      <c r="F340" t="s">
        <v>3107</v>
      </c>
      <c r="G340" t="s">
        <v>4045</v>
      </c>
    </row>
    <row r="341" spans="1:7" ht="11.25" customHeight="1">
      <c r="A341" t="s">
        <v>14</v>
      </c>
      <c r="B341" t="s">
        <v>4039</v>
      </c>
      <c r="C341" t="s">
        <v>4040</v>
      </c>
      <c r="D341" t="s">
        <v>4046</v>
      </c>
      <c r="E341" t="s">
        <v>4047</v>
      </c>
      <c r="F341" t="s">
        <v>3107</v>
      </c>
      <c r="G341" t="s">
        <v>4048</v>
      </c>
    </row>
    <row r="342" spans="1:7" ht="11.25" customHeight="1">
      <c r="A342" t="s">
        <v>14</v>
      </c>
      <c r="B342" t="s">
        <v>4039</v>
      </c>
      <c r="C342" t="s">
        <v>4040</v>
      </c>
      <c r="D342" t="s">
        <v>4049</v>
      </c>
      <c r="E342" t="s">
        <v>4050</v>
      </c>
      <c r="F342" t="s">
        <v>3107</v>
      </c>
      <c r="G342" t="s">
        <v>4051</v>
      </c>
    </row>
    <row r="343" spans="1:7" ht="11.25" customHeight="1">
      <c r="A343" t="s">
        <v>14</v>
      </c>
      <c r="B343" t="s">
        <v>4039</v>
      </c>
      <c r="C343" t="s">
        <v>4040</v>
      </c>
      <c r="D343" t="s">
        <v>4052</v>
      </c>
      <c r="E343" t="s">
        <v>4053</v>
      </c>
      <c r="F343" t="s">
        <v>3107</v>
      </c>
      <c r="G343" t="s">
        <v>4054</v>
      </c>
    </row>
    <row r="344" spans="1:7" ht="11.25" customHeight="1">
      <c r="A344" t="s">
        <v>14</v>
      </c>
      <c r="B344" t="s">
        <v>4039</v>
      </c>
      <c r="C344" t="s">
        <v>4040</v>
      </c>
      <c r="D344" t="s">
        <v>4055</v>
      </c>
      <c r="E344" t="s">
        <v>4056</v>
      </c>
      <c r="F344" t="s">
        <v>3107</v>
      </c>
      <c r="G344" t="s">
        <v>4057</v>
      </c>
    </row>
    <row r="345" spans="1:7" ht="11.25" customHeight="1">
      <c r="A345" t="s">
        <v>14</v>
      </c>
      <c r="B345" t="s">
        <v>4039</v>
      </c>
      <c r="C345" t="s">
        <v>4040</v>
      </c>
      <c r="D345" t="s">
        <v>4058</v>
      </c>
      <c r="E345" t="s">
        <v>4059</v>
      </c>
      <c r="F345" t="s">
        <v>3107</v>
      </c>
      <c r="G345" t="s">
        <v>4060</v>
      </c>
    </row>
    <row r="346" spans="1:7" ht="11.25" customHeight="1">
      <c r="A346" t="s">
        <v>14</v>
      </c>
      <c r="B346" t="s">
        <v>4039</v>
      </c>
      <c r="C346" t="s">
        <v>4040</v>
      </c>
      <c r="D346" t="s">
        <v>4061</v>
      </c>
      <c r="E346" t="s">
        <v>4062</v>
      </c>
      <c r="F346" t="s">
        <v>3107</v>
      </c>
      <c r="G346" t="s">
        <v>4063</v>
      </c>
    </row>
    <row r="347" spans="1:7" ht="11.25" customHeight="1">
      <c r="A347" t="s">
        <v>14</v>
      </c>
      <c r="B347" t="s">
        <v>4039</v>
      </c>
      <c r="C347" t="s">
        <v>4040</v>
      </c>
      <c r="D347" t="s">
        <v>4064</v>
      </c>
      <c r="E347" t="s">
        <v>4065</v>
      </c>
      <c r="F347" t="s">
        <v>3107</v>
      </c>
      <c r="G347" t="s">
        <v>4066</v>
      </c>
    </row>
    <row r="348" spans="1:7" ht="11.25" customHeight="1">
      <c r="A348" t="s">
        <v>14</v>
      </c>
      <c r="B348" t="s">
        <v>4039</v>
      </c>
      <c r="C348" t="s">
        <v>4040</v>
      </c>
      <c r="D348" t="s">
        <v>4067</v>
      </c>
      <c r="E348" t="s">
        <v>4068</v>
      </c>
      <c r="F348" t="s">
        <v>3107</v>
      </c>
      <c r="G348" t="s">
        <v>4069</v>
      </c>
    </row>
    <row r="349" spans="1:7" ht="11.25" customHeight="1">
      <c r="A349" t="s">
        <v>14</v>
      </c>
      <c r="B349" t="s">
        <v>4039</v>
      </c>
      <c r="C349" t="s">
        <v>4040</v>
      </c>
      <c r="D349" t="s">
        <v>4070</v>
      </c>
      <c r="E349" t="s">
        <v>4071</v>
      </c>
      <c r="F349" t="s">
        <v>3107</v>
      </c>
      <c r="G349" t="s">
        <v>4072</v>
      </c>
    </row>
    <row r="350" spans="1:7" ht="11.25" customHeight="1">
      <c r="A350" t="s">
        <v>14</v>
      </c>
      <c r="B350" t="s">
        <v>4039</v>
      </c>
      <c r="C350" t="s">
        <v>4040</v>
      </c>
      <c r="D350" t="s">
        <v>4039</v>
      </c>
      <c r="E350" t="s">
        <v>4040</v>
      </c>
      <c r="F350" t="s">
        <v>3104</v>
      </c>
      <c r="G350" t="s">
        <v>4073</v>
      </c>
    </row>
    <row r="351" spans="1:7" ht="11.25" customHeight="1">
      <c r="A351" t="s">
        <v>14</v>
      </c>
      <c r="B351" t="s">
        <v>4074</v>
      </c>
      <c r="C351" t="s">
        <v>4075</v>
      </c>
      <c r="D351" t="s">
        <v>4074</v>
      </c>
      <c r="E351" t="s">
        <v>4075</v>
      </c>
      <c r="F351" t="s">
        <v>3101</v>
      </c>
      <c r="G351" t="s">
        <v>4076</v>
      </c>
    </row>
    <row r="352" spans="1:7" ht="11.25" customHeight="1">
      <c r="A352" t="s">
        <v>14</v>
      </c>
      <c r="B352" t="s">
        <v>4077</v>
      </c>
      <c r="C352" t="s">
        <v>4078</v>
      </c>
      <c r="D352" t="s">
        <v>4079</v>
      </c>
      <c r="E352" t="s">
        <v>4080</v>
      </c>
      <c r="F352" t="s">
        <v>3107</v>
      </c>
      <c r="G352" t="s">
        <v>4081</v>
      </c>
    </row>
    <row r="353" spans="1:7" ht="11.25" customHeight="1">
      <c r="A353" t="s">
        <v>14</v>
      </c>
      <c r="B353" t="s">
        <v>4077</v>
      </c>
      <c r="C353" t="s">
        <v>4078</v>
      </c>
      <c r="D353" t="s">
        <v>4082</v>
      </c>
      <c r="E353" t="s">
        <v>4083</v>
      </c>
      <c r="F353" t="s">
        <v>3209</v>
      </c>
      <c r="G353" t="s">
        <v>4084</v>
      </c>
    </row>
    <row r="354" spans="1:7" ht="11.25" customHeight="1">
      <c r="A354" t="s">
        <v>14</v>
      </c>
      <c r="B354" t="s">
        <v>4077</v>
      </c>
      <c r="C354" t="s">
        <v>4078</v>
      </c>
      <c r="D354" t="s">
        <v>4085</v>
      </c>
      <c r="E354" t="s">
        <v>4086</v>
      </c>
      <c r="F354" t="s">
        <v>3107</v>
      </c>
      <c r="G354" t="s">
        <v>4087</v>
      </c>
    </row>
    <row r="355" spans="1:7" ht="11.25" customHeight="1">
      <c r="A355" t="s">
        <v>14</v>
      </c>
      <c r="B355" t="s">
        <v>4077</v>
      </c>
      <c r="C355" t="s">
        <v>4078</v>
      </c>
      <c r="D355" t="s">
        <v>4088</v>
      </c>
      <c r="E355" t="s">
        <v>4089</v>
      </c>
      <c r="F355" t="s">
        <v>3107</v>
      </c>
      <c r="G355" t="s">
        <v>4090</v>
      </c>
    </row>
    <row r="356" spans="1:7" ht="11.25" customHeight="1">
      <c r="A356" t="s">
        <v>14</v>
      </c>
      <c r="B356" t="s">
        <v>4077</v>
      </c>
      <c r="C356" t="s">
        <v>4078</v>
      </c>
      <c r="D356" t="s">
        <v>3128</v>
      </c>
      <c r="E356" t="s">
        <v>4091</v>
      </c>
      <c r="F356" t="s">
        <v>3107</v>
      </c>
      <c r="G356" t="s">
        <v>4092</v>
      </c>
    </row>
    <row r="357" spans="1:7" ht="11.25" customHeight="1">
      <c r="A357" t="s">
        <v>14</v>
      </c>
      <c r="B357" t="s">
        <v>4077</v>
      </c>
      <c r="C357" t="s">
        <v>4078</v>
      </c>
      <c r="D357" t="s">
        <v>4093</v>
      </c>
      <c r="E357" t="s">
        <v>4094</v>
      </c>
      <c r="F357" t="s">
        <v>3107</v>
      </c>
      <c r="G357" t="s">
        <v>4095</v>
      </c>
    </row>
    <row r="358" spans="1:7" ht="11.25" customHeight="1">
      <c r="A358" t="s">
        <v>14</v>
      </c>
      <c r="B358" t="s">
        <v>4077</v>
      </c>
      <c r="C358" t="s">
        <v>4078</v>
      </c>
      <c r="D358" t="s">
        <v>4096</v>
      </c>
      <c r="E358" t="s">
        <v>4097</v>
      </c>
      <c r="F358" t="s">
        <v>3107</v>
      </c>
      <c r="G358" t="s">
        <v>4098</v>
      </c>
    </row>
    <row r="359" spans="1:7" ht="11.25" customHeight="1">
      <c r="A359" t="s">
        <v>14</v>
      </c>
      <c r="B359" t="s">
        <v>4077</v>
      </c>
      <c r="C359" t="s">
        <v>4078</v>
      </c>
      <c r="D359" t="s">
        <v>4099</v>
      </c>
      <c r="E359" t="s">
        <v>4100</v>
      </c>
      <c r="F359" t="s">
        <v>3107</v>
      </c>
      <c r="G359" t="s">
        <v>4101</v>
      </c>
    </row>
    <row r="360" spans="1:7" ht="11.25" customHeight="1">
      <c r="A360" t="s">
        <v>14</v>
      </c>
      <c r="B360" t="s">
        <v>4077</v>
      </c>
      <c r="C360" t="s">
        <v>4078</v>
      </c>
      <c r="D360" t="s">
        <v>4102</v>
      </c>
      <c r="E360" t="s">
        <v>4103</v>
      </c>
      <c r="F360" t="s">
        <v>3107</v>
      </c>
      <c r="G360" t="s">
        <v>4104</v>
      </c>
    </row>
    <row r="361" spans="1:7" ht="11.25" customHeight="1">
      <c r="A361" t="s">
        <v>14</v>
      </c>
      <c r="B361" t="s">
        <v>4077</v>
      </c>
      <c r="C361" t="s">
        <v>4078</v>
      </c>
      <c r="D361" t="s">
        <v>4105</v>
      </c>
      <c r="E361" t="s">
        <v>4106</v>
      </c>
      <c r="F361" t="s">
        <v>3107</v>
      </c>
      <c r="G361" t="s">
        <v>4107</v>
      </c>
    </row>
    <row r="362" spans="1:7" ht="11.25" customHeight="1">
      <c r="A362" t="s">
        <v>14</v>
      </c>
      <c r="B362" t="s">
        <v>4077</v>
      </c>
      <c r="C362" t="s">
        <v>4078</v>
      </c>
      <c r="D362" t="s">
        <v>4108</v>
      </c>
      <c r="E362" t="s">
        <v>4109</v>
      </c>
      <c r="F362" t="s">
        <v>3107</v>
      </c>
      <c r="G362" t="s">
        <v>4110</v>
      </c>
    </row>
    <row r="363" spans="1:7" ht="11.25" customHeight="1">
      <c r="A363" t="s">
        <v>14</v>
      </c>
      <c r="B363" t="s">
        <v>4077</v>
      </c>
      <c r="C363" t="s">
        <v>4078</v>
      </c>
      <c r="D363" t="s">
        <v>4111</v>
      </c>
      <c r="E363" t="s">
        <v>4112</v>
      </c>
      <c r="F363" t="s">
        <v>3107</v>
      </c>
      <c r="G363" t="s">
        <v>4113</v>
      </c>
    </row>
    <row r="364" spans="1:7" ht="11.25" customHeight="1">
      <c r="A364" t="s">
        <v>14</v>
      </c>
      <c r="B364" t="s">
        <v>4077</v>
      </c>
      <c r="C364" t="s">
        <v>4078</v>
      </c>
      <c r="D364" t="s">
        <v>4077</v>
      </c>
      <c r="E364" t="s">
        <v>4078</v>
      </c>
      <c r="F364" t="s">
        <v>3104</v>
      </c>
      <c r="G364" t="s">
        <v>4114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4159</v>
      </c>
      <c r="B1" s="749" t="s">
        <v>4160</v>
      </c>
      <c r="C1" s="749" t="s">
        <v>1339</v>
      </c>
    </row>
    <row r="2" spans="1:3" ht="11.25" customHeight="1">
      <c r="A2" s="749">
        <v>4189678</v>
      </c>
      <c r="B2" s="749" t="s">
        <v>4161</v>
      </c>
      <c r="C2" s="749" t="s">
        <v>4162</v>
      </c>
    </row>
    <row r="3" spans="1:3" ht="11.25" customHeight="1">
      <c r="A3" s="749">
        <v>4190415</v>
      </c>
      <c r="B3" s="749" t="s">
        <v>4163</v>
      </c>
      <c r="C3" s="749" t="s">
        <v>4162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4164</v>
      </c>
      <c r="B1" s="81" t="s">
        <v>4165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4166</v>
      </c>
      <c r="B1" t="b">
        <v>1</v>
      </c>
    </row>
    <row r="2" spans="1:2" ht="11.25" customHeight="1">
      <c r="A2" t="s">
        <v>4167</v>
      </c>
      <c r="B2" t="b">
        <v>0</v>
      </c>
    </row>
    <row r="3" spans="1:2" ht="11.25" customHeight="1">
      <c r="A3" t="s">
        <v>4168</v>
      </c>
      <c r="B3" t="b">
        <v>0</v>
      </c>
    </row>
    <row r="4" spans="1:2" ht="11.25" customHeight="1">
      <c r="A4" t="s">
        <v>4169</v>
      </c>
      <c r="B4" t="b">
        <v>1</v>
      </c>
    </row>
    <row r="5" spans="1:2" ht="11.25" customHeight="1">
      <c r="A5" t="s">
        <v>4170</v>
      </c>
      <c r="B5" t="b">
        <v>0</v>
      </c>
    </row>
    <row r="6" spans="1:2" ht="11.25" customHeight="1">
      <c r="A6" t="s">
        <v>4171</v>
      </c>
      <c r="B6" t="b">
        <v>0</v>
      </c>
    </row>
    <row r="7" spans="1:2" ht="11.25" customHeight="1">
      <c r="A7" t="s">
        <v>4172</v>
      </c>
      <c r="B7" t="b">
        <v>0</v>
      </c>
    </row>
    <row r="8" spans="1:2" ht="11.25" customHeight="1">
      <c r="A8" t="s">
        <v>4173</v>
      </c>
      <c r="B8" t="b">
        <v>0</v>
      </c>
    </row>
    <row r="9" spans="1:2" ht="11.25" customHeight="1">
      <c r="A9" t="s">
        <v>4174</v>
      </c>
      <c r="B9" t="b">
        <v>1</v>
      </c>
    </row>
    <row r="10" spans="1:2" ht="11.25" customHeight="1">
      <c r="A10" t="s">
        <v>4175</v>
      </c>
      <c r="B10" t="b">
        <v>0</v>
      </c>
    </row>
    <row r="11" spans="1:2" ht="11.25" customHeight="1">
      <c r="A11" t="s">
        <v>4176</v>
      </c>
      <c r="B11" t="b">
        <v>0</v>
      </c>
    </row>
    <row r="12" spans="1:2" ht="11.25" customHeight="1">
      <c r="A12" t="s">
        <v>4177</v>
      </c>
      <c r="B12" t="b">
        <v>0</v>
      </c>
    </row>
    <row r="13" spans="1:2" ht="11.25" customHeight="1">
      <c r="A13" t="s">
        <v>4178</v>
      </c>
      <c r="B13" t="b">
        <v>0</v>
      </c>
    </row>
    <row r="14" spans="1:2" ht="11.25" customHeight="1">
      <c r="A14" t="s">
        <v>4179</v>
      </c>
      <c r="B14" t="b">
        <v>0</v>
      </c>
    </row>
    <row r="15" spans="1:2" ht="11.25" customHeight="1">
      <c r="A15" t="s">
        <v>4180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7" customWidth="1"/>
    <col min="2" max="2" width="21.140625" style="1827" customWidth="1"/>
  </cols>
  <sheetData>
    <row r="1" spans="1:2" ht="11.25" customHeight="1">
      <c r="A1" s="2" t="s">
        <v>4181</v>
      </c>
      <c r="B1" s="2" t="s">
        <v>4182</v>
      </c>
    </row>
    <row r="2" spans="1:2" ht="11.25" customHeight="1">
      <c r="A2" t="s">
        <v>4183</v>
      </c>
      <c r="B2" t="s">
        <v>4184</v>
      </c>
    </row>
    <row r="3" spans="1:2" ht="11.25" customHeight="1">
      <c r="A3" t="s">
        <v>4185</v>
      </c>
      <c r="B3" t="s">
        <v>4186</v>
      </c>
    </row>
    <row r="4" spans="1:2" ht="11.25" customHeight="1">
      <c r="A4" t="s">
        <v>4187</v>
      </c>
      <c r="B4" t="s">
        <v>4188</v>
      </c>
    </row>
    <row r="5" spans="1:2" ht="11.25" customHeight="1">
      <c r="A5" t="s">
        <v>4189</v>
      </c>
      <c r="B5" t="s">
        <v>4190</v>
      </c>
    </row>
    <row r="6" spans="1:2" ht="11.25" customHeight="1">
      <c r="A6" t="s">
        <v>4191</v>
      </c>
      <c r="B6" t="s">
        <v>4192</v>
      </c>
    </row>
    <row r="7" spans="1:2" ht="11.25" customHeight="1">
      <c r="A7" t="s">
        <v>4193</v>
      </c>
      <c r="B7" t="s">
        <v>4194</v>
      </c>
    </row>
    <row r="8" spans="1:2" ht="11.25" customHeight="1">
      <c r="A8" t="s">
        <v>4195</v>
      </c>
      <c r="B8" t="s">
        <v>4196</v>
      </c>
    </row>
    <row r="9" spans="1:2" ht="11.25" customHeight="1">
      <c r="A9" t="s">
        <v>4197</v>
      </c>
      <c r="B9" t="s">
        <v>4198</v>
      </c>
    </row>
    <row r="10" spans="1:2" ht="11.25" customHeight="1">
      <c r="A10" t="s">
        <v>4199</v>
      </c>
      <c r="B10" t="s">
        <v>4200</v>
      </c>
    </row>
    <row r="11" spans="1:2" ht="11.25" customHeight="1">
      <c r="A11" t="s">
        <v>4201</v>
      </c>
      <c r="B11" t="s">
        <v>4202</v>
      </c>
    </row>
    <row r="12" spans="1:2" ht="11.25" customHeight="1">
      <c r="A12" t="s">
        <v>4203</v>
      </c>
      <c r="B12" t="s">
        <v>4204</v>
      </c>
    </row>
    <row r="13" spans="1:2" ht="11.25" customHeight="1">
      <c r="A13" t="s">
        <v>4205</v>
      </c>
      <c r="B13" t="s">
        <v>4206</v>
      </c>
    </row>
    <row r="14" spans="1:2" ht="11.25" customHeight="1">
      <c r="A14" t="s">
        <v>4207</v>
      </c>
      <c r="B14" t="s">
        <v>4208</v>
      </c>
    </row>
    <row r="15" spans="1:2" ht="11.25" customHeight="1">
      <c r="A15" t="s">
        <v>4209</v>
      </c>
      <c r="B15" t="s">
        <v>4210</v>
      </c>
    </row>
    <row r="16" spans="1:2" ht="11.25" customHeight="1">
      <c r="A16" t="s">
        <v>4211</v>
      </c>
      <c r="B16" t="s">
        <v>4212</v>
      </c>
    </row>
    <row r="17" spans="1:2" ht="11.25" customHeight="1">
      <c r="A17" t="s">
        <v>4213</v>
      </c>
      <c r="B17" t="s">
        <v>4214</v>
      </c>
    </row>
    <row r="18" spans="1:2" ht="11.25" customHeight="1">
      <c r="A18" t="s">
        <v>4215</v>
      </c>
      <c r="B18" t="s">
        <v>4216</v>
      </c>
    </row>
    <row r="19" spans="1:2" ht="11.25" customHeight="1">
      <c r="A19" t="s">
        <v>4217</v>
      </c>
      <c r="B19" t="s">
        <v>4218</v>
      </c>
    </row>
    <row r="20" spans="1:2" ht="11.25" customHeight="1">
      <c r="A20" t="s">
        <v>4219</v>
      </c>
      <c r="B20" t="s">
        <v>4220</v>
      </c>
    </row>
    <row r="21" spans="1:2" ht="11.25" customHeight="1">
      <c r="A21" t="s">
        <v>4221</v>
      </c>
      <c r="B21" t="s">
        <v>4222</v>
      </c>
    </row>
    <row r="22" spans="1:2" ht="11.25" customHeight="1">
      <c r="A22" t="s">
        <v>4223</v>
      </c>
      <c r="B22" t="s">
        <v>4224</v>
      </c>
    </row>
    <row r="23" spans="1:2" ht="11.25" customHeight="1">
      <c r="A23" t="s">
        <v>4225</v>
      </c>
      <c r="B23" t="s">
        <v>4226</v>
      </c>
    </row>
    <row r="24" spans="1:2" ht="11.25" customHeight="1">
      <c r="A24" t="s">
        <v>4227</v>
      </c>
      <c r="B24" t="s">
        <v>4228</v>
      </c>
    </row>
    <row r="25" spans="1:2" ht="11.25" customHeight="1">
      <c r="A25" t="s">
        <v>4229</v>
      </c>
      <c r="B25" t="s">
        <v>4230</v>
      </c>
    </row>
    <row r="26" spans="1:2" ht="11.25" customHeight="1">
      <c r="A26" t="s">
        <v>4231</v>
      </c>
      <c r="B26" t="s">
        <v>4232</v>
      </c>
    </row>
    <row r="27" spans="1:2" ht="11.25" customHeight="1">
      <c r="A27" t="s">
        <v>4233</v>
      </c>
      <c r="B27" t="s">
        <v>4234</v>
      </c>
    </row>
    <row r="28" spans="1:2" ht="11.25" customHeight="1">
      <c r="A28" t="s">
        <v>4235</v>
      </c>
      <c r="B28" t="s">
        <v>4236</v>
      </c>
    </row>
    <row r="29" spans="1:2" ht="11.25" customHeight="1">
      <c r="A29" t="s">
        <v>4237</v>
      </c>
      <c r="B29" t="s">
        <v>4238</v>
      </c>
    </row>
    <row r="30" spans="1:2" ht="11.25" customHeight="1">
      <c r="A30" t="s">
        <v>4239</v>
      </c>
      <c r="B30" t="s">
        <v>4240</v>
      </c>
    </row>
    <row r="31" spans="1:2" ht="11.25" customHeight="1">
      <c r="A31" t="s">
        <v>4241</v>
      </c>
      <c r="B31" t="s">
        <v>4242</v>
      </c>
    </row>
    <row r="32" spans="1:2" ht="11.25" customHeight="1">
      <c r="A32" t="s">
        <v>4243</v>
      </c>
      <c r="B32" t="s">
        <v>4244</v>
      </c>
    </row>
    <row r="33" spans="1:2" ht="11.25" customHeight="1">
      <c r="A33" t="s">
        <v>4245</v>
      </c>
      <c r="B33" t="s">
        <v>4246</v>
      </c>
    </row>
    <row r="34" spans="1:2" ht="11.25" customHeight="1">
      <c r="A34" t="s">
        <v>4247</v>
      </c>
      <c r="B34" t="s">
        <v>4248</v>
      </c>
    </row>
    <row r="35" spans="1:2" ht="11.25" customHeight="1">
      <c r="A35" t="s">
        <v>4249</v>
      </c>
      <c r="B35" t="s">
        <v>4250</v>
      </c>
    </row>
    <row r="36" spans="1:2" ht="11.25" customHeight="1">
      <c r="A36" t="s">
        <v>4251</v>
      </c>
      <c r="B36" t="s">
        <v>4252</v>
      </c>
    </row>
    <row r="37" spans="1:2" ht="11.25" customHeight="1">
      <c r="A37" t="s">
        <v>4253</v>
      </c>
      <c r="B37" t="s">
        <v>4254</v>
      </c>
    </row>
    <row r="38" spans="1:2" ht="11.25" customHeight="1">
      <c r="A38" t="s">
        <v>4255</v>
      </c>
      <c r="B38" t="s">
        <v>4256</v>
      </c>
    </row>
    <row r="39" spans="1:2" ht="11.25" customHeight="1">
      <c r="A39" t="s">
        <v>4257</v>
      </c>
      <c r="B39" t="s">
        <v>4258</v>
      </c>
    </row>
    <row r="40" spans="1:2" ht="11.25" customHeight="1">
      <c r="A40" t="s">
        <v>4259</v>
      </c>
      <c r="B40" t="s">
        <v>4260</v>
      </c>
    </row>
    <row r="41" spans="1:2" ht="11.25" customHeight="1">
      <c r="A41" t="s">
        <v>4261</v>
      </c>
      <c r="B41" t="s">
        <v>4262</v>
      </c>
    </row>
    <row r="42" spans="1:2" ht="11.25" customHeight="1">
      <c r="A42" t="s">
        <v>4263</v>
      </c>
      <c r="B42" t="s">
        <v>4264</v>
      </c>
    </row>
    <row r="43" spans="1:2" ht="11.25" customHeight="1">
      <c r="A43" t="s">
        <v>4265</v>
      </c>
      <c r="B43" t="s">
        <v>4266</v>
      </c>
    </row>
    <row r="44" spans="1:2" ht="11.25" customHeight="1">
      <c r="A44" t="s">
        <v>4267</v>
      </c>
      <c r="B44" t="s">
        <v>4268</v>
      </c>
    </row>
    <row r="45" spans="1:2" ht="11.25" customHeight="1">
      <c r="A45" t="s">
        <v>4269</v>
      </c>
      <c r="B45" t="s">
        <v>4270</v>
      </c>
    </row>
    <row r="46" spans="1:2" ht="11.25" customHeight="1">
      <c r="A46" t="s">
        <v>4271</v>
      </c>
      <c r="B46" t="s">
        <v>4272</v>
      </c>
    </row>
    <row r="47" spans="1:2" ht="11.25" customHeight="1">
      <c r="A47" t="s">
        <v>4273</v>
      </c>
      <c r="B47" t="s">
        <v>4274</v>
      </c>
    </row>
    <row r="48" spans="1:2" ht="11.25" customHeight="1">
      <c r="A48" t="s">
        <v>4275</v>
      </c>
      <c r="B48" t="s">
        <v>4276</v>
      </c>
    </row>
    <row r="49" spans="1:2" ht="11.25" customHeight="1">
      <c r="A49" t="s">
        <v>4277</v>
      </c>
      <c r="B49" t="s">
        <v>4278</v>
      </c>
    </row>
    <row r="50" spans="1:2" ht="11.25" customHeight="1">
      <c r="A50" t="s">
        <v>4279</v>
      </c>
      <c r="B50" t="s">
        <v>4280</v>
      </c>
    </row>
    <row r="51" spans="1:2" ht="11.25" customHeight="1">
      <c r="A51" t="s">
        <v>4281</v>
      </c>
      <c r="B51" t="s">
        <v>4282</v>
      </c>
    </row>
    <row r="52" spans="1:2" ht="11.25" customHeight="1">
      <c r="A52" t="s">
        <v>4283</v>
      </c>
      <c r="B52" t="s">
        <v>4284</v>
      </c>
    </row>
    <row r="53" spans="1:2" ht="11.25" customHeight="1">
      <c r="A53" t="s">
        <v>4285</v>
      </c>
      <c r="B53" t="s">
        <v>4286</v>
      </c>
    </row>
    <row r="54" spans="1:2" ht="11.25" customHeight="1">
      <c r="A54" t="s">
        <v>4287</v>
      </c>
      <c r="B54" t="s">
        <v>4288</v>
      </c>
    </row>
    <row r="55" spans="1:2" ht="11.25" customHeight="1">
      <c r="A55" t="s">
        <v>4289</v>
      </c>
      <c r="B55" t="s">
        <v>4290</v>
      </c>
    </row>
    <row r="56" spans="1:2" ht="11.25" customHeight="1">
      <c r="A56" t="s">
        <v>4291</v>
      </c>
      <c r="B56" t="s">
        <v>4292</v>
      </c>
    </row>
    <row r="57" spans="1:2" ht="11.25" customHeight="1">
      <c r="A57" t="s">
        <v>4293</v>
      </c>
      <c r="B57" t="s">
        <v>4294</v>
      </c>
    </row>
    <row r="58" spans="1:2" ht="11.25" customHeight="1">
      <c r="A58" t="s">
        <v>4295</v>
      </c>
      <c r="B58" t="s">
        <v>4296</v>
      </c>
    </row>
    <row r="59" spans="1:2" ht="11.25" customHeight="1">
      <c r="A59" t="s">
        <v>4297</v>
      </c>
      <c r="B59" t="s">
        <v>4298</v>
      </c>
    </row>
    <row r="60" spans="1:2" ht="11.25" customHeight="1">
      <c r="A60" t="s">
        <v>4299</v>
      </c>
      <c r="B60" t="s">
        <v>4300</v>
      </c>
    </row>
    <row r="61" spans="1:2" ht="11.25" customHeight="1">
      <c r="A61"/>
      <c r="B61" t="s">
        <v>4301</v>
      </c>
    </row>
    <row r="62" spans="1:2" ht="11.25" customHeight="1">
      <c r="A62"/>
      <c r="B62" t="s">
        <v>4302</v>
      </c>
    </row>
    <row r="63" spans="1:2" ht="11.25" customHeight="1">
      <c r="A63"/>
      <c r="B63" t="s">
        <v>4303</v>
      </c>
    </row>
    <row r="64" spans="1:2" ht="11.25" customHeight="1">
      <c r="A64"/>
      <c r="B64" t="s">
        <v>4304</v>
      </c>
    </row>
    <row r="65" spans="1:2" ht="11.25" customHeight="1">
      <c r="A65"/>
      <c r="B65" t="s">
        <v>4305</v>
      </c>
    </row>
    <row r="66" spans="1:2" ht="11.25" customHeight="1">
      <c r="A66"/>
      <c r="B66" t="s">
        <v>4306</v>
      </c>
    </row>
    <row r="67" spans="1:2" ht="11.25" customHeight="1">
      <c r="A67"/>
      <c r="B67" t="s">
        <v>4307</v>
      </c>
    </row>
    <row r="68" spans="1:2" ht="11.25" customHeight="1">
      <c r="A68"/>
      <c r="B68" t="s">
        <v>4308</v>
      </c>
    </row>
    <row r="69" spans="1:2" ht="11.25" customHeight="1">
      <c r="A69"/>
      <c r="B69" t="s">
        <v>4309</v>
      </c>
    </row>
    <row r="70" spans="1:2" ht="11.25" customHeight="1">
      <c r="A70"/>
      <c r="B70" t="s">
        <v>4310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7" customWidth="1"/>
    <col min="2" max="2" width="90.7109375" style="1827" customWidth="1"/>
    <col min="3" max="4" width="9.140625" style="1827"/>
  </cols>
  <sheetData>
    <row r="1" spans="2:4" ht="11.25" customHeight="1">
      <c r="B1" s="22" t="s">
        <v>4311</v>
      </c>
    </row>
    <row r="2" spans="2:4" ht="90" customHeight="1">
      <c r="B2" s="23" t="s">
        <v>4312</v>
      </c>
    </row>
    <row r="3" spans="2:4" ht="67.5" customHeight="1">
      <c r="B3" s="23" t="s">
        <v>4313</v>
      </c>
    </row>
    <row r="4" spans="2:4" ht="33.75" customHeight="1">
      <c r="B4" s="23" t="s">
        <v>4314</v>
      </c>
    </row>
    <row r="5" spans="2:4" ht="11.25" customHeight="1">
      <c r="B5" s="23" t="s">
        <v>4315</v>
      </c>
    </row>
    <row r="6" spans="2:4" ht="22.5" customHeight="1">
      <c r="B6" s="23" t="s">
        <v>4316</v>
      </c>
    </row>
    <row r="7" spans="2:4" ht="22.5" customHeight="1">
      <c r="B7" s="23" t="s">
        <v>4317</v>
      </c>
    </row>
    <row r="8" spans="2:4" ht="22.5" customHeight="1">
      <c r="B8" s="23" t="s">
        <v>4318</v>
      </c>
    </row>
    <row r="9" spans="2:4" ht="22.5" customHeight="1">
      <c r="B9" s="23" t="s">
        <v>4319</v>
      </c>
    </row>
    <row r="10" spans="2:4" ht="56.25" customHeight="1">
      <c r="B10" s="23" t="s">
        <v>4320</v>
      </c>
    </row>
    <row r="11" spans="2:4" ht="12.75" customHeight="1">
      <c r="B11" s="77" t="s">
        <v>4321</v>
      </c>
    </row>
    <row r="12" spans="2:4" ht="11.25" customHeight="1">
      <c r="B12" s="22" t="s">
        <v>4322</v>
      </c>
    </row>
    <row r="13" spans="2:4" ht="22.5" customHeight="1">
      <c r="B13" s="23" t="s">
        <v>4323</v>
      </c>
    </row>
    <row r="14" spans="2:4" ht="67.5" customHeight="1">
      <c r="B14" s="23" t="s">
        <v>4324</v>
      </c>
    </row>
    <row r="15" spans="2:4" ht="22.5" customHeight="1">
      <c r="B15" s="23" t="s">
        <v>4325</v>
      </c>
    </row>
    <row r="16" spans="2:4" ht="11.25" customHeight="1">
      <c r="B16" s="22" t="s">
        <v>4326</v>
      </c>
      <c r="D16" s="29"/>
    </row>
    <row r="17" spans="1:2" ht="33.75" customHeight="1">
      <c r="B17" s="23" t="s">
        <v>4327</v>
      </c>
    </row>
    <row r="18" spans="1:2" ht="33.75" customHeight="1">
      <c r="B18" s="23" t="s">
        <v>4328</v>
      </c>
    </row>
    <row r="19" spans="1:2" ht="11.25" customHeight="1">
      <c r="B19" s="23" t="s">
        <v>4329</v>
      </c>
    </row>
    <row r="20" spans="1:2" ht="33.75" customHeight="1">
      <c r="B20" s="23" t="s">
        <v>4330</v>
      </c>
    </row>
    <row r="21" spans="1:2" ht="11.25" customHeight="1">
      <c r="B21" s="22" t="s">
        <v>4331</v>
      </c>
    </row>
    <row r="22" spans="1:2" ht="11.25" customHeight="1">
      <c r="B22" s="23" t="s">
        <v>4332</v>
      </c>
    </row>
    <row r="24" spans="1:2" ht="22.5" customHeight="1">
      <c r="B24" s="79" t="s">
        <v>4333</v>
      </c>
    </row>
    <row r="26" spans="1:2" ht="11.25" customHeight="1">
      <c r="B26" s="22" t="s">
        <v>4334</v>
      </c>
    </row>
    <row r="27" spans="1:2" ht="22.5" customHeight="1">
      <c r="B27" s="78" t="s">
        <v>427</v>
      </c>
    </row>
    <row r="28" spans="1:2" ht="56.25" customHeight="1">
      <c r="B28" s="78" t="s">
        <v>4335</v>
      </c>
    </row>
    <row r="29" spans="1:2" ht="11.25" customHeight="1">
      <c r="B29" s="127" t="s">
        <v>4336</v>
      </c>
    </row>
    <row r="30" spans="1:2" ht="22.5" customHeight="1">
      <c r="B30" s="78" t="s">
        <v>4337</v>
      </c>
    </row>
    <row r="32" spans="1:2" ht="11.25" customHeight="1">
      <c r="A32"/>
      <c r="B32" s="106" t="s">
        <v>4338</v>
      </c>
    </row>
    <row r="33" spans="1:2" ht="14.25" customHeight="1">
      <c r="A33" s="107">
        <v>1</v>
      </c>
      <c r="B33" s="108" t="s">
        <v>4339</v>
      </c>
    </row>
    <row r="34" spans="1:2" ht="14.25" customHeight="1">
      <c r="A34" s="107">
        <v>2</v>
      </c>
      <c r="B34" s="108" t="s">
        <v>4340</v>
      </c>
    </row>
    <row r="35" spans="1:2" ht="11.25" customHeight="1">
      <c r="B35" s="106" t="s">
        <v>4341</v>
      </c>
    </row>
    <row r="36" spans="1:2" ht="11.25" customHeight="1">
      <c r="B36" s="108" t="s">
        <v>4342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1931</vt:i4>
      </vt:variant>
    </vt:vector>
  </HeadingPairs>
  <TitlesOfParts>
    <vt:vector size="201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pt_ntar_27</vt:lpstr>
      <vt:lpstr>pt_ntar_28</vt:lpstr>
      <vt:lpstr>pt_ntar_29</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Лазарева Маргарита Владимировна</cp:lastModifiedBy>
  <cp:lastPrinted>2013-08-29T08:11:20Z</cp:lastPrinted>
  <dcterms:created xsi:type="dcterms:W3CDTF">2004-05-21T07:18:45Z</dcterms:created>
  <dcterms:modified xsi:type="dcterms:W3CDTF">2023-12-29T07:32:25Z</dcterms:modified>
</cp:coreProperties>
</file>