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Раскрытие информации\2024\Утвержденные тарифы на 2024-2028гг\_01_Тарифы на 2024 год\"/>
    </mc:Choice>
  </mc:AlternateContent>
  <bookViews>
    <workbookView xWindow="0" yWindow="0" windowWidth="12750" windowHeight="10560" tabRatio="870" activeTab="4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Т-пит'!$294:$295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Т-пит'!$296:$297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тарифов'!$64:$148</definedName>
    <definedName name="BLOCK_PT_HEAT">'Перечень тарифов'!$13:$62</definedName>
    <definedName name="BLOCK_PT_HOTVSNA">'Перечень тарифов'!$150:$164</definedName>
    <definedName name="BLOCK_PT_VOTV">'Перечень тарифов'!$166:$180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территорий'!$E$65:$I$65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REESTR_DS!$B$2:$B$9</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тарифов'!$Z$12:$Z$182</definedName>
    <definedName name="DIFFERENTIATION_TARIFF_VD_ID">'Перечень тарифов'!$AB$12:$AB$182</definedName>
    <definedName name="DIFFERENTIATION_TARIFF_VTAR_ID">'Перечень тарифов'!$AA$12:$AA$182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Предложение!$L$112</definedName>
    <definedName name="OFFER_METHOD">Предложение!$K$24:$K$110</definedName>
    <definedName name="OFFER_METHOD_FLAG">TEHSHEET!$L$6</definedName>
    <definedName name="OFFER_TARIFF_A_1">Предложение!$24:$26</definedName>
    <definedName name="OFFER_TARIFF_A_2">Предложение!$114:$116</definedName>
    <definedName name="OFFER_TARIFF_A_3">Предложение!$202:$204</definedName>
    <definedName name="OFFER_TARIFF_A_4">Предложение!$290:$292</definedName>
    <definedName name="OFFER_TARIFF_A_5">Предложение!$378:$380</definedName>
    <definedName name="OFFER_TARIFF_A_COLDVSNA_1">Предложение!$48:$80</definedName>
    <definedName name="OFFER_TARIFF_A_COLDVSNA_2">Предложение!$138:$170</definedName>
    <definedName name="OFFER_TARIFF_A_COLDVSNA_3">Предложение!$226:$258</definedName>
    <definedName name="OFFER_TARIFF_A_COLDVSNA_4">Предложение!$314:$346</definedName>
    <definedName name="OFFER_TARIFF_A_COLDVSNA_5">Предложение!$402:$434</definedName>
    <definedName name="OFFER_TARIFF_A_HOTVSNA_1">Предложение!$93:$95</definedName>
    <definedName name="OFFER_TARIFF_A_HOTVSNA_2">Предложение!$183:$185</definedName>
    <definedName name="OFFER_TARIFF_A_HOTVSNA_3">Предложение!$271:$273</definedName>
    <definedName name="OFFER_TARIFF_A_HOTVSNA_4">Предложение!$359:$361</definedName>
    <definedName name="OFFER_TARIFF_A_HOTVSNA_5">Предложение!$447:$449</definedName>
    <definedName name="OFFER_TARIFF_A_VOTV_1">Предложение!$102:$104</definedName>
    <definedName name="OFFER_TARIFF_A_VOTV_2">Предложение!$192:$194</definedName>
    <definedName name="OFFER_TARIFF_A_VOTV_3">Предложение!$280:$282</definedName>
    <definedName name="OFFER_TARIFF_A_VOTV_4">Предложение!$368:$370</definedName>
    <definedName name="OFFER_TARIFF_A_VOTV_5">Предложение!$456:$458</definedName>
    <definedName name="OFFER_TARIFF_B_1">Предложение!$27:$29</definedName>
    <definedName name="OFFER_TARIFF_B_2">Предложение!$117:$119</definedName>
    <definedName name="OFFER_TARIFF_B_3">Предложение!$205:$207</definedName>
    <definedName name="OFFER_TARIFF_B_4">Предложение!$293:$295</definedName>
    <definedName name="OFFER_TARIFF_B_5">Предложение!$381:$383</definedName>
    <definedName name="OFFER_TARIFF_B_COLDVSNA_1">Предложение!$81:$83</definedName>
    <definedName name="OFFER_TARIFF_B_COLDVSNA_2">Предложение!$171:$173</definedName>
    <definedName name="OFFER_TARIFF_B_COLDVSNA_3">Предложение!$259:$261</definedName>
    <definedName name="OFFER_TARIFF_B_COLDVSNA_4">Предложение!$347:$349</definedName>
    <definedName name="OFFER_TARIFF_B_COLDVSNA_5">Предложение!$435:$437</definedName>
    <definedName name="OFFER_TARIFF_B_HOTVSNA_1">Предложение!$96:$98</definedName>
    <definedName name="OFFER_TARIFF_B_HOTVSNA_2">Предложение!$186:$188</definedName>
    <definedName name="OFFER_TARIFF_B_HOTVSNA_3">Предложение!$274:$276</definedName>
    <definedName name="OFFER_TARIFF_B_HOTVSNA_4">Предложение!$362:$364</definedName>
    <definedName name="OFFER_TARIFF_B_HOTVSNA_5">Предложение!$450:$452</definedName>
    <definedName name="OFFER_TARIFF_B_VOTV_1">Предложение!$105:$107</definedName>
    <definedName name="OFFER_TARIFF_B_VOTV_2">Предложение!$195:$197</definedName>
    <definedName name="OFFER_TARIFF_B_VOTV_3">Предложение!$283:$285</definedName>
    <definedName name="OFFER_TARIFF_B_VOTV_4">Предложение!$371:$373</definedName>
    <definedName name="OFFER_TARIFF_B_VOTV_5">Предложение!$459:$461</definedName>
    <definedName name="OFFER_TARIFF_C_1">Предложение!$30:$32</definedName>
    <definedName name="OFFER_TARIFF_C_2">Предложение!$120:$122</definedName>
    <definedName name="OFFER_TARIFF_C_3">Предложение!$208:$210</definedName>
    <definedName name="OFFER_TARIFF_C_4">Предложение!$296:$298</definedName>
    <definedName name="OFFER_TARIFF_C_5">Предложение!$384:$386</definedName>
    <definedName name="OFFER_TARIFF_C_COLDVSNA_1">Предложение!$84:$86</definedName>
    <definedName name="OFFER_TARIFF_C_COLDVSNA_2">Предложение!$174:$176</definedName>
    <definedName name="OFFER_TARIFF_C_COLDVSNA_3">Предложение!$262:$264</definedName>
    <definedName name="OFFER_TARIFF_C_COLDVSNA_4">Предложение!$350:$352</definedName>
    <definedName name="OFFER_TARIFF_C_COLDVSNA_5">Предложение!$438:$440</definedName>
    <definedName name="OFFER_TARIFF_C_HOTVSNA_1">Предложение!$99:$101</definedName>
    <definedName name="OFFER_TARIFF_C_HOTVSNA_2">Предложение!$189:$191</definedName>
    <definedName name="OFFER_TARIFF_C_HOTVSNA_3">Предложение!$277:$279</definedName>
    <definedName name="OFFER_TARIFF_C_HOTVSNA_4">Предложение!$365:$367</definedName>
    <definedName name="OFFER_TARIFF_C_HOTVSNA_5">Предложение!$453:$455</definedName>
    <definedName name="OFFER_TARIFF_C_VOTV_1">Предложение!$108:$110</definedName>
    <definedName name="OFFER_TARIFF_C_VOTV_2">Предложение!$198:$200</definedName>
    <definedName name="OFFER_TARIFF_C_VOTV_3">Предложение!$286:$288</definedName>
    <definedName name="OFFER_TARIFF_C_VOTV_4">Предложение!$374:$376</definedName>
    <definedName name="OFFER_TARIFF_C_VOTV_5">Предложение!$462:$464</definedName>
    <definedName name="OFFER_TARIFF_D_1">Предложение!$33:$35</definedName>
    <definedName name="OFFER_TARIFF_D_2">Предложение!$123:$125</definedName>
    <definedName name="OFFER_TARIFF_D_3">Предложение!$211:$213</definedName>
    <definedName name="OFFER_TARIFF_D_4">Предложение!$299:$301</definedName>
    <definedName name="OFFER_TARIFF_D_5">Предложение!$387:$389</definedName>
    <definedName name="OFFER_TARIFF_D_COLDVSNA_1">Предложение!$87:$89</definedName>
    <definedName name="OFFER_TARIFF_D_COLDVSNA_2">Предложение!$177:$179</definedName>
    <definedName name="OFFER_TARIFF_D_COLDVSNA_3">Предложение!$265:$267</definedName>
    <definedName name="OFFER_TARIFF_D_COLDVSNA_4">Предложение!$353:$355</definedName>
    <definedName name="OFFER_TARIFF_D_COLDVSNA_5">Предложение!$441:$443</definedName>
    <definedName name="OFFER_TARIFF_E_COLDVSNA_1">Предложение!$90:$92</definedName>
    <definedName name="OFFER_TARIFF_E_COLDVSNA_2">Предложение!$180:$182</definedName>
    <definedName name="OFFER_TARIFF_E_COLDVSNA_3">Предложение!$268:$270</definedName>
    <definedName name="OFFER_TARIFF_E_COLDVSNA_4">Предложение!$356:$358</definedName>
    <definedName name="OFFER_TARIFF_E_COLDVSNA_5">Предложение!$444:$446</definedName>
    <definedName name="OFFER_TARIFF_E1_1">Предложение!$36:$38</definedName>
    <definedName name="OFFER_TARIFF_E1_2">Предложение!$126:$128</definedName>
    <definedName name="OFFER_TARIFF_E1_3">Предложение!$214:$216</definedName>
    <definedName name="OFFER_TARIFF_E1_4">Предложение!$302:$304</definedName>
    <definedName name="OFFER_TARIFF_E1_5">Предложение!$390:$392</definedName>
    <definedName name="OFFER_TARIFF_E2_1">Предложение!$39:$41</definedName>
    <definedName name="OFFER_TARIFF_E2_2">Предложение!$129:$131</definedName>
    <definedName name="OFFER_TARIFF_E2_3">Предложение!$217:$219</definedName>
    <definedName name="OFFER_TARIFF_E2_4">Предложение!$305:$307</definedName>
    <definedName name="OFFER_TARIFF_E2_5">Предложение!$393:$395</definedName>
    <definedName name="OFFER_TARIFF_F_1">Предложение!$42:$44</definedName>
    <definedName name="OFFER_TARIFF_F_2">Предложение!$132:$134</definedName>
    <definedName name="OFFER_TARIFF_F_3">Предложение!$220:$222</definedName>
    <definedName name="OFFER_TARIFF_F_4">Предложение!$308:$310</definedName>
    <definedName name="OFFER_TARIFF_F_5">Предложение!$396:$398</definedName>
    <definedName name="OFFER_TARIFF_G_1">Предложение!$45:$47</definedName>
    <definedName name="OFFER_TARIFF_G_2">Предложение!$135:$137</definedName>
    <definedName name="OFFER_TARIFF_G_3">Предложение!$223:$225</definedName>
    <definedName name="OFFER_TARIFF_G_4">Предложение!$311:$313</definedName>
    <definedName name="OFFER_TARIFF_G_5">Предложение!$399:$401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территорий'!$C$12:$C$65</definedName>
    <definedName name="pDel_LT_MO">'Список территорий'!$D$11:$D$65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ТП'!$C$26:$C$114</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ТП'!$A$21:$A$114</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территорий'!$G$65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ТП'!$E$35</definedName>
    <definedName name="pIns_P_PROCEDURE_TC_2">'Порядок ТП'!$E$51</definedName>
    <definedName name="pIns_P_PROCEDURE_TC_3">'Порядок ТП'!$E$81</definedName>
    <definedName name="pIns_P_PROCEDURE_TC_4">'Порядок ТП'!$E$110</definedName>
    <definedName name="pIns_P_PROCEDURE_TC_5">'Порядок ТП'!$E$114</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Т-пит'!$T$293</definedName>
    <definedName name="pIns_PT_VTAR_A_COLDVSNA_OFFER_1">Предложение!$G$80</definedName>
    <definedName name="pIns_PT_VTAR_A_COLDVSNA_OFFER_2">Предложение!$G$170</definedName>
    <definedName name="pIns_PT_VTAR_A_COLDVSNA_OFFER_3">Предложение!$G$258</definedName>
    <definedName name="pIns_PT_VTAR_A_COLDVSNA_OFFER_4">Предложение!$G$346</definedName>
    <definedName name="pIns_PT_VTAR_A_COLDVSNA_OFFER_5">Предложение!$G$434</definedName>
    <definedName name="pIns_PT_VTAR_A_COLDVSNA_OFFER5">Предложение!$G$434</definedName>
    <definedName name="pIns_PT_VTAR_A_HOTVSNA">'ГВС. Т-гор.вода'!$T$53</definedName>
    <definedName name="pIns_PT_VTAR_A_HOTVSNA_OFFER_1">Предложение!$G$95</definedName>
    <definedName name="pIns_PT_VTAR_A_HOTVSNA_OFFER_2">Предложение!$G$185</definedName>
    <definedName name="pIns_PT_VTAR_A_HOTVSNA_OFFER_3">Предложение!$G$273</definedName>
    <definedName name="pIns_PT_VTAR_A_HOTVSNA_OFFER_4">Предложение!$G$361</definedName>
    <definedName name="pIns_PT_VTAR_A_HOTVSNA_OFFER_5">Предложение!$G$449</definedName>
    <definedName name="pIns_PT_VTAR_A_OFFER_1">Предложение!$G$26</definedName>
    <definedName name="pIns_PT_VTAR_A_OFFER_2">Предложение!$G$116</definedName>
    <definedName name="pIns_PT_VTAR_A_OFFER_3">Предложение!$G$204</definedName>
    <definedName name="pIns_PT_VTAR_A_OFFER_4">Предложение!$G$292</definedName>
    <definedName name="pIns_PT_VTAR_A_OFFER_5">Предложение!$G$380</definedName>
    <definedName name="pIns_PT_VTAR_A_VOTV">'ВО. Т-во'!$T$53</definedName>
    <definedName name="pIns_PT_VTAR_A_VOTV_OFFER_1">Предложение!$G$104</definedName>
    <definedName name="pIns_PT_VTAR_A_VOTV_OFFER_2">Предложение!$G$194</definedName>
    <definedName name="pIns_PT_VTAR_A_VOTV_OFFER_3">Предложение!$G$282</definedName>
    <definedName name="pIns_PT_VTAR_A_VOTV_OFFER_4">Предложение!$G$370</definedName>
    <definedName name="pIns_PT_VTAR_A_VOTV_OFFER_5">Предложение!$G$458</definedName>
    <definedName name="pIns_PT_VTAR_B">'ТС. Т-ТЭ | ТСО'!$T$57</definedName>
    <definedName name="pIns_PT_VTAR_B_COLDVSNA">'ХВС. Т-тех'!$T$53</definedName>
    <definedName name="pIns_PT_VTAR_B_COLDVSNA_OFFER_1">Предложение!$G$83</definedName>
    <definedName name="pIns_PT_VTAR_B_COLDVSNA_OFFER_2">Предложение!$G$173</definedName>
    <definedName name="pIns_PT_VTAR_B_COLDVSNA_OFFER_3">Предложение!$G$261</definedName>
    <definedName name="pIns_PT_VTAR_B_COLDVSNA_OFFER_4">Предложение!$G$349</definedName>
    <definedName name="pIns_PT_VTAR_B_COLDVSNA_OFFER_5">Предложение!$G$437</definedName>
    <definedName name="pIns_PT_VTAR_B_HOTVSNA">'ГВС. Т-транс'!$T$53</definedName>
    <definedName name="pIns_PT_VTAR_B_HOTVSNA_OFFER_1">Предложение!$G$98</definedName>
    <definedName name="pIns_PT_VTAR_B_HOTVSNA_OFFER_2">Предложение!$G$188</definedName>
    <definedName name="pIns_PT_VTAR_B_HOTVSNA_OFFER_3">Предложение!$G$276</definedName>
    <definedName name="pIns_PT_VTAR_B_HOTVSNA_OFFER_4">Предложение!$G$364</definedName>
    <definedName name="pIns_PT_VTAR_B_HOTVSNA_OFFER_5">Предложение!$G$452</definedName>
    <definedName name="pIns_PT_VTAR_B_OFFER_1">Предложение!$G$29</definedName>
    <definedName name="pIns_PT_VTAR_B_OFFER_2">Предложение!$G$119</definedName>
    <definedName name="pIns_PT_VTAR_B_OFFER_3">Предложение!$G$207</definedName>
    <definedName name="pIns_PT_VTAR_B_OFFER_4">Предложение!$G$295</definedName>
    <definedName name="pIns_PT_VTAR_B_OFFER_5">Предложение!$G$383</definedName>
    <definedName name="pIns_PT_VTAR_B_VOTV">'ВО. Т-транс'!$T$53</definedName>
    <definedName name="pIns_PT_VTAR_B_VOTV_OFFER_1">Предложение!$G$107</definedName>
    <definedName name="pIns_PT_VTAR_B_VOTV_OFFER_2">Предложение!$G$197</definedName>
    <definedName name="pIns_PT_VTAR_B_VOTV_OFFER_3">Предложение!$G$285</definedName>
    <definedName name="pIns_PT_VTAR_B_VOTV_OFFER_4">Предложение!$G$373</definedName>
    <definedName name="pIns_PT_VTAR_B_VOTV_OFFER_5">Предложение!$G$461</definedName>
    <definedName name="pIns_PT_VTAR_C">'ТС. Т-ТН'!$T$57</definedName>
    <definedName name="pIns_PT_VTAR_C_COLDVSNA">'ХВС. Т-транс'!$T$53</definedName>
    <definedName name="pIns_PT_VTAR_C_COLDVSNA_OFFER_1">Предложение!$G$86</definedName>
    <definedName name="pIns_PT_VTAR_C_COLDVSNA_OFFER_2">Предложение!$G$176</definedName>
    <definedName name="pIns_PT_VTAR_C_COLDVSNA_OFFER_3">Предложение!$G$264</definedName>
    <definedName name="pIns_PT_VTAR_C_COLDVSNA_OFFER_4">Предложение!$G$352</definedName>
    <definedName name="pIns_PT_VTAR_C_COLDVSNA_OFFER_5">Предложение!$G$440</definedName>
    <definedName name="pIns_PT_VTAR_C_HOTVSNA">'ГВС. Т-подкл'!$T$63</definedName>
    <definedName name="pIns_PT_VTAR_C_HOTVSNA_OFFER_1">Предложение!$G$101</definedName>
    <definedName name="pIns_PT_VTAR_C_HOTVSNA_OFFER_2">Предложение!$G$191</definedName>
    <definedName name="pIns_PT_VTAR_C_HOTVSNA_OFFER_3">Предложение!$G$279</definedName>
    <definedName name="pIns_PT_VTAR_C_HOTVSNA_OFFER_4">Предложение!$G$367</definedName>
    <definedName name="pIns_PT_VTAR_C_HOTVSNA_OFFER_5">Предложение!$G$455</definedName>
    <definedName name="pIns_PT_VTAR_C_OFFER_1">Предложение!$G$32</definedName>
    <definedName name="pIns_PT_VTAR_C_OFFER_2">Предложение!$G$122</definedName>
    <definedName name="pIns_PT_VTAR_C_OFFER_3">Предложение!$G$210</definedName>
    <definedName name="pIns_PT_VTAR_C_OFFER_4">Предложение!$G$298</definedName>
    <definedName name="pIns_PT_VTAR_C_OFFER_5">Предложение!$G$386</definedName>
    <definedName name="pIns_PT_VTAR_C_VOTV">'ВО. Т-подкл'!$T$63</definedName>
    <definedName name="pIns_PT_VTAR_C_VOTV_OFFER_1">Предложение!$G$110</definedName>
    <definedName name="pIns_PT_VTAR_C_VOTV_OFFER_2">Предложение!$G$200</definedName>
    <definedName name="pIns_PT_VTAR_C_VOTV_OFFER_3">Предложение!$G$288</definedName>
    <definedName name="pIns_PT_VTAR_C_VOTV_OFFER_4">Предложение!$G$376</definedName>
    <definedName name="pIns_PT_VTAR_C_VOTV_OFFER_5">Предложение!$G$464</definedName>
    <definedName name="pIns_PT_VTAR_D">'ТС. Т-гор.вода'!$V$65</definedName>
    <definedName name="pIns_PT_VTAR_D_COLDVSNA">'ХВС. Т-подвоз'!$T$53</definedName>
    <definedName name="pIns_PT_VTAR_D_COLDVSNA_OFFER_1">Предложение!$G$89</definedName>
    <definedName name="pIns_PT_VTAR_D_COLDVSNA_OFFER_2">Предложение!$G$179</definedName>
    <definedName name="pIns_PT_VTAR_D_COLDVSNA_OFFER_3">Предложение!$G$267</definedName>
    <definedName name="pIns_PT_VTAR_D_COLDVSNA_OFFER_4">Предложение!$G$355</definedName>
    <definedName name="pIns_PT_VTAR_D_COLDVSNA_OFFER_5">Предложение!$G$443</definedName>
    <definedName name="pIns_PT_VTAR_D_OFFER_1">Предложение!$G$35</definedName>
    <definedName name="pIns_PT_VTAR_D_OFFER_2">Предложение!$G$125</definedName>
    <definedName name="pIns_PT_VTAR_D_OFFER_3">Предложение!$G$213</definedName>
    <definedName name="pIns_PT_VTAR_D_OFFER_4">Предложение!$G$301</definedName>
    <definedName name="pIns_PT_VTAR_D_OFFER_5">Предложение!$G$389</definedName>
    <definedName name="pIns_PT_VTAR_E_COLDVSNA">'ХВС. Т-подкл'!$T$63</definedName>
    <definedName name="pIns_PT_VTAR_E_COLDVSNA_OFFER_1">Предложение!$G$92</definedName>
    <definedName name="pIns_PT_VTAR_E_COLDVSNA_OFFER_2">Предложение!$G$182</definedName>
    <definedName name="pIns_PT_VTAR_E_COLDVSNA_OFFER_3">Предложение!$G$270</definedName>
    <definedName name="pIns_PT_VTAR_E_COLDVSNA_OFFER_4">Предложение!$G$358</definedName>
    <definedName name="pIns_PT_VTAR_E_COLDVSNA_OFFER_5">Предложение!$G$446</definedName>
    <definedName name="pIns_PT_VTAR_E1">'ТС. Т-передача ТЭ'!$T$57</definedName>
    <definedName name="pIns_PT_VTAR_E1_OFFER_1">Предложение!$G$38</definedName>
    <definedName name="pIns_PT_VTAR_E1_OFFER_2">Предложение!$G$128</definedName>
    <definedName name="pIns_PT_VTAR_E1_OFFER_3">Предложение!$G$216</definedName>
    <definedName name="pIns_PT_VTAR_E1_OFFER_4">Предложение!$G$304</definedName>
    <definedName name="pIns_PT_VTAR_E1_OFFER_5">Предложение!$G$392</definedName>
    <definedName name="pIns_PT_VTAR_E2">'ТС. Т-передача ТН'!$T$57</definedName>
    <definedName name="pIns_PT_VTAR_E2_OFFER_1">Предложение!$G$41</definedName>
    <definedName name="pIns_PT_VTAR_E2_OFFER_2">Предложение!$G$131</definedName>
    <definedName name="pIns_PT_VTAR_E2_OFFER_3">Предложение!$G$219</definedName>
    <definedName name="pIns_PT_VTAR_E2_OFFER_4">Предложение!$G$307</definedName>
    <definedName name="pIns_PT_VTAR_E2_OFFER_5">Предложение!$G$395</definedName>
    <definedName name="pIns_PT_VTAR_F">'ТС. Резерв мощности'!$T$57</definedName>
    <definedName name="pIns_PT_VTAR_F_OFFER_1">Предложение!$G$44</definedName>
    <definedName name="pIns_PT_VTAR_F_OFFER_2">Предложение!$G$134</definedName>
    <definedName name="pIns_PT_VTAR_F_OFFER_3">Предложение!$G$222</definedName>
    <definedName name="pIns_PT_VTAR_F_OFFER_4">Предложение!$G$310</definedName>
    <definedName name="pIns_PT_VTAR_F_OFFER_5">Предложение!$G$398</definedName>
    <definedName name="pIns_PT_VTAR_G">'ТС. Т-подкл'!$T$62</definedName>
    <definedName name="pIns_PT_VTAR_G_OFFER_1">Предложение!$G$47</definedName>
    <definedName name="pIns_PT_VTAR_G_OFFER_2">Предложение!$G$137</definedName>
    <definedName name="pIns_PT_VTAR_G_OFFER_3">Предложение!$G$225</definedName>
    <definedName name="pIns_PT_VTAR_G_OFFER_4">Предложение!$G$313</definedName>
    <definedName name="pIns_PT_VTAR_G_OFFER_5">Предложение!$G$401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Т-пит'!$CU$37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30">'ХВС. Т-пит'!$55:$66</definedName>
    <definedName name="pt_cs_31">'ХВС. Т-пит'!$71:$82</definedName>
    <definedName name="pt_cs_32">'ХВС. Т-пит'!#REF!</definedName>
    <definedName name="pt_cs_33">'ХВС. Т-пит'!$87:$98</definedName>
    <definedName name="pt_cs_34">'ХВС. Т-пит'!$103:$114</definedName>
    <definedName name="pt_cs_35">'ХВС. Т-пит'!$119:$130</definedName>
    <definedName name="pt_cs_36">'ХВС. Т-пит'!$135:$146</definedName>
    <definedName name="pt_cs_37">'ХВС. Т-пит'!$151:$162</definedName>
    <definedName name="pt_cs_38">'ХВС. Т-пит'!$167:$178</definedName>
    <definedName name="pt_cs_39">'ХВС. Т-пит'!$183:$194</definedName>
    <definedName name="pt_cs_4">'ТС. Т-гор.вода'!$51:$62</definedName>
    <definedName name="pt_cs_40">'ХВС. Т-пит'!$199:$210</definedName>
    <definedName name="pt_cs_41">'ХВС. Т-пит'!$215:$226</definedName>
    <definedName name="pt_cs_42">'ХВС. Т-пит'!$231:$242</definedName>
    <definedName name="pt_cs_43">'ХВС. Т-пит'!$247:$258</definedName>
    <definedName name="pt_cs_44">'ХВС. Т-пит'!$263:$274</definedName>
    <definedName name="pt_cs_45">'ХВС. Т-пит'!$279:$290</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тарифов'!$AL$12:$AL$182</definedName>
    <definedName name="PT_DIFFERENTIATION_CS_ID">'Перечень тарифов'!$AF$12:$AF$182</definedName>
    <definedName name="PT_DIFFERENTIATION_IST_TE">'Перечень тарифов'!$AM$12:$AM$182</definedName>
    <definedName name="PT_DIFFERENTIATION_IST_TE_ID">'Перечень тарифов'!$AG$12:$AG$182</definedName>
    <definedName name="PT_DIFFERENTIATION_NTAR">'Перечень тарифов'!$AJ$12:$AJ$182</definedName>
    <definedName name="PT_DIFFERENTIATION_NTAR_ID">'Перечень тарифов'!$AD$12:$AD$182</definedName>
    <definedName name="PT_DIFFERENTIATION_NUM_CS">'Перечень тарифов'!$AP$12:$AP$182</definedName>
    <definedName name="PT_DIFFERENTIATION_NUM_IST_TE">'Перечень тарифов'!$AQ$12:$AQ$182</definedName>
    <definedName name="PT_DIFFERENTIATION_NUM_NTAR">'Перечень тарифов'!$AN$12:$AN$182</definedName>
    <definedName name="PT_DIFFERENTIATION_NUM_TER">'Перечень тарифов'!$AO$12:$AO$182</definedName>
    <definedName name="PT_DIFFERENTIATION_TER">'Перечень тарифов'!$AK$12:$AK$182</definedName>
    <definedName name="PT_DIFFERENTIATION_TER_ID">'Перечень тарифов'!$AE$12:$AE$182</definedName>
    <definedName name="PT_DIFFERENTIATION_VDET">'Перечень тарифов'!$AI$12:$AI$182</definedName>
    <definedName name="PT_DIFFERENTIATION_VTAR">'Перечень тарифов'!$AH$12:$AH$182</definedName>
    <definedName name="PT_DIFFERENTIATION_VTAR_ID">'Перечень тарифов'!$AC$12:$AC$182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6">'ХВС. Т-пит'!$53:$68</definedName>
    <definedName name="pt_ntar_27">'ХВС. Т-пит'!$69:$84</definedName>
    <definedName name="pt_ntar_28">'ХВС. Т-пит'!$85:$100</definedName>
    <definedName name="pt_ntar_29">'ХВС. Т-пит'!$101:$116</definedName>
    <definedName name="pt_ntar_3">'ТС. Т-ТН'!$43:$56</definedName>
    <definedName name="pt_ntar_30">'ХВС. Т-пит'!$117:$132</definedName>
    <definedName name="pt_ntar_31">'ХВС. Т-пит'!$133:$148</definedName>
    <definedName name="pt_ntar_32">'ХВС. Т-пит'!$149:$164</definedName>
    <definedName name="pt_ntar_33">'ХВС. Т-пит'!$165:$180</definedName>
    <definedName name="pt_ntar_34">'ХВС. Т-пит'!$181:$196</definedName>
    <definedName name="pt_ntar_35">'ХВС. Т-пит'!$197:$212</definedName>
    <definedName name="pt_ntar_36">'ХВС. Т-пит'!$213:$228</definedName>
    <definedName name="pt_ntar_37">'ХВС. Т-пит'!$229:$244</definedName>
    <definedName name="pt_ntar_38">'ХВС. Т-пит'!$245:$260</definedName>
    <definedName name="pt_ntar_39">'ХВС. Т-пит'!$261:$276</definedName>
    <definedName name="pt_ntar_4">'ТС. Т-гор.вода'!$49:$64</definedName>
    <definedName name="pt_ntar_40">'ХВС. Т-пит'!$277:$292</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30">'ХВС. Т-пит'!$54:$67</definedName>
    <definedName name="pt_ter_31">'ХВС. Т-пит'!$70:$83</definedName>
    <definedName name="pt_ter_33">'ХВС. Т-пит'!$86:$99</definedName>
    <definedName name="pt_ter_34">'ХВС. Т-пит'!$102:$115</definedName>
    <definedName name="pt_ter_35">'ХВС. Т-пит'!$118:$131</definedName>
    <definedName name="pt_ter_36">'ХВС. Т-пит'!$134:$147</definedName>
    <definedName name="pt_ter_37">'ХВС. Т-пит'!$150:$163</definedName>
    <definedName name="pt_ter_38">'ХВС. Т-пит'!$166:$179</definedName>
    <definedName name="pt_ter_39">'ХВС. Т-пит'!$182:$195</definedName>
    <definedName name="pt_ter_4">'ТС. Т-гор.вода'!$50:$63</definedName>
    <definedName name="pt_ter_40">'ХВС. Т-пит'!$198:$211</definedName>
    <definedName name="pt_ter_41">'ХВС. Т-пит'!$214:$227</definedName>
    <definedName name="pt_ter_42">'ХВС. Т-пит'!$230:$243</definedName>
    <definedName name="pt_ter_43">'ХВС. Т-пит'!$246:$259</definedName>
    <definedName name="pt_ter_44">'ХВС. Т-пит'!$262:$275</definedName>
    <definedName name="pt_ter_45">'ХВС. Т-пит'!$278:$291</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территорий'!$G$13:$I$41</definedName>
    <definedName name="ter_55">'Список территорий'!$G$44:$I$44</definedName>
    <definedName name="ter_56">'Список территорий'!$G$47:$I$47</definedName>
    <definedName name="ter_57">'Список территорий'!$G$50:$I$50</definedName>
    <definedName name="ter_58">'Список территорий'!$G$53:$I$53</definedName>
    <definedName name="ter_59">'Список территорий'!$G$56:$I$56</definedName>
    <definedName name="ter_60">'Список территорий'!$G$59:$I$59</definedName>
    <definedName name="ter_61">'Список территорий'!$G$62:$I$63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территорий'!$E$11:$I$65</definedName>
    <definedName name="TERRITORY_ID">TEHSHEET!$E$56</definedName>
    <definedName name="TERRITORY_LIST_ID">'Список территорий'!$F$11:$F$65</definedName>
    <definedName name="TERRITORY_MO_LIST">'Список территорий'!$H$11:$H$65</definedName>
    <definedName name="TERRITORY_MR_LIST">'Список территорий'!$G$11:$G$65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fileRecoveryPr repairLoad="1"/>
</workbook>
</file>

<file path=xl/calcChain.xml><?xml version="1.0" encoding="utf-8"?>
<calcChain xmlns="http://schemas.openxmlformats.org/spreadsheetml/2006/main">
  <c r="R24" i="61" l="1"/>
  <c r="P18" i="61"/>
  <c r="Q18" i="61" s="1"/>
  <c r="R18" i="61" s="1"/>
  <c r="S18" i="61" s="1"/>
  <c r="T18" i="61" s="1"/>
  <c r="V18" i="61" s="1"/>
  <c r="X18" i="61" s="1"/>
  <c r="O18" i="61"/>
  <c r="O10" i="61"/>
  <c r="O9" i="61"/>
  <c r="O8" i="61"/>
  <c r="O7" i="61"/>
  <c r="AA32" i="60"/>
  <c r="AA31" i="60"/>
  <c r="AA30" i="60"/>
  <c r="AA29" i="60"/>
  <c r="AA28" i="60"/>
  <c r="AA27" i="60"/>
  <c r="AA26" i="60"/>
  <c r="R26" i="60"/>
  <c r="AA25" i="60"/>
  <c r="AA24" i="60"/>
  <c r="AA23" i="60"/>
  <c r="AA22" i="60"/>
  <c r="O22" i="60"/>
  <c r="L22" i="60"/>
  <c r="F23" i="60" s="1"/>
  <c r="G24" i="60" s="1"/>
  <c r="AA21" i="60"/>
  <c r="O21" i="60"/>
  <c r="L21" i="60"/>
  <c r="AA20" i="60"/>
  <c r="O20" i="60"/>
  <c r="L20" i="60"/>
  <c r="AA19" i="60"/>
  <c r="O19" i="60"/>
  <c r="L19" i="60"/>
  <c r="S18" i="60"/>
  <c r="T18" i="60" s="1"/>
  <c r="V18" i="60" s="1"/>
  <c r="W18" i="60" s="1"/>
  <c r="X18" i="60" s="1"/>
  <c r="Q18" i="60"/>
  <c r="R18" i="60" s="1"/>
  <c r="N18" i="60"/>
  <c r="O18" i="60" s="1"/>
  <c r="O11" i="60"/>
  <c r="O10" i="60"/>
  <c r="O9" i="60"/>
  <c r="O8" i="60"/>
  <c r="L6" i="60"/>
  <c r="AA32" i="59"/>
  <c r="AA31" i="59"/>
  <c r="AA30" i="59"/>
  <c r="AA29" i="59"/>
  <c r="AA28" i="59"/>
  <c r="AA27" i="59"/>
  <c r="AA26" i="59"/>
  <c r="R26" i="59"/>
  <c r="AA25" i="59"/>
  <c r="AA24" i="59"/>
  <c r="AA23" i="59"/>
  <c r="AA22" i="59"/>
  <c r="O22" i="59"/>
  <c r="L22" i="59"/>
  <c r="F23" i="59" s="1"/>
  <c r="G24" i="59" s="1"/>
  <c r="AA21" i="59"/>
  <c r="O21" i="59"/>
  <c r="L21" i="59"/>
  <c r="AA20" i="59"/>
  <c r="O20" i="59"/>
  <c r="L20" i="59"/>
  <c r="AA19" i="59"/>
  <c r="O19" i="59"/>
  <c r="L19" i="59"/>
  <c r="S18" i="59"/>
  <c r="T18" i="59" s="1"/>
  <c r="V18" i="59" s="1"/>
  <c r="W18" i="59" s="1"/>
  <c r="X18" i="59" s="1"/>
  <c r="Q18" i="59"/>
  <c r="R18" i="59" s="1"/>
  <c r="N18" i="59"/>
  <c r="O18" i="59" s="1"/>
  <c r="O11" i="59"/>
  <c r="O10" i="59"/>
  <c r="O9" i="59"/>
  <c r="O8" i="59"/>
  <c r="L6" i="59"/>
  <c r="AA32" i="58"/>
  <c r="AA31" i="58"/>
  <c r="AA30" i="58"/>
  <c r="AA29" i="58"/>
  <c r="AA28" i="58"/>
  <c r="AA27" i="58"/>
  <c r="AA26" i="58"/>
  <c r="R26" i="58"/>
  <c r="AA25" i="58"/>
  <c r="AA24" i="58"/>
  <c r="AA23" i="58"/>
  <c r="AA22" i="58"/>
  <c r="AA21" i="58"/>
  <c r="AA20" i="58"/>
  <c r="AA19" i="58"/>
  <c r="S18" i="58"/>
  <c r="T18" i="58" s="1"/>
  <c r="V18" i="58" s="1"/>
  <c r="W18" i="58" s="1"/>
  <c r="X18" i="58" s="1"/>
  <c r="Q18" i="58"/>
  <c r="R18" i="58" s="1"/>
  <c r="N18" i="58"/>
  <c r="O18" i="58" s="1"/>
  <c r="O11" i="58"/>
  <c r="O10" i="58"/>
  <c r="O9" i="58"/>
  <c r="O8" i="58"/>
  <c r="L6" i="58"/>
  <c r="N101" i="57"/>
  <c r="L101" i="57"/>
  <c r="K101" i="57"/>
  <c r="J101" i="57"/>
  <c r="M101" i="57" s="1"/>
  <c r="I101" i="57"/>
  <c r="N100" i="57"/>
  <c r="L100" i="57"/>
  <c r="K100" i="57"/>
  <c r="J100" i="57"/>
  <c r="M100" i="57" s="1"/>
  <c r="I100" i="57"/>
  <c r="N99" i="57"/>
  <c r="L99" i="57"/>
  <c r="K99" i="57"/>
  <c r="J99" i="57"/>
  <c r="M99" i="57" s="1"/>
  <c r="I99" i="57"/>
  <c r="N98" i="57"/>
  <c r="L98" i="57"/>
  <c r="K98" i="57"/>
  <c r="J98" i="57"/>
  <c r="M98" i="57" s="1"/>
  <c r="I98" i="57"/>
  <c r="N97" i="57"/>
  <c r="L97" i="57"/>
  <c r="K97" i="57"/>
  <c r="J97" i="57"/>
  <c r="M97" i="57" s="1"/>
  <c r="I97" i="57"/>
  <c r="N96" i="57"/>
  <c r="L96" i="57"/>
  <c r="K96" i="57"/>
  <c r="J96" i="57"/>
  <c r="M96" i="57" s="1"/>
  <c r="I96" i="57"/>
  <c r="N95" i="57"/>
  <c r="L95" i="57"/>
  <c r="K95" i="57"/>
  <c r="J95" i="57"/>
  <c r="M95" i="57" s="1"/>
  <c r="I95" i="57"/>
  <c r="N94" i="57"/>
  <c r="L94" i="57"/>
  <c r="K94" i="57"/>
  <c r="J94" i="57"/>
  <c r="M94" i="57" s="1"/>
  <c r="I94" i="57"/>
  <c r="N93" i="57"/>
  <c r="L93" i="57"/>
  <c r="K93" i="57"/>
  <c r="J93" i="57"/>
  <c r="M93" i="57" s="1"/>
  <c r="I93" i="57"/>
  <c r="N92" i="57"/>
  <c r="L92" i="57"/>
  <c r="K92" i="57"/>
  <c r="J92" i="57"/>
  <c r="M92" i="57" s="1"/>
  <c r="I92" i="57"/>
  <c r="N91" i="57"/>
  <c r="L91" i="57"/>
  <c r="K91" i="57"/>
  <c r="J91" i="57"/>
  <c r="M91" i="57" s="1"/>
  <c r="I91" i="57"/>
  <c r="N90" i="57"/>
  <c r="L90" i="57"/>
  <c r="K90" i="57"/>
  <c r="J90" i="57"/>
  <c r="M90" i="57" s="1"/>
  <c r="I90" i="57"/>
  <c r="N89" i="57"/>
  <c r="L89" i="57"/>
  <c r="K89" i="57"/>
  <c r="J89" i="57"/>
  <c r="M89" i="57" s="1"/>
  <c r="I89" i="57"/>
  <c r="N88" i="57"/>
  <c r="L88" i="57"/>
  <c r="K88" i="57"/>
  <c r="J88" i="57"/>
  <c r="M88" i="57" s="1"/>
  <c r="I88" i="57"/>
  <c r="N87" i="57"/>
  <c r="L87" i="57"/>
  <c r="K87" i="57"/>
  <c r="J87" i="57"/>
  <c r="M87" i="57" s="1"/>
  <c r="I87" i="57"/>
  <c r="N86" i="57"/>
  <c r="L86" i="57"/>
  <c r="K86" i="57"/>
  <c r="J86" i="57"/>
  <c r="M86" i="57" s="1"/>
  <c r="I86" i="57"/>
  <c r="N85" i="57"/>
  <c r="L85" i="57"/>
  <c r="K85" i="57"/>
  <c r="J85" i="57"/>
  <c r="M85" i="57" s="1"/>
  <c r="I85" i="57"/>
  <c r="N84" i="57"/>
  <c r="L84" i="57"/>
  <c r="K84" i="57"/>
  <c r="J84" i="57"/>
  <c r="M84" i="57" s="1"/>
  <c r="I84" i="57"/>
  <c r="N83" i="57"/>
  <c r="L83" i="57"/>
  <c r="K83" i="57"/>
  <c r="J83" i="57"/>
  <c r="M83" i="57" s="1"/>
  <c r="I83" i="57"/>
  <c r="N82" i="57"/>
  <c r="L82" i="57"/>
  <c r="K82" i="57"/>
  <c r="J82" i="57"/>
  <c r="M82" i="57" s="1"/>
  <c r="I82" i="57"/>
  <c r="N81" i="57"/>
  <c r="L81" i="57"/>
  <c r="K81" i="57"/>
  <c r="J81" i="57"/>
  <c r="M81" i="57" s="1"/>
  <c r="I81" i="57"/>
  <c r="N80" i="57"/>
  <c r="L80" i="57"/>
  <c r="K80" i="57"/>
  <c r="J80" i="57"/>
  <c r="M80" i="57" s="1"/>
  <c r="I80" i="57"/>
  <c r="N79" i="57"/>
  <c r="L79" i="57"/>
  <c r="K79" i="57"/>
  <c r="J79" i="57"/>
  <c r="M79" i="57" s="1"/>
  <c r="I79" i="57"/>
  <c r="N78" i="57"/>
  <c r="L78" i="57"/>
  <c r="K78" i="57"/>
  <c r="J78" i="57"/>
  <c r="M78" i="57" s="1"/>
  <c r="I78" i="57"/>
  <c r="N77" i="57"/>
  <c r="L77" i="57"/>
  <c r="K77" i="57"/>
  <c r="J77" i="57"/>
  <c r="M77" i="57" s="1"/>
  <c r="I77" i="57"/>
  <c r="N76" i="57"/>
  <c r="L76" i="57"/>
  <c r="K76" i="57"/>
  <c r="J76" i="57"/>
  <c r="M76" i="57" s="1"/>
  <c r="I76" i="57"/>
  <c r="N75" i="57"/>
  <c r="L75" i="57"/>
  <c r="K75" i="57"/>
  <c r="J75" i="57"/>
  <c r="M75" i="57" s="1"/>
  <c r="I75" i="57"/>
  <c r="N74" i="57"/>
  <c r="L74" i="57"/>
  <c r="K74" i="57"/>
  <c r="J74" i="57"/>
  <c r="M74" i="57" s="1"/>
  <c r="I74" i="57"/>
  <c r="N73" i="57"/>
  <c r="L73" i="57"/>
  <c r="K73" i="57"/>
  <c r="J73" i="57"/>
  <c r="M73" i="57" s="1"/>
  <c r="I73" i="57"/>
  <c r="N72" i="57"/>
  <c r="L72" i="57"/>
  <c r="K72" i="57"/>
  <c r="J72" i="57"/>
  <c r="M72" i="57" s="1"/>
  <c r="I72" i="57"/>
  <c r="N71" i="57"/>
  <c r="L71" i="57"/>
  <c r="K71" i="57"/>
  <c r="J71" i="57"/>
  <c r="M71" i="57" s="1"/>
  <c r="I71" i="57"/>
  <c r="N70" i="57"/>
  <c r="L70" i="57"/>
  <c r="K70" i="57"/>
  <c r="J70" i="57"/>
  <c r="M70" i="57" s="1"/>
  <c r="I70" i="57"/>
  <c r="N69" i="57"/>
  <c r="L69" i="57"/>
  <c r="K69" i="57"/>
  <c r="J69" i="57"/>
  <c r="M69" i="57" s="1"/>
  <c r="I69" i="57"/>
  <c r="N68" i="57"/>
  <c r="L68" i="57"/>
  <c r="K68" i="57"/>
  <c r="J68" i="57"/>
  <c r="M68" i="57" s="1"/>
  <c r="I68" i="57"/>
  <c r="N67" i="57"/>
  <c r="L67" i="57"/>
  <c r="K67" i="57"/>
  <c r="J67" i="57"/>
  <c r="M67" i="57" s="1"/>
  <c r="I67" i="57"/>
  <c r="N66" i="57"/>
  <c r="L66" i="57"/>
  <c r="K66" i="57"/>
  <c r="J66" i="57"/>
  <c r="M66" i="57" s="1"/>
  <c r="I66" i="57"/>
  <c r="N65" i="57"/>
  <c r="L65" i="57"/>
  <c r="K65" i="57"/>
  <c r="J65" i="57"/>
  <c r="M65" i="57" s="1"/>
  <c r="I65" i="57"/>
  <c r="N64" i="57"/>
  <c r="L64" i="57"/>
  <c r="K64" i="57"/>
  <c r="J64" i="57"/>
  <c r="M64" i="57" s="1"/>
  <c r="I64" i="57"/>
  <c r="N63" i="57"/>
  <c r="L63" i="57"/>
  <c r="K63" i="57"/>
  <c r="J63" i="57"/>
  <c r="M63" i="57" s="1"/>
  <c r="I63" i="57"/>
  <c r="N62" i="57"/>
  <c r="L62" i="57"/>
  <c r="K62" i="57"/>
  <c r="J62" i="57"/>
  <c r="M62" i="57" s="1"/>
  <c r="I62" i="57"/>
  <c r="N61" i="57"/>
  <c r="L61" i="57"/>
  <c r="K61" i="57"/>
  <c r="J61" i="57"/>
  <c r="M61" i="57" s="1"/>
  <c r="I61" i="57"/>
  <c r="N60" i="57"/>
  <c r="L60" i="57"/>
  <c r="K60" i="57"/>
  <c r="J60" i="57"/>
  <c r="M60" i="57" s="1"/>
  <c r="I60" i="57"/>
  <c r="N59" i="57"/>
  <c r="L59" i="57"/>
  <c r="K59" i="57"/>
  <c r="J59" i="57"/>
  <c r="M59" i="57" s="1"/>
  <c r="I59" i="57"/>
  <c r="N58" i="57"/>
  <c r="L58" i="57"/>
  <c r="K58" i="57"/>
  <c r="J58" i="57"/>
  <c r="M58" i="57" s="1"/>
  <c r="I58" i="57"/>
  <c r="N57" i="57"/>
  <c r="L57" i="57"/>
  <c r="K57" i="57"/>
  <c r="J57" i="57"/>
  <c r="M57" i="57" s="1"/>
  <c r="I57" i="57"/>
  <c r="N56" i="57"/>
  <c r="L56" i="57"/>
  <c r="K56" i="57"/>
  <c r="J56" i="57"/>
  <c r="M56" i="57" s="1"/>
  <c r="I56" i="57"/>
  <c r="N55" i="57"/>
  <c r="L55" i="57"/>
  <c r="K55" i="57"/>
  <c r="J55" i="57"/>
  <c r="M55" i="57" s="1"/>
  <c r="I55" i="57"/>
  <c r="N54" i="57"/>
  <c r="L54" i="57"/>
  <c r="K54" i="57"/>
  <c r="J54" i="57"/>
  <c r="M54" i="57" s="1"/>
  <c r="I54" i="57"/>
  <c r="N53" i="57"/>
  <c r="L53" i="57"/>
  <c r="K53" i="57"/>
  <c r="J53" i="57"/>
  <c r="M53" i="57" s="1"/>
  <c r="I53" i="57"/>
  <c r="N52" i="57"/>
  <c r="L52" i="57"/>
  <c r="K52" i="57"/>
  <c r="J52" i="57"/>
  <c r="M52" i="57" s="1"/>
  <c r="I52" i="57"/>
  <c r="N51" i="57"/>
  <c r="L51" i="57"/>
  <c r="K51" i="57"/>
  <c r="J51" i="57"/>
  <c r="M51" i="57" s="1"/>
  <c r="I51" i="57"/>
  <c r="K50" i="57"/>
  <c r="N50" i="57" s="1"/>
  <c r="J50" i="57"/>
  <c r="M50" i="57" s="1"/>
  <c r="I50" i="57"/>
  <c r="L50" i="57" s="1"/>
  <c r="M49" i="57"/>
  <c r="K49" i="57"/>
  <c r="N49" i="57" s="1"/>
  <c r="J49" i="57"/>
  <c r="I49" i="57"/>
  <c r="L49" i="57" s="1"/>
  <c r="M48" i="57"/>
  <c r="K48" i="57"/>
  <c r="N48" i="57" s="1"/>
  <c r="J48" i="57"/>
  <c r="I48" i="57"/>
  <c r="L48" i="57" s="1"/>
  <c r="M47" i="57"/>
  <c r="K47" i="57"/>
  <c r="N47" i="57" s="1"/>
  <c r="J47" i="57"/>
  <c r="I47" i="57"/>
  <c r="L47" i="57" s="1"/>
  <c r="M46" i="57"/>
  <c r="K46" i="57"/>
  <c r="N46" i="57" s="1"/>
  <c r="J46" i="57"/>
  <c r="I46" i="57"/>
  <c r="L46" i="57" s="1"/>
  <c r="M45" i="57"/>
  <c r="K45" i="57"/>
  <c r="N45" i="57" s="1"/>
  <c r="J45" i="57"/>
  <c r="I45" i="57"/>
  <c r="L45" i="57" s="1"/>
  <c r="M44" i="57"/>
  <c r="K44" i="57"/>
  <c r="N44" i="57" s="1"/>
  <c r="J44" i="57"/>
  <c r="I44" i="57"/>
  <c r="L44" i="57" s="1"/>
  <c r="M43" i="57"/>
  <c r="K43" i="57"/>
  <c r="N43" i="57" s="1"/>
  <c r="J43" i="57"/>
  <c r="I43" i="57"/>
  <c r="L43" i="57" s="1"/>
  <c r="M42" i="57"/>
  <c r="K42" i="57"/>
  <c r="N42" i="57" s="1"/>
  <c r="J42" i="57"/>
  <c r="I42" i="57"/>
  <c r="L42" i="57" s="1"/>
  <c r="M41" i="57"/>
  <c r="K41" i="57"/>
  <c r="N41" i="57" s="1"/>
  <c r="J41" i="57"/>
  <c r="I41" i="57"/>
  <c r="L41" i="57" s="1"/>
  <c r="M40" i="57"/>
  <c r="K40" i="57"/>
  <c r="N40" i="57" s="1"/>
  <c r="J40" i="57"/>
  <c r="I40" i="57"/>
  <c r="L40" i="57" s="1"/>
  <c r="M39" i="57"/>
  <c r="K39" i="57"/>
  <c r="N39" i="57" s="1"/>
  <c r="J39" i="57"/>
  <c r="I39" i="57"/>
  <c r="L39" i="57" s="1"/>
  <c r="M38" i="57"/>
  <c r="K38" i="57"/>
  <c r="N38" i="57" s="1"/>
  <c r="J38" i="57"/>
  <c r="I38" i="57"/>
  <c r="L38" i="57" s="1"/>
  <c r="M37" i="57"/>
  <c r="K37" i="57"/>
  <c r="N37" i="57" s="1"/>
  <c r="J37" i="57"/>
  <c r="I37" i="57"/>
  <c r="L37" i="57" s="1"/>
  <c r="M36" i="57"/>
  <c r="K36" i="57"/>
  <c r="N36" i="57" s="1"/>
  <c r="J36" i="57"/>
  <c r="I36" i="57"/>
  <c r="L36" i="57" s="1"/>
  <c r="M35" i="57"/>
  <c r="K35" i="57"/>
  <c r="N35" i="57" s="1"/>
  <c r="J35" i="57"/>
  <c r="I35" i="57"/>
  <c r="L35" i="57" s="1"/>
  <c r="M34" i="57"/>
  <c r="K34" i="57"/>
  <c r="N34" i="57" s="1"/>
  <c r="J34" i="57"/>
  <c r="I34" i="57"/>
  <c r="L34" i="57" s="1"/>
  <c r="M33" i="57"/>
  <c r="K33" i="57"/>
  <c r="N33" i="57" s="1"/>
  <c r="J33" i="57"/>
  <c r="I33" i="57"/>
  <c r="L33" i="57" s="1"/>
  <c r="M32" i="57"/>
  <c r="K32" i="57"/>
  <c r="N32" i="57" s="1"/>
  <c r="J32" i="57"/>
  <c r="I32" i="57"/>
  <c r="L32" i="57" s="1"/>
  <c r="M31" i="57"/>
  <c r="K31" i="57"/>
  <c r="N31" i="57" s="1"/>
  <c r="J31" i="57"/>
  <c r="I31" i="57"/>
  <c r="L31" i="57" s="1"/>
  <c r="M30" i="57"/>
  <c r="K30" i="57"/>
  <c r="N30" i="57" s="1"/>
  <c r="J30" i="57"/>
  <c r="I30" i="57"/>
  <c r="L30" i="57" s="1"/>
  <c r="M29" i="57"/>
  <c r="K29" i="57"/>
  <c r="N29" i="57" s="1"/>
  <c r="J29" i="57"/>
  <c r="I29" i="57"/>
  <c r="L29" i="57" s="1"/>
  <c r="M28" i="57"/>
  <c r="K28" i="57"/>
  <c r="N28" i="57" s="1"/>
  <c r="J28" i="57"/>
  <c r="I28" i="57"/>
  <c r="L28" i="57" s="1"/>
  <c r="M27" i="57"/>
  <c r="K27" i="57"/>
  <c r="N27" i="57" s="1"/>
  <c r="J27" i="57"/>
  <c r="I27" i="57"/>
  <c r="L27" i="57" s="1"/>
  <c r="M26" i="57"/>
  <c r="K26" i="57"/>
  <c r="N26" i="57" s="1"/>
  <c r="J26" i="57"/>
  <c r="I26" i="57"/>
  <c r="L26" i="57" s="1"/>
  <c r="M25" i="57"/>
  <c r="K25" i="57"/>
  <c r="N25" i="57" s="1"/>
  <c r="J25" i="57"/>
  <c r="I25" i="57"/>
  <c r="L25" i="57" s="1"/>
  <c r="M24" i="57"/>
  <c r="K24" i="57"/>
  <c r="N24" i="57" s="1"/>
  <c r="J24" i="57"/>
  <c r="I24" i="57"/>
  <c r="L24" i="57" s="1"/>
  <c r="M23" i="57"/>
  <c r="K23" i="57"/>
  <c r="N23" i="57" s="1"/>
  <c r="J23" i="57"/>
  <c r="I23" i="57"/>
  <c r="L23" i="57" s="1"/>
  <c r="M22" i="57"/>
  <c r="K22" i="57"/>
  <c r="N22" i="57" s="1"/>
  <c r="J22" i="57"/>
  <c r="I22" i="57"/>
  <c r="L22" i="57" s="1"/>
  <c r="M21" i="57"/>
  <c r="K21" i="57"/>
  <c r="N21" i="57" s="1"/>
  <c r="J21" i="57"/>
  <c r="I21" i="57"/>
  <c r="L21" i="57" s="1"/>
  <c r="M20" i="57"/>
  <c r="K20" i="57"/>
  <c r="N20" i="57" s="1"/>
  <c r="J20" i="57"/>
  <c r="I20" i="57"/>
  <c r="L20" i="57" s="1"/>
  <c r="M19" i="57"/>
  <c r="K19" i="57"/>
  <c r="N19" i="57" s="1"/>
  <c r="J19" i="57"/>
  <c r="I19" i="57"/>
  <c r="L19" i="57" s="1"/>
  <c r="M18" i="57"/>
  <c r="K18" i="57"/>
  <c r="N18" i="57" s="1"/>
  <c r="J18" i="57"/>
  <c r="I18" i="57"/>
  <c r="L18" i="57" s="1"/>
  <c r="U15" i="57"/>
  <c r="M15" i="57" s="1"/>
  <c r="N14" i="57"/>
  <c r="M13" i="57"/>
  <c r="M12" i="57"/>
  <c r="M11" i="57"/>
  <c r="N3" i="57"/>
  <c r="C34" i="56"/>
  <c r="C8" i="56"/>
  <c r="C7" i="56"/>
  <c r="C2" i="56"/>
  <c r="I53" i="55"/>
  <c r="H53" i="55"/>
  <c r="G53" i="55"/>
  <c r="I52" i="55"/>
  <c r="H52" i="55"/>
  <c r="G52" i="55"/>
  <c r="I51" i="55"/>
  <c r="H51" i="55"/>
  <c r="G51" i="55"/>
  <c r="I50" i="55"/>
  <c r="H50" i="55"/>
  <c r="G50" i="55"/>
  <c r="I49" i="55"/>
  <c r="H49" i="55"/>
  <c r="G49" i="55"/>
  <c r="I48" i="55"/>
  <c r="H48" i="55"/>
  <c r="G48" i="55"/>
  <c r="J47" i="55"/>
  <c r="I47" i="55"/>
  <c r="H47" i="55"/>
  <c r="G47" i="55"/>
  <c r="J46" i="55"/>
  <c r="I46" i="55"/>
  <c r="K45" i="55"/>
  <c r="I45" i="55"/>
  <c r="G36" i="55"/>
  <c r="E31" i="56" s="1"/>
  <c r="C31" i="56" s="1"/>
  <c r="F36" i="55"/>
  <c r="F32" i="55"/>
  <c r="E32" i="55"/>
  <c r="F29" i="55"/>
  <c r="E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c r="G11" i="51"/>
  <c r="S2" i="51" a="1"/>
  <c r="S2" i="51" s="1"/>
  <c r="G2" i="51"/>
  <c r="R10" i="50"/>
  <c r="P10" i="50" a="1"/>
  <c r="P10" i="50"/>
  <c r="F10" i="50"/>
  <c r="K8" i="50"/>
  <c r="J8" i="50"/>
  <c r="E5" i="50"/>
  <c r="R2" i="50"/>
  <c r="P2" i="50" a="1"/>
  <c r="P2" i="50" s="1"/>
  <c r="P9" i="49"/>
  <c r="N9" i="49" a="1"/>
  <c r="N9" i="49"/>
  <c r="E5" i="49"/>
  <c r="P2" i="49"/>
  <c r="N2" i="49" a="1"/>
  <c r="N2" i="49" s="1"/>
  <c r="F12" i="48"/>
  <c r="F2" i="50" s="1"/>
  <c r="D6" i="48"/>
  <c r="I14" i="45"/>
  <c r="G14" i="45"/>
  <c r="G11" i="45"/>
  <c r="G10" i="45"/>
  <c r="G9" i="45"/>
  <c r="D6" i="45"/>
  <c r="E13" i="44"/>
  <c r="H12" i="44"/>
  <c r="E12" i="44"/>
  <c r="E11" i="44"/>
  <c r="D6" i="44"/>
  <c r="F377" i="43"/>
  <c r="M290" i="43"/>
  <c r="F289" i="43"/>
  <c r="M202" i="43"/>
  <c r="F201" i="43"/>
  <c r="M114" i="43"/>
  <c r="F111" i="43"/>
  <c r="M24" i="43"/>
  <c r="F23" i="43"/>
  <c r="G17" i="43"/>
  <c r="F17" i="43"/>
  <c r="G16" i="43"/>
  <c r="F16" i="43"/>
  <c r="E14" i="43"/>
  <c r="N7" i="43"/>
  <c r="N4" i="43"/>
  <c r="N1" i="43"/>
  <c r="E116" i="42"/>
  <c r="E111" i="42"/>
  <c r="E82" i="42"/>
  <c r="E53" i="42"/>
  <c r="E52" i="42"/>
  <c r="E36" i="42"/>
  <c r="E25" i="42"/>
  <c r="E24" i="42"/>
  <c r="D15" i="42"/>
  <c r="G17" i="41"/>
  <c r="E16" i="41"/>
  <c r="G14" i="41"/>
  <c r="E13" i="41"/>
  <c r="D6" i="41"/>
  <c r="F21" i="40"/>
  <c r="H19" i="40"/>
  <c r="G19" i="40"/>
  <c r="F19" i="40"/>
  <c r="E19" i="40"/>
  <c r="I18" i="40"/>
  <c r="E17" i="40"/>
  <c r="E16" i="40"/>
  <c r="E15" i="40"/>
  <c r="H14" i="40"/>
  <c r="G14" i="40"/>
  <c r="G11" i="40"/>
  <c r="G10" i="40"/>
  <c r="G9" i="40"/>
  <c r="D6" i="40"/>
  <c r="F2" i="40"/>
  <c r="F6" i="39"/>
  <c r="H57" i="38"/>
  <c r="H56" i="38"/>
  <c r="H55" i="38"/>
  <c r="I54" i="38"/>
  <c r="H54" i="38"/>
  <c r="H53" i="38"/>
  <c r="H52" i="38"/>
  <c r="H51" i="38"/>
  <c r="H50" i="38"/>
  <c r="I49" i="38"/>
  <c r="H49" i="38"/>
  <c r="I48" i="38"/>
  <c r="H48" i="38"/>
  <c r="H47" i="38"/>
  <c r="H46" i="38"/>
  <c r="H45" i="38"/>
  <c r="I44" i="38"/>
  <c r="H44" i="38" s="1"/>
  <c r="H43" i="38"/>
  <c r="H42" i="38"/>
  <c r="H41" i="38"/>
  <c r="H40" i="38"/>
  <c r="I39" i="38"/>
  <c r="H39" i="38" s="1"/>
  <c r="I36" i="38"/>
  <c r="H36" i="38" s="1"/>
  <c r="H35" i="38"/>
  <c r="H34" i="38"/>
  <c r="H33" i="38"/>
  <c r="I32" i="38"/>
  <c r="H32" i="38"/>
  <c r="H31" i="38"/>
  <c r="H30" i="38"/>
  <c r="H29" i="38"/>
  <c r="I28" i="38"/>
  <c r="H28" i="38"/>
  <c r="H27" i="38"/>
  <c r="H26" i="38"/>
  <c r="H25" i="38"/>
  <c r="H24" i="38"/>
  <c r="H23" i="38"/>
  <c r="H22" i="38"/>
  <c r="H21" i="38"/>
  <c r="H20" i="38"/>
  <c r="H19" i="38"/>
  <c r="H18" i="38"/>
  <c r="H17" i="38"/>
  <c r="H16" i="38"/>
  <c r="I15" i="38"/>
  <c r="H15" i="38"/>
  <c r="H11" i="38"/>
  <c r="F6" i="38"/>
  <c r="F6" i="37"/>
  <c r="H15" i="36"/>
  <c r="F6"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I16" i="33"/>
  <c r="H16" i="33"/>
  <c r="H12" i="33"/>
  <c r="H11" i="33"/>
  <c r="H10" i="33"/>
  <c r="E7" i="33"/>
  <c r="E33" i="32"/>
  <c r="I32" i="32"/>
  <c r="H32" i="32"/>
  <c r="I16" i="32"/>
  <c r="H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E124" i="30"/>
  <c r="J123" i="30"/>
  <c r="F123" i="30"/>
  <c r="E123" i="30"/>
  <c r="E121" i="30"/>
  <c r="J120" i="30"/>
  <c r="F120" i="30"/>
  <c r="E120" i="30"/>
  <c r="E118" i="30"/>
  <c r="J117" i="30"/>
  <c r="F117" i="30"/>
  <c r="E117" i="30"/>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J99" i="30"/>
  <c r="F99" i="30"/>
  <c r="E99" i="30"/>
  <c r="E100" i="30" s="1"/>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K69" i="30"/>
  <c r="J69" i="30"/>
  <c r="I69" i="30"/>
  <c r="H69" i="30"/>
  <c r="F69" i="30"/>
  <c r="E69" i="30"/>
  <c r="E70" i="30" s="1"/>
  <c r="K70" i="30" s="1"/>
  <c r="J68" i="30"/>
  <c r="L68" i="30" s="1"/>
  <c r="F68" i="30"/>
  <c r="E68" i="30"/>
  <c r="K68" i="30" s="1"/>
  <c r="J67" i="30"/>
  <c r="F67" i="30"/>
  <c r="E67" i="30"/>
  <c r="K67" i="30" s="1"/>
  <c r="H31" i="30" s="1"/>
  <c r="H136" i="30" s="1"/>
  <c r="K66" i="30"/>
  <c r="J66" i="30"/>
  <c r="L66" i="30" s="1"/>
  <c r="F66" i="30"/>
  <c r="E66" i="30"/>
  <c r="K65" i="30"/>
  <c r="J65" i="30"/>
  <c r="F65" i="30"/>
  <c r="E65" i="30"/>
  <c r="K64" i="30"/>
  <c r="J64" i="30"/>
  <c r="F64" i="30"/>
  <c r="E64" i="30"/>
  <c r="K63" i="30"/>
  <c r="J63" i="30"/>
  <c r="F63" i="30"/>
  <c r="E63" i="30"/>
  <c r="K62" i="30"/>
  <c r="J62" i="30"/>
  <c r="F62" i="30"/>
  <c r="E62" i="30"/>
  <c r="K61" i="30"/>
  <c r="J61" i="30"/>
  <c r="F61" i="30"/>
  <c r="E61" i="30"/>
  <c r="K60" i="30"/>
  <c r="J60" i="30"/>
  <c r="F60" i="30"/>
  <c r="E60" i="30"/>
  <c r="K59" i="30"/>
  <c r="J59" i="30"/>
  <c r="F59" i="30"/>
  <c r="E59" i="30"/>
  <c r="K58" i="30"/>
  <c r="J58" i="30"/>
  <c r="F58" i="30"/>
  <c r="E58" i="30"/>
  <c r="K57" i="30"/>
  <c r="J57" i="30"/>
  <c r="F57" i="30"/>
  <c r="E57" i="30"/>
  <c r="K56" i="30"/>
  <c r="J56" i="30"/>
  <c r="F56" i="30"/>
  <c r="E56" i="30"/>
  <c r="K55" i="30"/>
  <c r="J55" i="30"/>
  <c r="F55" i="30"/>
  <c r="E55" i="30"/>
  <c r="K54" i="30"/>
  <c r="J54" i="30"/>
  <c r="F54" i="30"/>
  <c r="E54" i="30"/>
  <c r="K53" i="30"/>
  <c r="J53" i="30"/>
  <c r="F53" i="30"/>
  <c r="E53" i="30"/>
  <c r="K52" i="30"/>
  <c r="J52" i="30"/>
  <c r="F52" i="30"/>
  <c r="E52" i="30"/>
  <c r="K51" i="30"/>
  <c r="J51" i="30"/>
  <c r="F51" i="30"/>
  <c r="E51" i="30"/>
  <c r="K50" i="30"/>
  <c r="J50" i="30"/>
  <c r="F50" i="30"/>
  <c r="E50" i="30"/>
  <c r="K49" i="30"/>
  <c r="J49" i="30"/>
  <c r="F49" i="30"/>
  <c r="E49" i="30"/>
  <c r="K48" i="30"/>
  <c r="J48" i="30"/>
  <c r="F48" i="30"/>
  <c r="E48" i="30"/>
  <c r="K47" i="30"/>
  <c r="J47" i="30"/>
  <c r="F47" i="30"/>
  <c r="E47" i="30"/>
  <c r="K46" i="30"/>
  <c r="J46" i="30"/>
  <c r="F46" i="30"/>
  <c r="E46" i="30"/>
  <c r="K45" i="30"/>
  <c r="J45" i="30"/>
  <c r="F45" i="30"/>
  <c r="E45" i="30"/>
  <c r="K44" i="30"/>
  <c r="J44" i="30"/>
  <c r="F44" i="30"/>
  <c r="E44" i="30"/>
  <c r="K43" i="30"/>
  <c r="J43" i="30"/>
  <c r="F43" i="30"/>
  <c r="E43" i="30"/>
  <c r="K42" i="30"/>
  <c r="J42" i="30"/>
  <c r="F42" i="30"/>
  <c r="E42" i="30"/>
  <c r="K41" i="30"/>
  <c r="J41" i="30"/>
  <c r="F41" i="30"/>
  <c r="E41" i="30"/>
  <c r="K40" i="30"/>
  <c r="K39" i="30"/>
  <c r="K38" i="30"/>
  <c r="K37" i="30"/>
  <c r="K36" i="30"/>
  <c r="K35" i="30"/>
  <c r="K34" i="30"/>
  <c r="K33" i="30"/>
  <c r="I31" i="30" s="1"/>
  <c r="I136" i="30" s="1"/>
  <c r="J33" i="30"/>
  <c r="I33" i="30"/>
  <c r="H33" i="30"/>
  <c r="F33" i="30"/>
  <c r="E33" i="30"/>
  <c r="B34" i="30" s="1"/>
  <c r="K32" i="30"/>
  <c r="J32" i="30"/>
  <c r="F32" i="30"/>
  <c r="E32" i="30"/>
  <c r="J31" i="30"/>
  <c r="F31" i="30"/>
  <c r="E31" i="30"/>
  <c r="J30" i="30"/>
  <c r="F30" i="30"/>
  <c r="E30" i="30"/>
  <c r="H27" i="30"/>
  <c r="H26" i="30"/>
  <c r="H25" i="30"/>
  <c r="E22"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V40" i="25"/>
  <c r="W40" i="25" s="1"/>
  <c r="X40" i="25" s="1"/>
  <c r="Y40" i="25" s="1"/>
  <c r="Z40" i="25" s="1"/>
  <c r="AB40" i="25" s="1"/>
  <c r="AC40" i="25" s="1"/>
  <c r="AD40" i="25" s="1"/>
  <c r="AE40" i="25" s="1"/>
  <c r="AF40" i="25" s="1"/>
  <c r="AG40" i="25" s="1"/>
  <c r="AI40" i="25" s="1"/>
  <c r="AJ40" i="25" s="1"/>
  <c r="AK40" i="25" s="1"/>
  <c r="U40" i="25"/>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V45" i="23"/>
  <c r="W45" i="23" s="1"/>
  <c r="X45" i="23" s="1"/>
  <c r="Y45" i="23" s="1"/>
  <c r="Z45" i="23" s="1"/>
  <c r="AA45" i="23" s="1"/>
  <c r="AC45" i="23" s="1"/>
  <c r="AD45" i="23" s="1"/>
  <c r="U45" i="23"/>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S5" i="21"/>
  <c r="AN4" i="21"/>
  <c r="AC4" i="21"/>
  <c r="S4" i="21"/>
  <c r="I5" i="21" s="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V40" i="20"/>
  <c r="W40" i="20" s="1"/>
  <c r="X40" i="20" s="1"/>
  <c r="Y40" i="20" s="1"/>
  <c r="Z40" i="20" s="1"/>
  <c r="AB40" i="20" s="1"/>
  <c r="AC40" i="20" s="1"/>
  <c r="AD40" i="20" s="1"/>
  <c r="AE40" i="20" s="1"/>
  <c r="AF40" i="20" s="1"/>
  <c r="AG40" i="20" s="1"/>
  <c r="AI40" i="20" s="1"/>
  <c r="AJ40" i="20" s="1"/>
  <c r="AK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J6" i="20"/>
  <c r="AN5" i="20"/>
  <c r="S5" i="20"/>
  <c r="AN4" i="20"/>
  <c r="AC4" i="20"/>
  <c r="S4" i="20"/>
  <c r="I5" i="20" s="1"/>
  <c r="AN3" i="20"/>
  <c r="AC3" i="20"/>
  <c r="S3" i="20"/>
  <c r="AN2" i="20"/>
  <c r="AK2" i="20"/>
  <c r="AC2" i="20"/>
  <c r="S2" i="20"/>
  <c r="CY293" i="19"/>
  <c r="CY292" i="19"/>
  <c r="CY291" i="19"/>
  <c r="CY290" i="19"/>
  <c r="CY289" i="19"/>
  <c r="CY288" i="19"/>
  <c r="CY287" i="19"/>
  <c r="CP287" i="19"/>
  <c r="CI287" i="19"/>
  <c r="CB287" i="19"/>
  <c r="BU287" i="19"/>
  <c r="BN287" i="19"/>
  <c r="BG287" i="19"/>
  <c r="AZ287" i="19"/>
  <c r="AS287" i="19"/>
  <c r="AL287" i="19"/>
  <c r="AE287" i="19"/>
  <c r="X287" i="19"/>
  <c r="CY286" i="19"/>
  <c r="CV286" i="19"/>
  <c r="CY285" i="19"/>
  <c r="CY284" i="19"/>
  <c r="CY283" i="19"/>
  <c r="CP283" i="19"/>
  <c r="CI283" i="19"/>
  <c r="CB283" i="19"/>
  <c r="BU283" i="19"/>
  <c r="BN283" i="19"/>
  <c r="BG283" i="19"/>
  <c r="AZ283" i="19"/>
  <c r="AS283" i="19"/>
  <c r="AL283" i="19"/>
  <c r="AE283" i="19"/>
  <c r="X283" i="19"/>
  <c r="CY282" i="19"/>
  <c r="CV282" i="19"/>
  <c r="CY281" i="19"/>
  <c r="CY280" i="19"/>
  <c r="CY279" i="19"/>
  <c r="CY278" i="19"/>
  <c r="CY277" i="19"/>
  <c r="CV277" i="19"/>
  <c r="CY276" i="19"/>
  <c r="CY275" i="19"/>
  <c r="CY274" i="19"/>
  <c r="CY273" i="19"/>
  <c r="CY272" i="19"/>
  <c r="CY271" i="19"/>
  <c r="CP271" i="19"/>
  <c r="CI271" i="19"/>
  <c r="CB271" i="19"/>
  <c r="BU271" i="19"/>
  <c r="BN271" i="19"/>
  <c r="BG271" i="19"/>
  <c r="AZ271" i="19"/>
  <c r="AS271" i="19"/>
  <c r="AL271" i="19"/>
  <c r="AE271" i="19"/>
  <c r="X271" i="19"/>
  <c r="CY270" i="19"/>
  <c r="CV270" i="19"/>
  <c r="CY269" i="19"/>
  <c r="CY268" i="19"/>
  <c r="CY267" i="19"/>
  <c r="CP267" i="19"/>
  <c r="CI267" i="19"/>
  <c r="CB267" i="19"/>
  <c r="BU267" i="19"/>
  <c r="BN267" i="19"/>
  <c r="BG267" i="19"/>
  <c r="AZ267" i="19"/>
  <c r="AS267" i="19"/>
  <c r="AL267" i="19"/>
  <c r="AE267" i="19"/>
  <c r="X267" i="19"/>
  <c r="CY266" i="19"/>
  <c r="CV266" i="19"/>
  <c r="CY265" i="19"/>
  <c r="CY264" i="19"/>
  <c r="CY263" i="19"/>
  <c r="CY262" i="19"/>
  <c r="CY261" i="19"/>
  <c r="CV261" i="19"/>
  <c r="CY260" i="19"/>
  <c r="CY259" i="19"/>
  <c r="CY258" i="19"/>
  <c r="CY257" i="19"/>
  <c r="CY256" i="19"/>
  <c r="CY255" i="19"/>
  <c r="CP255" i="19"/>
  <c r="CI255" i="19"/>
  <c r="CB255" i="19"/>
  <c r="BU255" i="19"/>
  <c r="BN255" i="19"/>
  <c r="BG255" i="19"/>
  <c r="AZ255" i="19"/>
  <c r="AS255" i="19"/>
  <c r="AL255" i="19"/>
  <c r="AE255" i="19"/>
  <c r="X255" i="19"/>
  <c r="CY254" i="19"/>
  <c r="CV254" i="19"/>
  <c r="CY253" i="19"/>
  <c r="CY252" i="19"/>
  <c r="CY251" i="19"/>
  <c r="CP251" i="19"/>
  <c r="CI251" i="19"/>
  <c r="CB251" i="19"/>
  <c r="BU251" i="19"/>
  <c r="BN251" i="19"/>
  <c r="BG251" i="19"/>
  <c r="AZ251" i="19"/>
  <c r="AS251" i="19"/>
  <c r="AL251" i="19"/>
  <c r="AE251" i="19"/>
  <c r="X251" i="19"/>
  <c r="CY250" i="19"/>
  <c r="CV250" i="19"/>
  <c r="CY249" i="19"/>
  <c r="CY248" i="19"/>
  <c r="CY247" i="19"/>
  <c r="CY246" i="19"/>
  <c r="CY245" i="19"/>
  <c r="CV245" i="19"/>
  <c r="CY244" i="19"/>
  <c r="CY243" i="19"/>
  <c r="CY242" i="19"/>
  <c r="CY241" i="19"/>
  <c r="CY240" i="19"/>
  <c r="CY239" i="19"/>
  <c r="CP239" i="19"/>
  <c r="CI239" i="19"/>
  <c r="CB239" i="19"/>
  <c r="BU239" i="19"/>
  <c r="BN239" i="19"/>
  <c r="BG239" i="19"/>
  <c r="AZ239" i="19"/>
  <c r="AS239" i="19"/>
  <c r="AL239" i="19"/>
  <c r="AE239" i="19"/>
  <c r="X239" i="19"/>
  <c r="CY238" i="19"/>
  <c r="CV238" i="19"/>
  <c r="CY237" i="19"/>
  <c r="CY236" i="19"/>
  <c r="CY235" i="19"/>
  <c r="CP235" i="19"/>
  <c r="CI235" i="19"/>
  <c r="CB235" i="19"/>
  <c r="BU235" i="19"/>
  <c r="BN235" i="19"/>
  <c r="BG235" i="19"/>
  <c r="AZ235" i="19"/>
  <c r="AS235" i="19"/>
  <c r="AL235" i="19"/>
  <c r="AE235" i="19"/>
  <c r="X235" i="19"/>
  <c r="CY234" i="19"/>
  <c r="CV234" i="19"/>
  <c r="CY233" i="19"/>
  <c r="CY232" i="19"/>
  <c r="CY231" i="19"/>
  <c r="CY230" i="19"/>
  <c r="CY229" i="19"/>
  <c r="CV229" i="19"/>
  <c r="CY228" i="19"/>
  <c r="CY227" i="19"/>
  <c r="CY226" i="19"/>
  <c r="CY225" i="19"/>
  <c r="CY224" i="19"/>
  <c r="CY223" i="19"/>
  <c r="CP223" i="19"/>
  <c r="CI223" i="19"/>
  <c r="CB223" i="19"/>
  <c r="BU223" i="19"/>
  <c r="BN223" i="19"/>
  <c r="BG223" i="19"/>
  <c r="AZ223" i="19"/>
  <c r="AS223" i="19"/>
  <c r="AL223" i="19"/>
  <c r="AE223" i="19"/>
  <c r="X223" i="19"/>
  <c r="CY222" i="19"/>
  <c r="CV222" i="19"/>
  <c r="CY221" i="19"/>
  <c r="CY220" i="19"/>
  <c r="CY219" i="19"/>
  <c r="CP219" i="19"/>
  <c r="CI219" i="19"/>
  <c r="CB219" i="19"/>
  <c r="BU219" i="19"/>
  <c r="BN219" i="19"/>
  <c r="BG219" i="19"/>
  <c r="AZ219" i="19"/>
  <c r="AS219" i="19"/>
  <c r="AL219" i="19"/>
  <c r="AE219" i="19"/>
  <c r="X219" i="19"/>
  <c r="CY218" i="19"/>
  <c r="CV218" i="19"/>
  <c r="CY217" i="19"/>
  <c r="CY216" i="19"/>
  <c r="CY215" i="19"/>
  <c r="CY214" i="19"/>
  <c r="CY213" i="19"/>
  <c r="CV213" i="19"/>
  <c r="CY212" i="19"/>
  <c r="CY211" i="19"/>
  <c r="CY210" i="19"/>
  <c r="CY209" i="19"/>
  <c r="CY208" i="19"/>
  <c r="CY207" i="19"/>
  <c r="CP207" i="19"/>
  <c r="CI207" i="19"/>
  <c r="CB207" i="19"/>
  <c r="BU207" i="19"/>
  <c r="BN207" i="19"/>
  <c r="BG207" i="19"/>
  <c r="AZ207" i="19"/>
  <c r="AS207" i="19"/>
  <c r="AL207" i="19"/>
  <c r="AE207" i="19"/>
  <c r="X207" i="19"/>
  <c r="CY206" i="19"/>
  <c r="CV206" i="19"/>
  <c r="CY205" i="19"/>
  <c r="CY204" i="19"/>
  <c r="CY203" i="19"/>
  <c r="CP203" i="19"/>
  <c r="CI203" i="19"/>
  <c r="CB203" i="19"/>
  <c r="BU203" i="19"/>
  <c r="BN203" i="19"/>
  <c r="BG203" i="19"/>
  <c r="AZ203" i="19"/>
  <c r="AS203" i="19"/>
  <c r="AL203" i="19"/>
  <c r="AE203" i="19"/>
  <c r="X203" i="19"/>
  <c r="CY202" i="19"/>
  <c r="CV202" i="19"/>
  <c r="CY201" i="19"/>
  <c r="CY200" i="19"/>
  <c r="CY199" i="19"/>
  <c r="CY198" i="19"/>
  <c r="CY197" i="19"/>
  <c r="CV197" i="19"/>
  <c r="CY196" i="19"/>
  <c r="CY195" i="19"/>
  <c r="CY194" i="19"/>
  <c r="CY193" i="19"/>
  <c r="CY192" i="19"/>
  <c r="CY191" i="19"/>
  <c r="CP191" i="19"/>
  <c r="CI191" i="19"/>
  <c r="CB191" i="19"/>
  <c r="BU191" i="19"/>
  <c r="BN191" i="19"/>
  <c r="BG191" i="19"/>
  <c r="AZ191" i="19"/>
  <c r="AS191" i="19"/>
  <c r="AL191" i="19"/>
  <c r="AE191" i="19"/>
  <c r="X191" i="19"/>
  <c r="CY190" i="19"/>
  <c r="CV190" i="19"/>
  <c r="CY189" i="19"/>
  <c r="CY188" i="19"/>
  <c r="CY187" i="19"/>
  <c r="CP187" i="19"/>
  <c r="CI187" i="19"/>
  <c r="CB187" i="19"/>
  <c r="BU187" i="19"/>
  <c r="BN187" i="19"/>
  <c r="BG187" i="19"/>
  <c r="AZ187" i="19"/>
  <c r="AS187" i="19"/>
  <c r="AL187" i="19"/>
  <c r="AE187" i="19"/>
  <c r="X187" i="19"/>
  <c r="CY186" i="19"/>
  <c r="CV186" i="19"/>
  <c r="CY185" i="19"/>
  <c r="CY184" i="19"/>
  <c r="CY183" i="19"/>
  <c r="CY182" i="19"/>
  <c r="CY181" i="19"/>
  <c r="CV181" i="19"/>
  <c r="CY180" i="19"/>
  <c r="CY179" i="19"/>
  <c r="CY178" i="19"/>
  <c r="CY177" i="19"/>
  <c r="CY176" i="19"/>
  <c r="CY175" i="19"/>
  <c r="CP175" i="19"/>
  <c r="CI175" i="19"/>
  <c r="CB175" i="19"/>
  <c r="BU175" i="19"/>
  <c r="BN175" i="19"/>
  <c r="BG175" i="19"/>
  <c r="AZ175" i="19"/>
  <c r="AS175" i="19"/>
  <c r="AL175" i="19"/>
  <c r="AE175" i="19"/>
  <c r="X175" i="19"/>
  <c r="CY174" i="19"/>
  <c r="CV174" i="19"/>
  <c r="CY173" i="19"/>
  <c r="CY172" i="19"/>
  <c r="CY171" i="19"/>
  <c r="CP171" i="19"/>
  <c r="CI171" i="19"/>
  <c r="CB171" i="19"/>
  <c r="BU171" i="19"/>
  <c r="BN171" i="19"/>
  <c r="BG171" i="19"/>
  <c r="AZ171" i="19"/>
  <c r="AS171" i="19"/>
  <c r="AL171" i="19"/>
  <c r="AE171" i="19"/>
  <c r="X171" i="19"/>
  <c r="CY170" i="19"/>
  <c r="CV170" i="19"/>
  <c r="CY169" i="19"/>
  <c r="CY168" i="19"/>
  <c r="CY167" i="19"/>
  <c r="CY166" i="19"/>
  <c r="CY165" i="19"/>
  <c r="CV165" i="19"/>
  <c r="CY164" i="19"/>
  <c r="CY163" i="19"/>
  <c r="CY162" i="19"/>
  <c r="CY161" i="19"/>
  <c r="CY160" i="19"/>
  <c r="CY159" i="19"/>
  <c r="CP159" i="19"/>
  <c r="CI159" i="19"/>
  <c r="CB159" i="19"/>
  <c r="BU159" i="19"/>
  <c r="BN159" i="19"/>
  <c r="BG159" i="19"/>
  <c r="AZ159" i="19"/>
  <c r="AS159" i="19"/>
  <c r="AL159" i="19"/>
  <c r="AE159" i="19"/>
  <c r="X159" i="19"/>
  <c r="CY158" i="19"/>
  <c r="CV158" i="19"/>
  <c r="CY157" i="19"/>
  <c r="CY156" i="19"/>
  <c r="CY155" i="19"/>
  <c r="CP155" i="19"/>
  <c r="CI155" i="19"/>
  <c r="CB155" i="19"/>
  <c r="BU155" i="19"/>
  <c r="BN155" i="19"/>
  <c r="BG155" i="19"/>
  <c r="AZ155" i="19"/>
  <c r="AS155" i="19"/>
  <c r="AL155" i="19"/>
  <c r="AE155" i="19"/>
  <c r="X155" i="19"/>
  <c r="CY154" i="19"/>
  <c r="CV154" i="19"/>
  <c r="CY153" i="19"/>
  <c r="CY152" i="19"/>
  <c r="CY151" i="19"/>
  <c r="CY150" i="19"/>
  <c r="CY149" i="19"/>
  <c r="CV149" i="19"/>
  <c r="CY148" i="19"/>
  <c r="CY147" i="19"/>
  <c r="CY146" i="19"/>
  <c r="CY145" i="19"/>
  <c r="CY144" i="19"/>
  <c r="CY143" i="19"/>
  <c r="CP143" i="19"/>
  <c r="CI143" i="19"/>
  <c r="CB143" i="19"/>
  <c r="BU143" i="19"/>
  <c r="BN143" i="19"/>
  <c r="BG143" i="19"/>
  <c r="AZ143" i="19"/>
  <c r="AS143" i="19"/>
  <c r="AL143" i="19"/>
  <c r="AE143" i="19"/>
  <c r="X143" i="19"/>
  <c r="CY142" i="19"/>
  <c r="CV142" i="19"/>
  <c r="CY141" i="19"/>
  <c r="CY140" i="19"/>
  <c r="CY139" i="19"/>
  <c r="CP139" i="19"/>
  <c r="CI139" i="19"/>
  <c r="CB139" i="19"/>
  <c r="BU139" i="19"/>
  <c r="BN139" i="19"/>
  <c r="BG139" i="19"/>
  <c r="AZ139" i="19"/>
  <c r="AS139" i="19"/>
  <c r="AL139" i="19"/>
  <c r="AE139" i="19"/>
  <c r="X139" i="19"/>
  <c r="CY138" i="19"/>
  <c r="CV138" i="19"/>
  <c r="CY137" i="19"/>
  <c r="CY136" i="19"/>
  <c r="CY135" i="19"/>
  <c r="CY134" i="19"/>
  <c r="CY133" i="19"/>
  <c r="CV133" i="19"/>
  <c r="CY132" i="19"/>
  <c r="CY131" i="19"/>
  <c r="CY130" i="19"/>
  <c r="CY129" i="19"/>
  <c r="CY128" i="19"/>
  <c r="CY127" i="19"/>
  <c r="CP127" i="19"/>
  <c r="CI127" i="19"/>
  <c r="CB127" i="19"/>
  <c r="BU127" i="19"/>
  <c r="BN127" i="19"/>
  <c r="BG127" i="19"/>
  <c r="AZ127" i="19"/>
  <c r="AS127" i="19"/>
  <c r="AL127" i="19"/>
  <c r="AE127" i="19"/>
  <c r="X127" i="19"/>
  <c r="CY126" i="19"/>
  <c r="CV126" i="19"/>
  <c r="CY125" i="19"/>
  <c r="CY124" i="19"/>
  <c r="CY123" i="19"/>
  <c r="CP123" i="19"/>
  <c r="CI123" i="19"/>
  <c r="CB123" i="19"/>
  <c r="BU123" i="19"/>
  <c r="BN123" i="19"/>
  <c r="BG123" i="19"/>
  <c r="AZ123" i="19"/>
  <c r="AS123" i="19"/>
  <c r="AL123" i="19"/>
  <c r="AE123" i="19"/>
  <c r="X123" i="19"/>
  <c r="CY122" i="19"/>
  <c r="CV122" i="19"/>
  <c r="CY121" i="19"/>
  <c r="CY120" i="19"/>
  <c r="CY119" i="19"/>
  <c r="CY118" i="19"/>
  <c r="CY117" i="19"/>
  <c r="CV117" i="19"/>
  <c r="CY116" i="19"/>
  <c r="CY115" i="19"/>
  <c r="CY114" i="19"/>
  <c r="CY113" i="19"/>
  <c r="CY112" i="19"/>
  <c r="CY111" i="19"/>
  <c r="CP111" i="19"/>
  <c r="CI111" i="19"/>
  <c r="CB111" i="19"/>
  <c r="BU111" i="19"/>
  <c r="BN111" i="19"/>
  <c r="BG111" i="19"/>
  <c r="AZ111" i="19"/>
  <c r="AS111" i="19"/>
  <c r="AL111" i="19"/>
  <c r="AE111" i="19"/>
  <c r="X111" i="19"/>
  <c r="CY110" i="19"/>
  <c r="CV110" i="19"/>
  <c r="CY109" i="19"/>
  <c r="CY108" i="19"/>
  <c r="CY107" i="19"/>
  <c r="CP107" i="19"/>
  <c r="CI107" i="19"/>
  <c r="CB107" i="19"/>
  <c r="BU107" i="19"/>
  <c r="BN107" i="19"/>
  <c r="BG107" i="19"/>
  <c r="AZ107" i="19"/>
  <c r="AS107" i="19"/>
  <c r="AL107" i="19"/>
  <c r="AE107" i="19"/>
  <c r="X107" i="19"/>
  <c r="CY106" i="19"/>
  <c r="CV106" i="19"/>
  <c r="CY105" i="19"/>
  <c r="CY104" i="19"/>
  <c r="CY103" i="19"/>
  <c r="CY102" i="19"/>
  <c r="CY101" i="19"/>
  <c r="CV101" i="19"/>
  <c r="CY100" i="19"/>
  <c r="CY99" i="19"/>
  <c r="CY98" i="19"/>
  <c r="CY97" i="19"/>
  <c r="CY96" i="19"/>
  <c r="CY95" i="19"/>
  <c r="CP95" i="19"/>
  <c r="CI95" i="19"/>
  <c r="CB95" i="19"/>
  <c r="BU95" i="19"/>
  <c r="BN95" i="19"/>
  <c r="BG95" i="19"/>
  <c r="AZ95" i="19"/>
  <c r="AS95" i="19"/>
  <c r="AL95" i="19"/>
  <c r="AE95" i="19"/>
  <c r="X95" i="19"/>
  <c r="CY94" i="19"/>
  <c r="CV94" i="19"/>
  <c r="CY93" i="19"/>
  <c r="CY92" i="19"/>
  <c r="CY91" i="19"/>
  <c r="CP91" i="19"/>
  <c r="CI91" i="19"/>
  <c r="CB91" i="19"/>
  <c r="BU91" i="19"/>
  <c r="BN91" i="19"/>
  <c r="BG91" i="19"/>
  <c r="AZ91" i="19"/>
  <c r="AS91" i="19"/>
  <c r="AL91" i="19"/>
  <c r="AE91" i="19"/>
  <c r="X91" i="19"/>
  <c r="CY90" i="19"/>
  <c r="CV90" i="19"/>
  <c r="CY89" i="19"/>
  <c r="CY88" i="19"/>
  <c r="CY87" i="19"/>
  <c r="CY86" i="19"/>
  <c r="CY85" i="19"/>
  <c r="CV85" i="19"/>
  <c r="CY84" i="19"/>
  <c r="CY83" i="19"/>
  <c r="CY82" i="19"/>
  <c r="CY81" i="19"/>
  <c r="CY80" i="19"/>
  <c r="CY79" i="19"/>
  <c r="CP79" i="19"/>
  <c r="CI79" i="19"/>
  <c r="CB79" i="19"/>
  <c r="BU79" i="19"/>
  <c r="BN79" i="19"/>
  <c r="BG79" i="19"/>
  <c r="AZ79" i="19"/>
  <c r="AS79" i="19"/>
  <c r="AL79" i="19"/>
  <c r="AE79" i="19"/>
  <c r="X79" i="19"/>
  <c r="CY78" i="19"/>
  <c r="CV78" i="19"/>
  <c r="CY77" i="19"/>
  <c r="CY76" i="19"/>
  <c r="CY75" i="19"/>
  <c r="CP75" i="19"/>
  <c r="CI75" i="19"/>
  <c r="CB75" i="19"/>
  <c r="BU75" i="19"/>
  <c r="BN75" i="19"/>
  <c r="BG75" i="19"/>
  <c r="AZ75" i="19"/>
  <c r="AS75" i="19"/>
  <c r="AL75" i="19"/>
  <c r="AE75" i="19"/>
  <c r="X75" i="19"/>
  <c r="CY74" i="19"/>
  <c r="CV74" i="19"/>
  <c r="CY73" i="19"/>
  <c r="CY72" i="19"/>
  <c r="CY71" i="19"/>
  <c r="CY70" i="19"/>
  <c r="CY69" i="19"/>
  <c r="CV69" i="19"/>
  <c r="CY68" i="19"/>
  <c r="CY67" i="19"/>
  <c r="CY66" i="19"/>
  <c r="CY65" i="19"/>
  <c r="CY64" i="19"/>
  <c r="CY63" i="19"/>
  <c r="CP63" i="19"/>
  <c r="CI63" i="19"/>
  <c r="CB63" i="19"/>
  <c r="BU63" i="19"/>
  <c r="BN63" i="19"/>
  <c r="BG63" i="19"/>
  <c r="AZ63" i="19"/>
  <c r="AS63" i="19"/>
  <c r="AL63" i="19"/>
  <c r="AE63" i="19"/>
  <c r="X63" i="19"/>
  <c r="CY62" i="19"/>
  <c r="CV62" i="19"/>
  <c r="CY61" i="19"/>
  <c r="CY60" i="19"/>
  <c r="CY59" i="19"/>
  <c r="CP59" i="19"/>
  <c r="CI59" i="19"/>
  <c r="CB59" i="19"/>
  <c r="BU59" i="19"/>
  <c r="BN59" i="19"/>
  <c r="BG59" i="19"/>
  <c r="AZ59" i="19"/>
  <c r="AS59" i="19"/>
  <c r="AL59" i="19"/>
  <c r="AE59" i="19"/>
  <c r="X59" i="19"/>
  <c r="CY58" i="19"/>
  <c r="CV58" i="19"/>
  <c r="CY57" i="19"/>
  <c r="CY56" i="19"/>
  <c r="CY55" i="19"/>
  <c r="CY54" i="19"/>
  <c r="CY53" i="19"/>
  <c r="CV53" i="19"/>
  <c r="CY52" i="19"/>
  <c r="CY51" i="19"/>
  <c r="CY50" i="19"/>
  <c r="CY49" i="19"/>
  <c r="CY48" i="19"/>
  <c r="CY47" i="19"/>
  <c r="CP47" i="19"/>
  <c r="CI47" i="19"/>
  <c r="CB47" i="19"/>
  <c r="BU47" i="19"/>
  <c r="BN47" i="19"/>
  <c r="BG47" i="19"/>
  <c r="AZ47" i="19"/>
  <c r="AS47" i="19"/>
  <c r="AL47" i="19"/>
  <c r="AE47" i="19"/>
  <c r="X47" i="19"/>
  <c r="CY46" i="19"/>
  <c r="CV46" i="19"/>
  <c r="CY45" i="19"/>
  <c r="CY44" i="19"/>
  <c r="CY43" i="19"/>
  <c r="CY42" i="19"/>
  <c r="CY41" i="19"/>
  <c r="CV41" i="19"/>
  <c r="V40" i="19"/>
  <c r="W40" i="19" s="1"/>
  <c r="X40" i="19" s="1"/>
  <c r="Y40" i="19" s="1"/>
  <c r="Z40" i="19" s="1"/>
  <c r="AB40" i="19" s="1"/>
  <c r="AC40" i="19" s="1"/>
  <c r="AD40" i="19" s="1"/>
  <c r="AE40" i="19" s="1"/>
  <c r="AF40" i="19" s="1"/>
  <c r="AG40" i="19" s="1"/>
  <c r="AI40" i="19" s="1"/>
  <c r="AJ40" i="19" s="1"/>
  <c r="AK40" i="19" s="1"/>
  <c r="AL40" i="19" s="1"/>
  <c r="AM40" i="19" s="1"/>
  <c r="AN40" i="19" s="1"/>
  <c r="AP40" i="19" s="1"/>
  <c r="AQ40" i="19" s="1"/>
  <c r="AR40" i="19" s="1"/>
  <c r="AS40" i="19" s="1"/>
  <c r="AT40" i="19" s="1"/>
  <c r="AU40" i="19" s="1"/>
  <c r="AW40" i="19" s="1"/>
  <c r="AX40" i="19" s="1"/>
  <c r="AY40" i="19" s="1"/>
  <c r="AZ40" i="19" s="1"/>
  <c r="BA40" i="19" s="1"/>
  <c r="BB40" i="19" s="1"/>
  <c r="BD40" i="19" s="1"/>
  <c r="BE40" i="19" s="1"/>
  <c r="BF40" i="19" s="1"/>
  <c r="BG40" i="19" s="1"/>
  <c r="BH40" i="19" s="1"/>
  <c r="BI40" i="19" s="1"/>
  <c r="BK40" i="19" s="1"/>
  <c r="BL40" i="19" s="1"/>
  <c r="BM40" i="19" s="1"/>
  <c r="BN40" i="19" s="1"/>
  <c r="BO40" i="19" s="1"/>
  <c r="BP40" i="19" s="1"/>
  <c r="BR40" i="19" s="1"/>
  <c r="BS40" i="19" s="1"/>
  <c r="BT40" i="19" s="1"/>
  <c r="BU40" i="19" s="1"/>
  <c r="BV40" i="19" s="1"/>
  <c r="BW40" i="19" s="1"/>
  <c r="BY40" i="19" s="1"/>
  <c r="BZ40" i="19" s="1"/>
  <c r="CA40" i="19" s="1"/>
  <c r="CB40" i="19" s="1"/>
  <c r="CC40" i="19" s="1"/>
  <c r="CD40" i="19" s="1"/>
  <c r="CF40" i="19" s="1"/>
  <c r="CG40" i="19" s="1"/>
  <c r="CH40" i="19" s="1"/>
  <c r="CI40" i="19" s="1"/>
  <c r="CJ40" i="19" s="1"/>
  <c r="CK40" i="19" s="1"/>
  <c r="CM40" i="19" s="1"/>
  <c r="CN40" i="19" s="1"/>
  <c r="CO40" i="19" s="1"/>
  <c r="CP40" i="19" s="1"/>
  <c r="CQ40" i="19" s="1"/>
  <c r="CR40" i="19" s="1"/>
  <c r="CT40" i="19" s="1"/>
  <c r="CU40" i="19" s="1"/>
  <c r="CV40" i="19" s="1"/>
  <c r="U40" i="19"/>
  <c r="CN33" i="19"/>
  <c r="CG33" i="19"/>
  <c r="BZ33" i="19"/>
  <c r="BS33" i="19"/>
  <c r="BL33" i="19"/>
  <c r="BE33" i="19"/>
  <c r="AX33" i="19"/>
  <c r="AQ33" i="19"/>
  <c r="AJ33" i="19"/>
  <c r="AC33" i="19"/>
  <c r="V33" i="19"/>
  <c r="CN32" i="19"/>
  <c r="CG32" i="19"/>
  <c r="BZ32" i="19"/>
  <c r="BS32" i="19"/>
  <c r="BL32" i="19"/>
  <c r="BE32" i="19"/>
  <c r="AX32" i="19"/>
  <c r="AQ32" i="19"/>
  <c r="AJ32" i="19"/>
  <c r="AC32" i="19"/>
  <c r="V32" i="19"/>
  <c r="CN30" i="19"/>
  <c r="CG30" i="19"/>
  <c r="BZ30" i="19"/>
  <c r="BS30" i="19"/>
  <c r="BL30" i="19"/>
  <c r="BE30" i="19"/>
  <c r="AX30" i="19"/>
  <c r="AQ30" i="19"/>
  <c r="AJ30" i="19"/>
  <c r="AC30" i="19"/>
  <c r="V30" i="19"/>
  <c r="CN29" i="19"/>
  <c r="CG29" i="19"/>
  <c r="BZ29" i="19"/>
  <c r="BS29" i="19"/>
  <c r="BL29" i="19"/>
  <c r="BE29" i="19"/>
  <c r="AX29" i="19"/>
  <c r="AQ29" i="19"/>
  <c r="AJ29" i="19"/>
  <c r="AC29" i="19"/>
  <c r="V29" i="19"/>
  <c r="CN28" i="19"/>
  <c r="CG28" i="19"/>
  <c r="BZ28" i="19"/>
  <c r="BS28" i="19"/>
  <c r="BL28" i="19"/>
  <c r="BE28" i="19"/>
  <c r="AX28" i="19"/>
  <c r="AQ28" i="19"/>
  <c r="AJ28" i="19"/>
  <c r="AC28" i="19"/>
  <c r="V28" i="19"/>
  <c r="CN27" i="19"/>
  <c r="CG27" i="19"/>
  <c r="BZ27" i="19"/>
  <c r="BS27" i="19"/>
  <c r="BL27" i="19"/>
  <c r="BE27" i="19"/>
  <c r="AX27" i="19"/>
  <c r="AQ27" i="19"/>
  <c r="AJ27" i="19"/>
  <c r="AC27" i="19"/>
  <c r="V27" i="19"/>
  <c r="S25" i="19"/>
  <c r="S24" i="19"/>
  <c r="AE16" i="19"/>
  <c r="CY13" i="19"/>
  <c r="CY12" i="19"/>
  <c r="CY11" i="19"/>
  <c r="CY10" i="19"/>
  <c r="CY9" i="19"/>
  <c r="CY8" i="19"/>
  <c r="CP8" i="19"/>
  <c r="CI8" i="19"/>
  <c r="CB8" i="19"/>
  <c r="BU8" i="19"/>
  <c r="BN8" i="19"/>
  <c r="BG8" i="19"/>
  <c r="AZ8" i="19"/>
  <c r="AS8" i="19"/>
  <c r="AL8" i="19"/>
  <c r="AE8" i="19"/>
  <c r="X8" i="19"/>
  <c r="CY7" i="19"/>
  <c r="CV7" i="19"/>
  <c r="CY6" i="19"/>
  <c r="CY5" i="19"/>
  <c r="I5" i="19"/>
  <c r="CY4" i="19"/>
  <c r="AC4" i="19"/>
  <c r="S4" i="19"/>
  <c r="CY3" i="19"/>
  <c r="AC3" i="19"/>
  <c r="S3" i="19"/>
  <c r="CY2" i="19"/>
  <c r="CV2" i="19"/>
  <c r="AC2" i="19"/>
  <c r="S2" i="19"/>
  <c r="AX62" i="18"/>
  <c r="AX61" i="18"/>
  <c r="AX60" i="18"/>
  <c r="AX59" i="18"/>
  <c r="AX58" i="18"/>
  <c r="AX57" i="18"/>
  <c r="AX56" i="18"/>
  <c r="AX55" i="18"/>
  <c r="AX54" i="18"/>
  <c r="AO54" i="18"/>
  <c r="W54" i="18"/>
  <c r="AX51" i="18"/>
  <c r="AX50" i="18"/>
  <c r="AX49" i="18"/>
  <c r="AX48" i="18"/>
  <c r="AX47" i="18"/>
  <c r="AX46" i="18"/>
  <c r="AX45" i="18"/>
  <c r="AU45" i="18"/>
  <c r="AQ44" i="18"/>
  <c r="AS44" i="18" s="1"/>
  <c r="AT44" i="18" s="1"/>
  <c r="AU44" i="18" s="1"/>
  <c r="AO44" i="18"/>
  <c r="AP44" i="18" s="1"/>
  <c r="AN44" i="18"/>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AX6" i="18"/>
  <c r="AX5" i="18"/>
  <c r="AB5" i="18"/>
  <c r="S5" i="18"/>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T49" i="17"/>
  <c r="AQ49" i="17"/>
  <c r="AM48" i="17"/>
  <c r="AO48" i="17" s="1"/>
  <c r="AP48" i="17" s="1"/>
  <c r="AQ48" i="17" s="1"/>
  <c r="AK48" i="17"/>
  <c r="AL48" i="17" s="1"/>
  <c r="AJ48" i="17"/>
  <c r="AD48" i="17"/>
  <c r="AF48" i="17" s="1"/>
  <c r="AG48" i="17" s="1"/>
  <c r="AB48" i="17"/>
  <c r="AC48" i="17" s="1"/>
  <c r="AA48" i="17"/>
  <c r="X48" i="17"/>
  <c r="W48" i="17"/>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I6" i="17"/>
  <c r="J7" i="17" s="1"/>
  <c r="AT5" i="17"/>
  <c r="AG5" i="17"/>
  <c r="U5" i="17"/>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P44" i="16"/>
  <c r="AP43" i="16"/>
  <c r="AM43" i="16"/>
  <c r="AI42" i="16"/>
  <c r="AK42" i="16" s="1"/>
  <c r="AL42" i="16" s="1"/>
  <c r="AM42" i="16" s="1"/>
  <c r="AG42" i="16"/>
  <c r="AH42" i="16" s="1"/>
  <c r="AF42" i="16"/>
  <c r="AA42" i="16"/>
  <c r="AC42" i="16" s="1"/>
  <c r="AD42" i="16" s="1"/>
  <c r="Y42" i="16"/>
  <c r="Z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I42" i="14"/>
  <c r="AK42" i="14" s="1"/>
  <c r="AL42" i="14" s="1"/>
  <c r="AM42" i="14" s="1"/>
  <c r="AG42" i="14"/>
  <c r="AH42" i="14" s="1"/>
  <c r="AF42" i="14"/>
  <c r="AA42" i="14"/>
  <c r="AC42" i="14" s="1"/>
  <c r="AD42" i="14" s="1"/>
  <c r="Y42" i="14"/>
  <c r="Z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Z42" i="13"/>
  <c r="AA42" i="13" s="1"/>
  <c r="AC42" i="13" s="1"/>
  <c r="AD42" i="13" s="1"/>
  <c r="X42" i="13"/>
  <c r="Y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H42" i="12"/>
  <c r="AI42" i="12" s="1"/>
  <c r="AK42" i="12" s="1"/>
  <c r="AL42" i="12" s="1"/>
  <c r="AM42" i="12" s="1"/>
  <c r="AF42" i="12"/>
  <c r="AG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5" i="6"/>
  <c r="AQ176" i="5"/>
  <c r="AP176" i="5"/>
  <c r="S48" i="26" s="1"/>
  <c r="K52" i="26" s="1"/>
  <c r="S52" i="26" s="1"/>
  <c r="AO176" i="5"/>
  <c r="S47" i="26" s="1"/>
  <c r="AN176" i="5"/>
  <c r="S46" i="26" s="1"/>
  <c r="AM176" i="5"/>
  <c r="AL176" i="5"/>
  <c r="AD48" i="26" s="1"/>
  <c r="AK176" i="5"/>
  <c r="AD47" i="26" s="1"/>
  <c r="AJ176" i="5"/>
  <c r="AI176" i="5"/>
  <c r="AH176" i="5"/>
  <c r="AQ171" i="5"/>
  <c r="AP171" i="5"/>
  <c r="S43" i="25" s="1"/>
  <c r="I44" i="25" s="1"/>
  <c r="AO171" i="5"/>
  <c r="S42" i="25" s="1"/>
  <c r="AN171" i="5"/>
  <c r="S41" i="25" s="1"/>
  <c r="AM171" i="5"/>
  <c r="AL171" i="5"/>
  <c r="AC43" i="25" s="1"/>
  <c r="AK171" i="5"/>
  <c r="AC42" i="25" s="1"/>
  <c r="AJ171" i="5"/>
  <c r="AI171" i="5"/>
  <c r="AH171" i="5"/>
  <c r="AQ166" i="5"/>
  <c r="AP166" i="5"/>
  <c r="S43" i="24" s="1"/>
  <c r="I44" i="24" s="1"/>
  <c r="AO166" i="5"/>
  <c r="S42" i="24" s="1"/>
  <c r="AN166" i="5"/>
  <c r="S41" i="24" s="1"/>
  <c r="AM166" i="5"/>
  <c r="AL166" i="5"/>
  <c r="AC43" i="24" s="1"/>
  <c r="AK166" i="5"/>
  <c r="AC42" i="24" s="1"/>
  <c r="AJ166" i="5"/>
  <c r="AI166" i="5"/>
  <c r="AH166" i="5"/>
  <c r="AQ160" i="5"/>
  <c r="AP160" i="5"/>
  <c r="S48" i="29" s="1"/>
  <c r="K52" i="29" s="1"/>
  <c r="S52" i="29" s="1"/>
  <c r="AO160" i="5"/>
  <c r="S47" i="29" s="1"/>
  <c r="AN160" i="5"/>
  <c r="S46" i="29" s="1"/>
  <c r="AM160" i="5"/>
  <c r="AL160" i="5"/>
  <c r="AD48" i="29" s="1"/>
  <c r="AK160" i="5"/>
  <c r="AD47" i="29" s="1"/>
  <c r="AJ160" i="5"/>
  <c r="AI160" i="5"/>
  <c r="AH160" i="5"/>
  <c r="AQ155" i="5"/>
  <c r="AP155" i="5"/>
  <c r="AO155" i="5"/>
  <c r="AN155" i="5"/>
  <c r="AM155" i="5"/>
  <c r="AL155" i="5"/>
  <c r="AK155" i="5"/>
  <c r="AJ155" i="5"/>
  <c r="AI155" i="5"/>
  <c r="AH155" i="5"/>
  <c r="AQ150" i="5"/>
  <c r="AP150" i="5"/>
  <c r="AO150" i="5"/>
  <c r="AN150" i="5"/>
  <c r="AM150" i="5"/>
  <c r="AL150" i="5"/>
  <c r="AK150" i="5"/>
  <c r="AJ150" i="5"/>
  <c r="AI150" i="5"/>
  <c r="AH150" i="5"/>
  <c r="AQ144" i="5"/>
  <c r="AP144" i="5"/>
  <c r="S48" i="23" s="1"/>
  <c r="K52" i="23" s="1"/>
  <c r="S52" i="23" s="1"/>
  <c r="AO144" i="5"/>
  <c r="S47" i="23" s="1"/>
  <c r="AN144" i="5"/>
  <c r="S46" i="23" s="1"/>
  <c r="AM144" i="5"/>
  <c r="AL144" i="5"/>
  <c r="AD48" i="23" s="1"/>
  <c r="AK144" i="5"/>
  <c r="AD47" i="23" s="1"/>
  <c r="AJ144" i="5"/>
  <c r="AI144" i="5"/>
  <c r="AH144" i="5"/>
  <c r="AQ139" i="5"/>
  <c r="AP139" i="5"/>
  <c r="S43" i="22" s="1"/>
  <c r="I44" i="22" s="1"/>
  <c r="AO139" i="5"/>
  <c r="S42" i="22" s="1"/>
  <c r="AN139" i="5"/>
  <c r="S41" i="22" s="1"/>
  <c r="AM139" i="5"/>
  <c r="AL139" i="5"/>
  <c r="AC43" i="22" s="1"/>
  <c r="AK139" i="5"/>
  <c r="AC42" i="22" s="1"/>
  <c r="AJ139" i="5"/>
  <c r="AI139" i="5"/>
  <c r="AH139" i="5"/>
  <c r="AQ134" i="5"/>
  <c r="AP134" i="5"/>
  <c r="S43" i="21" s="1"/>
  <c r="I44" i="21" s="1"/>
  <c r="AO134" i="5"/>
  <c r="S42" i="21" s="1"/>
  <c r="AN134" i="5"/>
  <c r="S41" i="21" s="1"/>
  <c r="AM134" i="5"/>
  <c r="AL134" i="5"/>
  <c r="AC43" i="21" s="1"/>
  <c r="AK134" i="5"/>
  <c r="AC42" i="21" s="1"/>
  <c r="AJ134" i="5"/>
  <c r="AI134" i="5"/>
  <c r="AH134" i="5"/>
  <c r="AQ129" i="5"/>
  <c r="AP129" i="5"/>
  <c r="S43" i="20" s="1"/>
  <c r="I44" i="20" s="1"/>
  <c r="AO129" i="5"/>
  <c r="S42" i="20" s="1"/>
  <c r="AN129" i="5"/>
  <c r="S41" i="20" s="1"/>
  <c r="AM129" i="5"/>
  <c r="AL129" i="5"/>
  <c r="AC43" i="20" s="1"/>
  <c r="AK129" i="5"/>
  <c r="AC42" i="20" s="1"/>
  <c r="AJ129" i="5"/>
  <c r="AC41" i="20" s="1"/>
  <c r="AI129" i="5"/>
  <c r="AH129" i="5"/>
  <c r="AP124" i="5"/>
  <c r="S279" i="19" s="1"/>
  <c r="I280" i="19" s="1"/>
  <c r="AO124" i="5"/>
  <c r="S278" i="19" s="1"/>
  <c r="AN124" i="5"/>
  <c r="S277" i="19" s="1"/>
  <c r="AL124" i="5"/>
  <c r="AC279" i="19" s="1"/>
  <c r="AJ124" i="5"/>
  <c r="AH124" i="5"/>
  <c r="AP120" i="5"/>
  <c r="S263" i="19" s="1"/>
  <c r="I264" i="19" s="1"/>
  <c r="AO120" i="5"/>
  <c r="S262" i="19" s="1"/>
  <c r="AN120" i="5"/>
  <c r="S261" i="19" s="1"/>
  <c r="AL120" i="5"/>
  <c r="AC263" i="19" s="1"/>
  <c r="AJ120" i="5"/>
  <c r="AH120" i="5"/>
  <c r="AP116" i="5"/>
  <c r="S247" i="19" s="1"/>
  <c r="I248" i="19" s="1"/>
  <c r="AO116" i="5"/>
  <c r="S246" i="19" s="1"/>
  <c r="AN116" i="5"/>
  <c r="S245" i="19" s="1"/>
  <c r="AL116" i="5"/>
  <c r="AC247" i="19" s="1"/>
  <c r="AJ116" i="5"/>
  <c r="AH116" i="5"/>
  <c r="AP112" i="5"/>
  <c r="S231" i="19" s="1"/>
  <c r="I232" i="19" s="1"/>
  <c r="AO112" i="5"/>
  <c r="S230" i="19" s="1"/>
  <c r="AN112" i="5"/>
  <c r="S229" i="19" s="1"/>
  <c r="AL112" i="5"/>
  <c r="AC231" i="19" s="1"/>
  <c r="AJ112" i="5"/>
  <c r="AH112" i="5"/>
  <c r="AP108" i="5"/>
  <c r="S215" i="19" s="1"/>
  <c r="I216" i="19" s="1"/>
  <c r="AO108" i="5"/>
  <c r="S214" i="19" s="1"/>
  <c r="AN108" i="5"/>
  <c r="S213" i="19" s="1"/>
  <c r="AL108" i="5"/>
  <c r="AC215" i="19" s="1"/>
  <c r="AJ108" i="5"/>
  <c r="AH108" i="5"/>
  <c r="AP104" i="5"/>
  <c r="S199" i="19" s="1"/>
  <c r="I200" i="19" s="1"/>
  <c r="AO104" i="5"/>
  <c r="S198" i="19" s="1"/>
  <c r="AN104" i="5"/>
  <c r="S197" i="19" s="1"/>
  <c r="AL104" i="5"/>
  <c r="AC199" i="19" s="1"/>
  <c r="AJ104" i="5"/>
  <c r="AH104" i="5"/>
  <c r="AP100" i="5"/>
  <c r="S183" i="19" s="1"/>
  <c r="I184" i="19" s="1"/>
  <c r="AO100" i="5"/>
  <c r="S182" i="19" s="1"/>
  <c r="AN100" i="5"/>
  <c r="S181" i="19" s="1"/>
  <c r="AL100" i="5"/>
  <c r="AC183" i="19" s="1"/>
  <c r="AJ100" i="5"/>
  <c r="AH100" i="5"/>
  <c r="AP96" i="5"/>
  <c r="S167" i="19" s="1"/>
  <c r="I168" i="19" s="1"/>
  <c r="AO96" i="5"/>
  <c r="S166" i="19" s="1"/>
  <c r="AN96" i="5"/>
  <c r="S165" i="19" s="1"/>
  <c r="AL96" i="5"/>
  <c r="AC167" i="19" s="1"/>
  <c r="AJ96" i="5"/>
  <c r="AH96" i="5"/>
  <c r="AP92" i="5"/>
  <c r="S151" i="19" s="1"/>
  <c r="I152" i="19" s="1"/>
  <c r="AO92" i="5"/>
  <c r="S150" i="19" s="1"/>
  <c r="AN92" i="5"/>
  <c r="S149" i="19" s="1"/>
  <c r="AL92" i="5"/>
  <c r="AC151" i="19" s="1"/>
  <c r="AJ92" i="5"/>
  <c r="AH92" i="5"/>
  <c r="AP88" i="5"/>
  <c r="S135" i="19" s="1"/>
  <c r="I136" i="19" s="1"/>
  <c r="AO88" i="5"/>
  <c r="S134" i="19" s="1"/>
  <c r="AN88" i="5"/>
  <c r="S133" i="19" s="1"/>
  <c r="AL88" i="5"/>
  <c r="AC135" i="19" s="1"/>
  <c r="AJ88" i="5"/>
  <c r="AH88" i="5"/>
  <c r="AP84" i="5"/>
  <c r="S119" i="19" s="1"/>
  <c r="I120" i="19" s="1"/>
  <c r="AO84" i="5"/>
  <c r="S118" i="19" s="1"/>
  <c r="AN84" i="5"/>
  <c r="S117" i="19" s="1"/>
  <c r="AL84" i="5"/>
  <c r="AC119" i="19" s="1"/>
  <c r="AJ84" i="5"/>
  <c r="AH84" i="5"/>
  <c r="AP80" i="5"/>
  <c r="S103" i="19" s="1"/>
  <c r="I104" i="19" s="1"/>
  <c r="AO80" i="5"/>
  <c r="S102" i="19" s="1"/>
  <c r="AN80" i="5"/>
  <c r="S101" i="19" s="1"/>
  <c r="AL80" i="5"/>
  <c r="AC103" i="19" s="1"/>
  <c r="AJ80" i="5"/>
  <c r="AH80" i="5"/>
  <c r="AP76" i="5"/>
  <c r="S87" i="19" s="1"/>
  <c r="I88" i="19" s="1"/>
  <c r="AO76" i="5"/>
  <c r="S86" i="19" s="1"/>
  <c r="AN76" i="5"/>
  <c r="S85" i="19" s="1"/>
  <c r="AL76" i="5"/>
  <c r="AC87" i="19" s="1"/>
  <c r="AJ76" i="5"/>
  <c r="AH76" i="5"/>
  <c r="AP72" i="5"/>
  <c r="S71" i="19" s="1"/>
  <c r="I72" i="19" s="1"/>
  <c r="AO72" i="5"/>
  <c r="S70" i="19" s="1"/>
  <c r="AN72" i="5"/>
  <c r="S69" i="19" s="1"/>
  <c r="AL72" i="5"/>
  <c r="AC71" i="19" s="1"/>
  <c r="AJ72" i="5"/>
  <c r="AH72" i="5"/>
  <c r="AP68" i="5"/>
  <c r="S55" i="19" s="1"/>
  <c r="I56" i="19" s="1"/>
  <c r="AO68" i="5"/>
  <c r="S54" i="19" s="1"/>
  <c r="AN68" i="5"/>
  <c r="S53" i="19" s="1"/>
  <c r="AL68" i="5"/>
  <c r="AC55" i="19" s="1"/>
  <c r="AJ68" i="5"/>
  <c r="AH68" i="5"/>
  <c r="AQ64" i="5"/>
  <c r="AP64" i="5"/>
  <c r="S43" i="19" s="1"/>
  <c r="I44" i="19" s="1"/>
  <c r="AO64" i="5"/>
  <c r="S42" i="19" s="1"/>
  <c r="AN64" i="5"/>
  <c r="S41" i="19" s="1"/>
  <c r="AM64" i="5"/>
  <c r="AL64" i="5"/>
  <c r="AC43" i="19" s="1"/>
  <c r="AJ64" i="5"/>
  <c r="AH64" i="5"/>
  <c r="G64" i="5"/>
  <c r="AI120" i="5" s="1"/>
  <c r="AQ48" i="5"/>
  <c r="S48" i="18" s="1"/>
  <c r="AP48" i="5"/>
  <c r="S47" i="18" s="1"/>
  <c r="AO48" i="5"/>
  <c r="S46" i="18" s="1"/>
  <c r="AN48" i="5"/>
  <c r="S45" i="18" s="1"/>
  <c r="AM48" i="5"/>
  <c r="AB48" i="18" s="1"/>
  <c r="AL48" i="5"/>
  <c r="AB47" i="18" s="1"/>
  <c r="AK48" i="5"/>
  <c r="AB46" i="18" s="1"/>
  <c r="AJ48" i="5"/>
  <c r="AI48" i="5"/>
  <c r="AH48" i="5"/>
  <c r="AQ43" i="5"/>
  <c r="S46" i="13" s="1"/>
  <c r="I47" i="13" s="1"/>
  <c r="AP43" i="5"/>
  <c r="S45" i="13" s="1"/>
  <c r="AO43" i="5"/>
  <c r="S44" i="13" s="1"/>
  <c r="AN43" i="5"/>
  <c r="S43" i="13" s="1"/>
  <c r="AM43" i="5"/>
  <c r="AD46" i="13" s="1"/>
  <c r="AL43" i="5"/>
  <c r="AD45" i="13" s="1"/>
  <c r="AK43" i="5"/>
  <c r="AD44" i="13" s="1"/>
  <c r="AJ43" i="5"/>
  <c r="AD43" i="13" s="1"/>
  <c r="AI43" i="5"/>
  <c r="AH43" i="5"/>
  <c r="AQ38" i="5"/>
  <c r="S46" i="16" s="1"/>
  <c r="AP38" i="5"/>
  <c r="S45" i="16" s="1"/>
  <c r="AO38" i="5"/>
  <c r="S44" i="16" s="1"/>
  <c r="AN38" i="5"/>
  <c r="S43" i="16" s="1"/>
  <c r="AM38" i="5"/>
  <c r="AD46" i="16" s="1"/>
  <c r="AL38" i="5"/>
  <c r="AD45" i="16" s="1"/>
  <c r="AK38" i="5"/>
  <c r="AD44" i="16" s="1"/>
  <c r="AJ38" i="5"/>
  <c r="AI38" i="5"/>
  <c r="AH38" i="5"/>
  <c r="AQ33" i="5"/>
  <c r="S46" i="15" s="1"/>
  <c r="AP33" i="5"/>
  <c r="S45" i="15" s="1"/>
  <c r="AO33" i="5"/>
  <c r="S44" i="15" s="1"/>
  <c r="AN33" i="5"/>
  <c r="S43" i="15" s="1"/>
  <c r="AM33" i="5"/>
  <c r="AD46" i="15" s="1"/>
  <c r="AL33" i="5"/>
  <c r="AD45" i="15" s="1"/>
  <c r="AK33" i="5"/>
  <c r="AD44" i="15" s="1"/>
  <c r="AJ33" i="5"/>
  <c r="AI33" i="5"/>
  <c r="AH33" i="5"/>
  <c r="AQ28" i="5"/>
  <c r="U52" i="17" s="1"/>
  <c r="I53" i="17" s="1"/>
  <c r="J54" i="17" s="1"/>
  <c r="AP28" i="5"/>
  <c r="U51" i="17" s="1"/>
  <c r="AO28" i="5"/>
  <c r="U50" i="17" s="1"/>
  <c r="AN28" i="5"/>
  <c r="U49" i="17" s="1"/>
  <c r="AM28" i="5"/>
  <c r="AG52" i="17" s="1"/>
  <c r="AL28" i="5"/>
  <c r="AG51" i="17" s="1"/>
  <c r="AK28" i="5"/>
  <c r="AG50" i="17" s="1"/>
  <c r="AJ28" i="5"/>
  <c r="AI28" i="5"/>
  <c r="AH28" i="5"/>
  <c r="AQ23" i="5"/>
  <c r="L22" i="58" s="1"/>
  <c r="F23" i="58" s="1"/>
  <c r="AP23" i="5"/>
  <c r="AO23" i="5"/>
  <c r="L20" i="58" s="1"/>
  <c r="AN23" i="5"/>
  <c r="L19" i="58" s="1"/>
  <c r="AM23" i="5"/>
  <c r="AL23" i="5"/>
  <c r="O21" i="58" s="1"/>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63" i="3"/>
  <c r="M63" i="3" a="1"/>
  <c r="M63" i="3"/>
  <c r="E63" i="3"/>
  <c r="O62" i="3"/>
  <c r="M62" i="3" a="1"/>
  <c r="M62" i="3"/>
  <c r="E62" i="3"/>
  <c r="G61" i="3"/>
  <c r="N124" i="5" s="1"/>
  <c r="AK124" i="5" s="1"/>
  <c r="AC278" i="19" s="1"/>
  <c r="E61" i="3"/>
  <c r="O59" i="3"/>
  <c r="M59" i="3" a="1"/>
  <c r="M59" i="3"/>
  <c r="E59" i="3"/>
  <c r="G58" i="3"/>
  <c r="N120" i="5" s="1"/>
  <c r="AK120" i="5" s="1"/>
  <c r="AC262" i="19" s="1"/>
  <c r="E58" i="3"/>
  <c r="O56" i="3"/>
  <c r="M56" i="3" a="1"/>
  <c r="M56" i="3"/>
  <c r="E56" i="3"/>
  <c r="G55" i="3"/>
  <c r="N96" i="5" s="1"/>
  <c r="AK96" i="5" s="1"/>
  <c r="AC166" i="19" s="1"/>
  <c r="E55" i="3"/>
  <c r="O53" i="3"/>
  <c r="M53" i="3" a="1"/>
  <c r="M53" i="3"/>
  <c r="E53" i="3"/>
  <c r="G52" i="3"/>
  <c r="N88" i="5" s="1"/>
  <c r="AK88" i="5" s="1"/>
  <c r="AC134" i="19" s="1"/>
  <c r="E52" i="3"/>
  <c r="O50" i="3"/>
  <c r="M50" i="3" a="1"/>
  <c r="M50" i="3"/>
  <c r="E50" i="3"/>
  <c r="G49" i="3"/>
  <c r="N80" i="5" s="1"/>
  <c r="AK80" i="5" s="1"/>
  <c r="AC102" i="19" s="1"/>
  <c r="E49" i="3"/>
  <c r="O47" i="3"/>
  <c r="M47" i="3" a="1"/>
  <c r="M47" i="3"/>
  <c r="E47" i="3"/>
  <c r="G46" i="3"/>
  <c r="N72" i="5" s="1"/>
  <c r="AK72" i="5" s="1"/>
  <c r="AC70" i="19" s="1"/>
  <c r="E46" i="3"/>
  <c r="O44" i="3"/>
  <c r="M44" i="3" a="1"/>
  <c r="M44" i="3"/>
  <c r="E44" i="3"/>
  <c r="G43" i="3"/>
  <c r="N64" i="5" s="1"/>
  <c r="AK64" i="5" s="1"/>
  <c r="AC42" i="19" s="1"/>
  <c r="E43" i="3"/>
  <c r="O41" i="3"/>
  <c r="M41" i="3" a="1"/>
  <c r="M41" i="3"/>
  <c r="E41" i="3"/>
  <c r="O40" i="3"/>
  <c r="M40" i="3" a="1"/>
  <c r="M40" i="3"/>
  <c r="E40" i="3"/>
  <c r="O39" i="3"/>
  <c r="M39" i="3" a="1"/>
  <c r="M39" i="3"/>
  <c r="E39" i="3"/>
  <c r="O38" i="3"/>
  <c r="M38" i="3" a="1"/>
  <c r="M38" i="3"/>
  <c r="E38" i="3"/>
  <c r="O37" i="3"/>
  <c r="M37" i="3" a="1"/>
  <c r="M37" i="3"/>
  <c r="E37" i="3"/>
  <c r="O36" i="3"/>
  <c r="M36" i="3" a="1"/>
  <c r="M36" i="3"/>
  <c r="E36" i="3"/>
  <c r="O35" i="3"/>
  <c r="M35" i="3" a="1"/>
  <c r="M35" i="3"/>
  <c r="E35" i="3"/>
  <c r="O34" i="3"/>
  <c r="M34" i="3" a="1"/>
  <c r="M34" i="3"/>
  <c r="E34" i="3"/>
  <c r="O33" i="3"/>
  <c r="M33" i="3" a="1"/>
  <c r="M33" i="3"/>
  <c r="E33" i="3"/>
  <c r="O32" i="3"/>
  <c r="M32" i="3" a="1"/>
  <c r="M32" i="3"/>
  <c r="E32" i="3"/>
  <c r="O31" i="3"/>
  <c r="M31" i="3" a="1"/>
  <c r="M31" i="3"/>
  <c r="E31" i="3"/>
  <c r="O30" i="3"/>
  <c r="M30" i="3" a="1"/>
  <c r="M30" i="3"/>
  <c r="E30" i="3"/>
  <c r="O29" i="3"/>
  <c r="M29" i="3" a="1"/>
  <c r="M29" i="3"/>
  <c r="E29" i="3"/>
  <c r="O28" i="3"/>
  <c r="M28" i="3" a="1"/>
  <c r="M28" i="3"/>
  <c r="E28" i="3"/>
  <c r="O27" i="3"/>
  <c r="M27" i="3" a="1"/>
  <c r="M27" i="3"/>
  <c r="E27" i="3"/>
  <c r="O26" i="3"/>
  <c r="M26" i="3" a="1"/>
  <c r="M26" i="3"/>
  <c r="E26" i="3"/>
  <c r="O25" i="3"/>
  <c r="M25" i="3" a="1"/>
  <c r="M25" i="3"/>
  <c r="E25" i="3"/>
  <c r="O24" i="3"/>
  <c r="M24" i="3" a="1"/>
  <c r="M24" i="3"/>
  <c r="E24" i="3"/>
  <c r="O23" i="3"/>
  <c r="M23" i="3" a="1"/>
  <c r="M23" i="3"/>
  <c r="E23" i="3"/>
  <c r="O22" i="3"/>
  <c r="M22" i="3" a="1"/>
  <c r="M22" i="3"/>
  <c r="E22" i="3"/>
  <c r="O21" i="3"/>
  <c r="M21" i="3" a="1"/>
  <c r="M21" i="3"/>
  <c r="E21" i="3"/>
  <c r="O20" i="3"/>
  <c r="M20" i="3" a="1"/>
  <c r="M20" i="3"/>
  <c r="E20" i="3"/>
  <c r="O19" i="3"/>
  <c r="M19" i="3" a="1"/>
  <c r="M19" i="3"/>
  <c r="E19" i="3"/>
  <c r="O18" i="3"/>
  <c r="M18" i="3" a="1"/>
  <c r="M18" i="3"/>
  <c r="E18" i="3"/>
  <c r="O17" i="3"/>
  <c r="M17" i="3" a="1"/>
  <c r="M17" i="3"/>
  <c r="E17" i="3"/>
  <c r="O16" i="3"/>
  <c r="M16" i="3" a="1"/>
  <c r="M16" i="3"/>
  <c r="E16" i="3"/>
  <c r="O15" i="3"/>
  <c r="M15" i="3" a="1"/>
  <c r="M15" i="3"/>
  <c r="E15" i="3"/>
  <c r="O14" i="3"/>
  <c r="M14" i="3" a="1"/>
  <c r="M14" i="3"/>
  <c r="E14" i="3"/>
  <c r="O13" i="3"/>
  <c r="M13" i="3" a="1"/>
  <c r="M13" i="3"/>
  <c r="E13" i="3"/>
  <c r="E12" i="3"/>
  <c r="G12" i="3" s="1"/>
  <c r="N68" i="5" s="1"/>
  <c r="AK68" i="5" s="1"/>
  <c r="AC54" i="19" s="1"/>
  <c r="E4" i="3"/>
  <c r="E59" i="2"/>
  <c r="E49" i="2"/>
  <c r="E41" i="2"/>
  <c r="E27" i="2"/>
  <c r="E26" i="2"/>
  <c r="F25" i="2"/>
  <c r="E22" i="2"/>
  <c r="E21" i="2"/>
  <c r="F20" i="2"/>
  <c r="E19" i="2"/>
  <c r="E3" i="2"/>
  <c r="E2" i="2"/>
  <c r="L23" i="61"/>
  <c r="L21" i="61"/>
  <c r="L19" i="61"/>
  <c r="Y25" i="60"/>
  <c r="Y25" i="59"/>
  <c r="Y25" i="58"/>
  <c r="L22" i="61"/>
  <c r="P11" i="51"/>
  <c r="M10" i="50"/>
  <c r="K9" i="49"/>
  <c r="Y23" i="61"/>
  <c r="L20" i="61"/>
  <c r="M2" i="50"/>
  <c r="P2" i="51"/>
  <c r="K2" i="49"/>
  <c r="AL46" i="28"/>
  <c r="AL7" i="27"/>
  <c r="AL46" i="25"/>
  <c r="AL7" i="24"/>
  <c r="AL46" i="22"/>
  <c r="AL7" i="28"/>
  <c r="AL46" i="27"/>
  <c r="AL7" i="25"/>
  <c r="AL46" i="24"/>
  <c r="AL7" i="22"/>
  <c r="AL46" i="21"/>
  <c r="AL46" i="20"/>
  <c r="CW286" i="19"/>
  <c r="CW282" i="19"/>
  <c r="CW270" i="19"/>
  <c r="CW266" i="19"/>
  <c r="CW254" i="19"/>
  <c r="CW250" i="19"/>
  <c r="CW238" i="19"/>
  <c r="CW234" i="19"/>
  <c r="CW222" i="19"/>
  <c r="CW218" i="19"/>
  <c r="CW206" i="19"/>
  <c r="CW202" i="19"/>
  <c r="CW190" i="19"/>
  <c r="CW186" i="19"/>
  <c r="CW174" i="19"/>
  <c r="CW170" i="19"/>
  <c r="CW158" i="19"/>
  <c r="CW154" i="19"/>
  <c r="CW142" i="19"/>
  <c r="CW138" i="19"/>
  <c r="CW126" i="19"/>
  <c r="CW122" i="19"/>
  <c r="CW110" i="19"/>
  <c r="CW106" i="19"/>
  <c r="CW94" i="19"/>
  <c r="CW90" i="19"/>
  <c r="CW78" i="19"/>
  <c r="CW74" i="19"/>
  <c r="CW62" i="19"/>
  <c r="CW58" i="19"/>
  <c r="CW46" i="19"/>
  <c r="CW7" i="19"/>
  <c r="AV51" i="18"/>
  <c r="AV8" i="18"/>
  <c r="AR8" i="17"/>
  <c r="AN8" i="16"/>
  <c r="AN8" i="15"/>
  <c r="AN8" i="14"/>
  <c r="AR55" i="17"/>
  <c r="AN49" i="16"/>
  <c r="AN49" i="14"/>
  <c r="AN49" i="12"/>
  <c r="AN8" i="12"/>
  <c r="AN8" i="11"/>
  <c r="J13" i="3"/>
  <c r="AL7" i="21"/>
  <c r="AL7" i="20"/>
  <c r="AR56" i="17"/>
  <c r="AN49" i="15"/>
  <c r="AN49" i="13"/>
  <c r="AN8" i="13"/>
  <c r="AN49" i="11"/>
  <c r="I10" i="45" l="1"/>
  <c r="H10" i="40"/>
  <c r="I27" i="35"/>
  <c r="I11" i="33"/>
  <c r="I11" i="32"/>
  <c r="H15" i="31"/>
  <c r="I8" i="34"/>
  <c r="I26" i="30"/>
  <c r="J48" i="11"/>
  <c r="S47" i="11"/>
  <c r="J48" i="12"/>
  <c r="S47" i="12"/>
  <c r="K55" i="17"/>
  <c r="U54" i="17"/>
  <c r="J48" i="15"/>
  <c r="I47" i="15"/>
  <c r="J48" i="16"/>
  <c r="I47" i="16"/>
  <c r="J48" i="13"/>
  <c r="S47" i="13"/>
  <c r="K51" i="18"/>
  <c r="S51" i="18" s="1"/>
  <c r="J50" i="18"/>
  <c r="I49" i="18"/>
  <c r="J45" i="19"/>
  <c r="S44" i="19"/>
  <c r="D35" i="7"/>
  <c r="D33" i="7"/>
  <c r="D36" i="7"/>
  <c r="D37" i="7" s="1"/>
  <c r="D38" i="7" s="1"/>
  <c r="D34" i="7"/>
  <c r="J63" i="19"/>
  <c r="J62" i="19"/>
  <c r="J57" i="19"/>
  <c r="S56" i="19"/>
  <c r="J64" i="19"/>
  <c r="J61" i="19"/>
  <c r="J79" i="19"/>
  <c r="J78" i="19"/>
  <c r="J73" i="19"/>
  <c r="S72" i="19"/>
  <c r="J80" i="19"/>
  <c r="J77" i="19"/>
  <c r="J95" i="19"/>
  <c r="J94" i="19"/>
  <c r="J89" i="19"/>
  <c r="S88" i="19"/>
  <c r="J96" i="19"/>
  <c r="J93" i="19"/>
  <c r="J111" i="19"/>
  <c r="J110" i="19"/>
  <c r="J105" i="19"/>
  <c r="S104" i="19"/>
  <c r="J112" i="19"/>
  <c r="J109" i="19"/>
  <c r="J127" i="19"/>
  <c r="J126" i="19"/>
  <c r="J121" i="19"/>
  <c r="S120" i="19"/>
  <c r="J128" i="19"/>
  <c r="J125" i="19"/>
  <c r="J143" i="19"/>
  <c r="J142" i="19"/>
  <c r="J137" i="19"/>
  <c r="S136" i="19"/>
  <c r="J144" i="19"/>
  <c r="J141" i="19"/>
  <c r="J159" i="19"/>
  <c r="J158" i="19"/>
  <c r="J153" i="19"/>
  <c r="S152" i="19"/>
  <c r="J160" i="19"/>
  <c r="J157" i="19"/>
  <c r="J175" i="19"/>
  <c r="J174" i="19"/>
  <c r="J169" i="19"/>
  <c r="S168" i="19"/>
  <c r="J176" i="19"/>
  <c r="J173" i="19"/>
  <c r="J191" i="19"/>
  <c r="J190" i="19"/>
  <c r="J185" i="19"/>
  <c r="S184" i="19"/>
  <c r="J192" i="19"/>
  <c r="J189" i="19"/>
  <c r="J207" i="19"/>
  <c r="J206" i="19"/>
  <c r="J201" i="19"/>
  <c r="S200" i="19"/>
  <c r="J208" i="19"/>
  <c r="J205" i="19"/>
  <c r="J223" i="19"/>
  <c r="J222" i="19"/>
  <c r="J217" i="19"/>
  <c r="S216" i="19"/>
  <c r="J224" i="19"/>
  <c r="J221" i="19"/>
  <c r="J239" i="19"/>
  <c r="J238" i="19"/>
  <c r="J233" i="19"/>
  <c r="S232" i="19"/>
  <c r="J240" i="19"/>
  <c r="J237" i="19"/>
  <c r="J255" i="19"/>
  <c r="J254" i="19"/>
  <c r="J249" i="19"/>
  <c r="S248" i="19"/>
  <c r="J256" i="19"/>
  <c r="J253" i="19"/>
  <c r="J271" i="19"/>
  <c r="J270" i="19"/>
  <c r="J265" i="19"/>
  <c r="S264" i="19"/>
  <c r="J272" i="19"/>
  <c r="J269" i="19"/>
  <c r="J287" i="19"/>
  <c r="J286" i="19"/>
  <c r="J281" i="19"/>
  <c r="S280" i="19"/>
  <c r="J288" i="19"/>
  <c r="J285" i="19"/>
  <c r="J7" i="11"/>
  <c r="S6" i="11"/>
  <c r="K8" i="14"/>
  <c r="S8" i="14" s="1"/>
  <c r="S7" i="14"/>
  <c r="K8" i="15"/>
  <c r="S8" i="15" s="1"/>
  <c r="S7" i="15"/>
  <c r="K8" i="16"/>
  <c r="S8" i="16" s="1"/>
  <c r="S7" i="16"/>
  <c r="K8" i="17"/>
  <c r="U7" i="17"/>
  <c r="F378" i="43"/>
  <c r="F202" i="43"/>
  <c r="F24" i="43"/>
  <c r="F290" i="43"/>
  <c r="F114" i="43"/>
  <c r="F293" i="43"/>
  <c r="F117" i="43"/>
  <c r="F381" i="43"/>
  <c r="F205" i="43"/>
  <c r="F27" i="43"/>
  <c r="G381" i="43"/>
  <c r="G293" i="43"/>
  <c r="G205" i="43"/>
  <c r="G27" i="43"/>
  <c r="G117" i="43"/>
  <c r="F296" i="43"/>
  <c r="F384" i="43"/>
  <c r="F120" i="43"/>
  <c r="F208" i="43"/>
  <c r="F30" i="43"/>
  <c r="O19" i="58"/>
  <c r="G384" i="43"/>
  <c r="G208" i="43"/>
  <c r="G30" i="43"/>
  <c r="G296" i="43"/>
  <c r="G120" i="43"/>
  <c r="AD43" i="14"/>
  <c r="L21" i="58"/>
  <c r="S45" i="14"/>
  <c r="F302" i="43"/>
  <c r="F390" i="43"/>
  <c r="F126" i="43"/>
  <c r="F214" i="43"/>
  <c r="F36" i="43"/>
  <c r="G390" i="43"/>
  <c r="G214" i="43"/>
  <c r="G36" i="43"/>
  <c r="G302" i="43"/>
  <c r="G126" i="43"/>
  <c r="AD43" i="15"/>
  <c r="F305" i="43"/>
  <c r="F129" i="43"/>
  <c r="F393" i="43"/>
  <c r="F217" i="43"/>
  <c r="F39" i="43"/>
  <c r="G393" i="43"/>
  <c r="G305" i="43"/>
  <c r="G217" i="43"/>
  <c r="G39" i="43"/>
  <c r="G129" i="43"/>
  <c r="AD43" i="16"/>
  <c r="F308" i="43"/>
  <c r="F396" i="43"/>
  <c r="F132" i="43"/>
  <c r="F220" i="43"/>
  <c r="F42" i="43"/>
  <c r="G406" i="43"/>
  <c r="G318" i="43"/>
  <c r="G230" i="43"/>
  <c r="G52" i="43"/>
  <c r="G142" i="43"/>
  <c r="AC69" i="19"/>
  <c r="G410" i="43"/>
  <c r="G234" i="43"/>
  <c r="G56" i="43"/>
  <c r="G322" i="43"/>
  <c r="G146" i="43"/>
  <c r="AC101" i="19"/>
  <c r="N84" i="5"/>
  <c r="AK84" i="5" s="1"/>
  <c r="AC118" i="19" s="1"/>
  <c r="AI84" i="5"/>
  <c r="G414" i="43"/>
  <c r="G326" i="43"/>
  <c r="G238" i="43"/>
  <c r="G60" i="43"/>
  <c r="G150" i="43"/>
  <c r="AC133" i="19"/>
  <c r="N100" i="5"/>
  <c r="AK100" i="5" s="1"/>
  <c r="AC182" i="19" s="1"/>
  <c r="AI100" i="5"/>
  <c r="G430" i="43"/>
  <c r="G342" i="43"/>
  <c r="G254" i="43"/>
  <c r="G76" i="43"/>
  <c r="G166" i="43"/>
  <c r="AC261" i="19"/>
  <c r="AC42" i="28"/>
  <c r="AC42" i="27"/>
  <c r="S42" i="27"/>
  <c r="S42" i="28"/>
  <c r="J7" i="12"/>
  <c r="S6" i="12"/>
  <c r="S43" i="14"/>
  <c r="K8" i="18"/>
  <c r="S8" i="18" s="1"/>
  <c r="J7" i="18"/>
  <c r="I6" i="18"/>
  <c r="J6" i="19"/>
  <c r="S5" i="19"/>
  <c r="K7" i="20"/>
  <c r="S7" i="20" s="1"/>
  <c r="S6" i="20"/>
  <c r="K7" i="21"/>
  <c r="S7" i="21" s="1"/>
  <c r="S6" i="21"/>
  <c r="K7" i="22"/>
  <c r="S7" i="22" s="1"/>
  <c r="S6" i="22"/>
  <c r="K7" i="24"/>
  <c r="S7" i="24" s="1"/>
  <c r="S6" i="24"/>
  <c r="K7" i="27"/>
  <c r="S7" i="27" s="1"/>
  <c r="S6" i="27"/>
  <c r="G378" i="43"/>
  <c r="G290" i="43"/>
  <c r="G114" i="43"/>
  <c r="G5" i="43"/>
  <c r="G2" i="43"/>
  <c r="G202" i="43"/>
  <c r="G24" i="43"/>
  <c r="F299" i="43"/>
  <c r="F123" i="43"/>
  <c r="F387" i="43"/>
  <c r="F211" i="43"/>
  <c r="F33" i="43"/>
  <c r="G387" i="43"/>
  <c r="G299" i="43"/>
  <c r="G211" i="43"/>
  <c r="G33" i="43"/>
  <c r="G123" i="43"/>
  <c r="AG49" i="17"/>
  <c r="G396" i="43"/>
  <c r="G220" i="43"/>
  <c r="G42" i="43"/>
  <c r="G308" i="43"/>
  <c r="G132" i="43"/>
  <c r="F311" i="43"/>
  <c r="F135" i="43"/>
  <c r="F399" i="43"/>
  <c r="F223" i="43"/>
  <c r="F45" i="43"/>
  <c r="G399" i="43"/>
  <c r="G311" i="43"/>
  <c r="G223" i="43"/>
  <c r="G45" i="43"/>
  <c r="G135" i="43"/>
  <c r="AB45" i="18"/>
  <c r="F314" i="43"/>
  <c r="F402" i="43"/>
  <c r="F138" i="43"/>
  <c r="F226" i="43"/>
  <c r="F48" i="43"/>
  <c r="G402" i="43"/>
  <c r="G226" i="43"/>
  <c r="G48" i="43"/>
  <c r="G314" i="43"/>
  <c r="G138" i="43"/>
  <c r="AC41" i="19"/>
  <c r="AI68" i="5"/>
  <c r="N76" i="5"/>
  <c r="AK76" i="5" s="1"/>
  <c r="AC86" i="19" s="1"/>
  <c r="AI76" i="5"/>
  <c r="N92" i="5"/>
  <c r="AK92" i="5" s="1"/>
  <c r="AC150" i="19" s="1"/>
  <c r="AI92" i="5"/>
  <c r="G418" i="43"/>
  <c r="G242" i="43"/>
  <c r="G64" i="43"/>
  <c r="G330" i="43"/>
  <c r="G154" i="43"/>
  <c r="AC165" i="19"/>
  <c r="G422" i="43"/>
  <c r="G334" i="43"/>
  <c r="G246" i="43"/>
  <c r="G68" i="43"/>
  <c r="G158" i="43"/>
  <c r="AC197" i="19"/>
  <c r="N108" i="5"/>
  <c r="AK108" i="5" s="1"/>
  <c r="AC214" i="19" s="1"/>
  <c r="AI108" i="5"/>
  <c r="G426" i="43"/>
  <c r="G250" i="43"/>
  <c r="G72" i="43"/>
  <c r="G338" i="43"/>
  <c r="G162" i="43"/>
  <c r="AC229" i="19"/>
  <c r="N116" i="5"/>
  <c r="AK116" i="5" s="1"/>
  <c r="AC246" i="19" s="1"/>
  <c r="AI116" i="5"/>
  <c r="AI124" i="5"/>
  <c r="I9" i="45"/>
  <c r="H9" i="40"/>
  <c r="I26" i="35"/>
  <c r="I10" i="33"/>
  <c r="I10" i="32"/>
  <c r="I7" i="34"/>
  <c r="H14" i="31"/>
  <c r="I25" i="30"/>
  <c r="I11" i="45"/>
  <c r="H11" i="40"/>
  <c r="I28" i="35"/>
  <c r="I12" i="33"/>
  <c r="I12" i="32"/>
  <c r="I9" i="34"/>
  <c r="H16" i="31"/>
  <c r="I27" i="30"/>
  <c r="O20" i="58"/>
  <c r="AD44" i="14"/>
  <c r="O22" i="58"/>
  <c r="AD46" i="14"/>
  <c r="G24" i="58"/>
  <c r="L23" i="58"/>
  <c r="AI64" i="5"/>
  <c r="G316" i="43"/>
  <c r="G140" i="43"/>
  <c r="G404" i="43"/>
  <c r="G228" i="43"/>
  <c r="G50" i="43"/>
  <c r="AC53" i="19"/>
  <c r="AI72" i="5"/>
  <c r="G320" i="43"/>
  <c r="G408" i="43"/>
  <c r="G144" i="43"/>
  <c r="G232" i="43"/>
  <c r="G54" i="43"/>
  <c r="AC85" i="19"/>
  <c r="AI80" i="5"/>
  <c r="G324" i="43"/>
  <c r="G148" i="43"/>
  <c r="G412" i="43"/>
  <c r="G236" i="43"/>
  <c r="G58" i="43"/>
  <c r="AC117" i="19"/>
  <c r="AI88" i="5"/>
  <c r="G328" i="43"/>
  <c r="G416" i="43"/>
  <c r="G152" i="43"/>
  <c r="G240" i="43"/>
  <c r="G62" i="43"/>
  <c r="AC149" i="19"/>
  <c r="AI96" i="5"/>
  <c r="G332" i="43"/>
  <c r="G156" i="43"/>
  <c r="G420" i="43"/>
  <c r="G244" i="43"/>
  <c r="G66" i="43"/>
  <c r="AC181" i="19"/>
  <c r="N104" i="5"/>
  <c r="AK104" i="5" s="1"/>
  <c r="AC198" i="19" s="1"/>
  <c r="AI104" i="5"/>
  <c r="G336" i="43"/>
  <c r="G424" i="43"/>
  <c r="G160" i="43"/>
  <c r="G248" i="43"/>
  <c r="G70" i="43"/>
  <c r="AC213" i="19"/>
  <c r="N112" i="5"/>
  <c r="AK112" i="5" s="1"/>
  <c r="AC230" i="19" s="1"/>
  <c r="AI112" i="5"/>
  <c r="G340" i="43"/>
  <c r="G164" i="43"/>
  <c r="G428" i="43"/>
  <c r="G252" i="43"/>
  <c r="G74" i="43"/>
  <c r="AC245" i="19"/>
  <c r="G344" i="43"/>
  <c r="G432" i="43"/>
  <c r="G168" i="43"/>
  <c r="G256" i="43"/>
  <c r="G78" i="43"/>
  <c r="AC277" i="19"/>
  <c r="F435" i="43"/>
  <c r="F259" i="43"/>
  <c r="F81" i="43"/>
  <c r="F347" i="43"/>
  <c r="F171" i="43"/>
  <c r="G347" i="43"/>
  <c r="G171" i="43"/>
  <c r="G435" i="43"/>
  <c r="G259" i="43"/>
  <c r="G81" i="43"/>
  <c r="J45" i="20"/>
  <c r="S44" i="20"/>
  <c r="F438" i="43"/>
  <c r="F350" i="43"/>
  <c r="F262" i="43"/>
  <c r="F84" i="43"/>
  <c r="F174" i="43"/>
  <c r="G350" i="43"/>
  <c r="G438" i="43"/>
  <c r="G174" i="43"/>
  <c r="G262" i="43"/>
  <c r="G84" i="43"/>
  <c r="AC41" i="21"/>
  <c r="J45" i="21"/>
  <c r="S44" i="21"/>
  <c r="F441" i="43"/>
  <c r="F265" i="43"/>
  <c r="F87" i="43"/>
  <c r="F353" i="43"/>
  <c r="F177" i="43"/>
  <c r="G353" i="43"/>
  <c r="G177" i="43"/>
  <c r="G441" i="43"/>
  <c r="G265" i="43"/>
  <c r="AC41" i="22"/>
  <c r="G87" i="43"/>
  <c r="J45" i="22"/>
  <c r="S44" i="22"/>
  <c r="F444" i="43"/>
  <c r="F356" i="43"/>
  <c r="F268" i="43"/>
  <c r="F90" i="43"/>
  <c r="F180" i="43"/>
  <c r="G356" i="43"/>
  <c r="G444" i="43"/>
  <c r="G180" i="43"/>
  <c r="G268" i="43"/>
  <c r="G90" i="43"/>
  <c r="AD46" i="23"/>
  <c r="F447" i="43"/>
  <c r="F271" i="43"/>
  <c r="F93" i="43"/>
  <c r="F359" i="43"/>
  <c r="F183" i="43"/>
  <c r="G359" i="43"/>
  <c r="G183" i="43"/>
  <c r="G447" i="43"/>
  <c r="G271" i="43"/>
  <c r="AC41" i="28"/>
  <c r="G93" i="43"/>
  <c r="AC41" i="27"/>
  <c r="AC43" i="27"/>
  <c r="AC43" i="28"/>
  <c r="S41" i="27"/>
  <c r="S41" i="28"/>
  <c r="S43" i="28"/>
  <c r="I44" i="28" s="1"/>
  <c r="S43" i="27"/>
  <c r="I44" i="27" s="1"/>
  <c r="F450" i="43"/>
  <c r="F362" i="43"/>
  <c r="F274" i="43"/>
  <c r="F96" i="43"/>
  <c r="F186" i="43"/>
  <c r="G362" i="43"/>
  <c r="G450" i="43"/>
  <c r="G186" i="43"/>
  <c r="G274" i="43"/>
  <c r="G96" i="43"/>
  <c r="F453" i="43"/>
  <c r="F277" i="43"/>
  <c r="F99" i="43"/>
  <c r="F365" i="43"/>
  <c r="F189" i="43"/>
  <c r="G365" i="43"/>
  <c r="G189" i="43"/>
  <c r="G453" i="43"/>
  <c r="G277" i="43"/>
  <c r="G99" i="43"/>
  <c r="AD46" i="29"/>
  <c r="F456" i="43"/>
  <c r="F368" i="43"/>
  <c r="F280" i="43"/>
  <c r="F102" i="43"/>
  <c r="F192" i="43"/>
  <c r="G368" i="43"/>
  <c r="G456" i="43"/>
  <c r="G192" i="43"/>
  <c r="G280" i="43"/>
  <c r="G102" i="43"/>
  <c r="AC41" i="24"/>
  <c r="J45" i="24"/>
  <c r="S44" i="24"/>
  <c r="F459" i="43"/>
  <c r="F283" i="43"/>
  <c r="F105" i="43"/>
  <c r="F371" i="43"/>
  <c r="F195" i="43"/>
  <c r="G371" i="43"/>
  <c r="G195" i="43"/>
  <c r="G459" i="43"/>
  <c r="G283" i="43"/>
  <c r="AC41" i="25"/>
  <c r="G105" i="43"/>
  <c r="J45" i="25"/>
  <c r="S44" i="25"/>
  <c r="F462" i="43"/>
  <c r="F374" i="43"/>
  <c r="F286" i="43"/>
  <c r="F108" i="43"/>
  <c r="F198" i="43"/>
  <c r="G374" i="43"/>
  <c r="G462" i="43"/>
  <c r="G198" i="43"/>
  <c r="G286" i="43"/>
  <c r="G108" i="43"/>
  <c r="AD46" i="26"/>
  <c r="AD43" i="11"/>
  <c r="AD43" i="12"/>
  <c r="J7" i="13"/>
  <c r="S6" i="13"/>
  <c r="S44" i="14"/>
  <c r="AD45" i="14"/>
  <c r="S46" i="14"/>
  <c r="J6" i="25"/>
  <c r="S5" i="25"/>
  <c r="J6" i="28"/>
  <c r="S5" i="28"/>
  <c r="S5" i="22"/>
  <c r="S5" i="24"/>
  <c r="S5" i="27"/>
  <c r="I38" i="38"/>
  <c r="H25" i="59"/>
  <c r="L25" i="59" s="1"/>
  <c r="L24" i="59"/>
  <c r="AA16" i="57"/>
  <c r="N16" i="57" s="1"/>
  <c r="I21" i="40" s="1"/>
  <c r="AA15" i="57"/>
  <c r="N15" i="57" s="1"/>
  <c r="I19" i="40" s="1"/>
  <c r="U14" i="57"/>
  <c r="M14" i="57" s="1"/>
  <c r="E18" i="40" s="1"/>
  <c r="AA12" i="57"/>
  <c r="N12" i="57" s="1"/>
  <c r="I16" i="40" s="1"/>
  <c r="E32" i="56"/>
  <c r="C32" i="56" s="1"/>
  <c r="E30" i="56"/>
  <c r="C30" i="56" s="1"/>
  <c r="D14" i="42" s="1"/>
  <c r="E29" i="56"/>
  <c r="C29" i="56" s="1"/>
  <c r="D5" i="44" s="1"/>
  <c r="E6" i="56"/>
  <c r="C6" i="56" s="1"/>
  <c r="E21" i="30" s="1"/>
  <c r="E5" i="56"/>
  <c r="C5" i="56" s="1"/>
  <c r="D5" i="41" s="1"/>
  <c r="E3" i="56"/>
  <c r="C3" i="56" s="1"/>
  <c r="D5" i="40" s="1"/>
  <c r="J52" i="55"/>
  <c r="J45" i="55" s="1"/>
  <c r="E5" i="2" s="1"/>
  <c r="J51" i="55"/>
  <c r="J50" i="55"/>
  <c r="J49" i="55"/>
  <c r="O9" i="51"/>
  <c r="G8" i="50"/>
  <c r="D5" i="48"/>
  <c r="E10" i="44"/>
  <c r="M378" i="43"/>
  <c r="U148" i="57"/>
  <c r="M148" i="57" s="1"/>
  <c r="E12" i="41" s="1"/>
  <c r="AA11" i="57"/>
  <c r="N11" i="57" s="1"/>
  <c r="I15" i="40" s="1"/>
  <c r="AA13" i="57"/>
  <c r="N13" i="57" s="1"/>
  <c r="I17" i="40" s="1"/>
  <c r="H25" i="60"/>
  <c r="L25" i="60" s="1"/>
  <c r="L24" i="60"/>
  <c r="E4" i="56"/>
  <c r="C4" i="56" s="1"/>
  <c r="D4" i="7" s="1"/>
  <c r="L23" i="59"/>
  <c r="L23" i="60"/>
  <c r="F5" i="39" l="1"/>
  <c r="F5" i="38"/>
  <c r="F5" i="37"/>
  <c r="F5" i="36"/>
  <c r="K7" i="28"/>
  <c r="S7" i="28" s="1"/>
  <c r="S6" i="28"/>
  <c r="K7" i="25"/>
  <c r="S7" i="25" s="1"/>
  <c r="S6" i="25"/>
  <c r="K46" i="25"/>
  <c r="S46" i="25" s="1"/>
  <c r="S45" i="25"/>
  <c r="J45" i="27"/>
  <c r="S44" i="27"/>
  <c r="K46" i="22"/>
  <c r="S46" i="22" s="1"/>
  <c r="S45" i="22"/>
  <c r="K46" i="20"/>
  <c r="S46" i="20" s="1"/>
  <c r="S45" i="20"/>
  <c r="K7" i="19"/>
  <c r="S7" i="19" s="1"/>
  <c r="S6" i="19"/>
  <c r="K8" i="12"/>
  <c r="S8" i="12" s="1"/>
  <c r="S7" i="12"/>
  <c r="L9" i="17"/>
  <c r="U9" i="17" s="1"/>
  <c r="U8" i="17"/>
  <c r="K8" i="11"/>
  <c r="S8" i="11" s="1"/>
  <c r="S7" i="11"/>
  <c r="K282" i="19"/>
  <c r="S282" i="19" s="1"/>
  <c r="S281" i="19"/>
  <c r="K266" i="19"/>
  <c r="S266" i="19" s="1"/>
  <c r="S265" i="19"/>
  <c r="K250" i="19"/>
  <c r="S250" i="19" s="1"/>
  <c r="S249" i="19"/>
  <c r="K234" i="19"/>
  <c r="S234" i="19" s="1"/>
  <c r="S233" i="19"/>
  <c r="K218" i="19"/>
  <c r="S218" i="19" s="1"/>
  <c r="S217" i="19"/>
  <c r="K202" i="19"/>
  <c r="S202" i="19" s="1"/>
  <c r="S201" i="19"/>
  <c r="K186" i="19"/>
  <c r="S186" i="19" s="1"/>
  <c r="S185" i="19"/>
  <c r="K170" i="19"/>
  <c r="S170" i="19" s="1"/>
  <c r="S169" i="19"/>
  <c r="K154" i="19"/>
  <c r="S154" i="19" s="1"/>
  <c r="S153" i="19"/>
  <c r="K138" i="19"/>
  <c r="S138" i="19" s="1"/>
  <c r="S137" i="19"/>
  <c r="K122" i="19"/>
  <c r="S122" i="19" s="1"/>
  <c r="S121" i="19"/>
  <c r="K106" i="19"/>
  <c r="S106" i="19" s="1"/>
  <c r="S105" i="19"/>
  <c r="K90" i="19"/>
  <c r="S90" i="19" s="1"/>
  <c r="S89" i="19"/>
  <c r="K74" i="19"/>
  <c r="S74" i="19" s="1"/>
  <c r="S73" i="19"/>
  <c r="K58" i="19"/>
  <c r="S58" i="19" s="1"/>
  <c r="S57" i="19"/>
  <c r="D42" i="7"/>
  <c r="D43" i="7" s="1"/>
  <c r="D44" i="7" s="1"/>
  <c r="D39" i="7"/>
  <c r="D40" i="7"/>
  <c r="K46" i="19"/>
  <c r="S46" i="19" s="1"/>
  <c r="S45" i="19"/>
  <c r="D4" i="4"/>
  <c r="B5" i="1"/>
  <c r="H38" i="38"/>
  <c r="I58" i="38"/>
  <c r="H58" i="38" s="1"/>
  <c r="J48" i="14"/>
  <c r="I47" i="14"/>
  <c r="K8" i="13"/>
  <c r="S8" i="13" s="1"/>
  <c r="S7" i="13"/>
  <c r="K46" i="24"/>
  <c r="S46" i="24" s="1"/>
  <c r="S45" i="24"/>
  <c r="J45" i="28"/>
  <c r="S44" i="28"/>
  <c r="K46" i="21"/>
  <c r="S46" i="21" s="1"/>
  <c r="S45" i="21"/>
  <c r="H25" i="58"/>
  <c r="L25" i="58" s="1"/>
  <c r="L24" i="58"/>
  <c r="S285" i="19"/>
  <c r="K286" i="19"/>
  <c r="S286" i="19" s="1"/>
  <c r="S269" i="19"/>
  <c r="K270" i="19"/>
  <c r="S270" i="19" s="1"/>
  <c r="S253" i="19"/>
  <c r="K254" i="19"/>
  <c r="S254" i="19" s="1"/>
  <c r="S237" i="19"/>
  <c r="K238" i="19"/>
  <c r="S238" i="19" s="1"/>
  <c r="S221" i="19"/>
  <c r="K222" i="19"/>
  <c r="S222" i="19" s="1"/>
  <c r="S205" i="19"/>
  <c r="K206" i="19"/>
  <c r="S206" i="19" s="1"/>
  <c r="S189" i="19"/>
  <c r="K190" i="19"/>
  <c r="S190" i="19" s="1"/>
  <c r="S173" i="19"/>
  <c r="K174" i="19"/>
  <c r="S174" i="19" s="1"/>
  <c r="S157" i="19"/>
  <c r="K158" i="19"/>
  <c r="S158" i="19" s="1"/>
  <c r="S141" i="19"/>
  <c r="K142" i="19"/>
  <c r="S142" i="19" s="1"/>
  <c r="S125" i="19"/>
  <c r="K126" i="19"/>
  <c r="S126" i="19" s="1"/>
  <c r="S109" i="19"/>
  <c r="K110" i="19"/>
  <c r="S110" i="19" s="1"/>
  <c r="S93" i="19"/>
  <c r="K94" i="19"/>
  <c r="S94" i="19" s="1"/>
  <c r="S77" i="19"/>
  <c r="K78" i="19"/>
  <c r="S78" i="19" s="1"/>
  <c r="S61" i="19"/>
  <c r="K62" i="19"/>
  <c r="S62" i="19" s="1"/>
  <c r="K49" i="13"/>
  <c r="S49" i="13" s="1"/>
  <c r="S48" i="13"/>
  <c r="K49" i="16"/>
  <c r="S49" i="16" s="1"/>
  <c r="S48" i="16"/>
  <c r="K49" i="15"/>
  <c r="S49" i="15" s="1"/>
  <c r="S48" i="15"/>
  <c r="U55" i="17"/>
  <c r="L56" i="17"/>
  <c r="U56" i="17" s="1"/>
  <c r="K49" i="12"/>
  <c r="S49" i="12" s="1"/>
  <c r="S48" i="12"/>
  <c r="K49" i="11"/>
  <c r="S49" i="11" s="1"/>
  <c r="S48" i="11"/>
  <c r="K46" i="28" l="1"/>
  <c r="S46" i="28" s="1"/>
  <c r="S45" i="28"/>
  <c r="K49" i="14"/>
  <c r="S49" i="14" s="1"/>
  <c r="S48" i="14"/>
  <c r="D50" i="7"/>
  <c r="D47" i="7"/>
  <c r="D48" i="7"/>
  <c r="D46" i="7"/>
  <c r="D45" i="7"/>
  <c r="K46" i="27"/>
  <c r="S46" i="27" s="1"/>
  <c r="S45" i="27"/>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<sst xmlns="http://schemas.openxmlformats.org/spreadsheetml/2006/main" count="18140" uniqueCount="4404">
  <si>
    <t xml:space="preserve"> (требуется обновление)</t>
  </si>
  <si>
    <t>Код отчёта: PP108.OPEN.INFO.PRICE.COLDVSNA.EIAS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</si>
  <si>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</si>
  <si>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</si>
  <si>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</si>
  <si>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</si>
  <si>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</si>
  <si>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</si>
  <si>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</si>
  <si>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</si>
  <si>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</si>
  <si>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</si>
  <si>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</si>
  <si>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</si>
  <si>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Ставропольский край</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</si>
  <si>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</si>
  <si>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</si>
  <si>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</si>
  <si>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</si>
  <si>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</si>
  <si>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</si>
  <si>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</si>
  <si>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</si>
  <si>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</si>
  <si>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</si>
  <si>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</si>
  <si>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</si>
  <si>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</si>
  <si>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</si>
  <si>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</si>
  <si>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</si>
  <si>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</si>
  <si>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</si>
  <si>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</si>
  <si>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</si>
  <si>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</si>
  <si>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</si>
  <si>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79/2</t>
  </si>
  <si>
    <t>Наименование органа регулирования, принявшего решение об утверждении тарифов</t>
  </si>
  <si>
    <t>Региональная тарифная комиссия Ставропольского края</t>
  </si>
  <si>
    <t>Источник официального опубликования решения</t>
  </si>
  <si>
    <t>http://pravo.stavregion.ru/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</si>
  <si>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</si>
  <si>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</si>
  <si>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</si>
  <si>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ГУП СК "Ставрополькрайводоканал"</t>
  </si>
  <si>
    <t>Наименование (описание) обособленного подразделения</t>
  </si>
  <si>
    <t>ИНН</t>
  </si>
  <si>
    <t>2635040105</t>
  </si>
  <si>
    <t>КПП</t>
  </si>
  <si>
    <t>263501001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</si>
  <si>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</si>
  <si>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</si>
  <si>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</si>
  <si>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</si>
  <si>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</si>
  <si>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</si>
  <si>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</si>
  <si>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</si>
  <si>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</si>
  <si>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</si>
  <si>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</si>
  <si>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</si>
  <si>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</si>
  <si>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</si>
  <si>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</si>
  <si>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</si>
  <si>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</si>
  <si>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</si>
  <si>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355037, Российская Федерация, Ставропольский край. Город Ставрополь, ул. Доваторцев, д.35а</t>
  </si>
  <si>
    <t>Фамилия, имя, отчество руководителя</t>
  </si>
  <si>
    <t>Акимов Вячеслав Владимирович</t>
  </si>
  <si>
    <t>Ответственный за заполнение формы</t>
  </si>
  <si>
    <t>Фамилия, имя, отчество</t>
  </si>
  <si>
    <t>Кирсанова Ольга Анатольевна</t>
  </si>
  <si>
    <t>Должность</t>
  </si>
  <si>
    <t>Заместитель генерального директора по экономике и финансам</t>
  </si>
  <si>
    <t>Контактный телефон</t>
  </si>
  <si>
    <t>8 (8652) 99-27-47 (доб. 1104)</t>
  </si>
  <si>
    <t>E-mail</t>
  </si>
  <si>
    <t>o.kirsanova@skvk.ru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</si>
  <si>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</si>
  <si>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</si>
  <si>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</si>
  <si>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</si>
  <si>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</si>
  <si>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</si>
  <si>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</si>
  <si>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</si>
  <si>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</si>
  <si>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</si>
  <si>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</si>
  <si>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</si>
  <si>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</si>
  <si>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</si>
  <si>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</si>
  <si>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</si>
  <si>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t>
  </si>
  <si>
    <t>Александровский муниципальный округ</t>
  </si>
  <si>
    <t>07502000</t>
  </si>
  <si>
    <t>2</t>
  </si>
  <si>
    <t>×</t>
  </si>
  <si>
    <t>11</t>
  </si>
  <si>
    <t>Андроповский муниципальный округ</t>
  </si>
  <si>
    <t>07503000</t>
  </si>
  <si>
    <t>24</t>
  </si>
  <si>
    <t>Апанасенковский муниципальный округ</t>
  </si>
  <si>
    <t>07505000</t>
  </si>
  <si>
    <t>37</t>
  </si>
  <si>
    <t>Арзгирский муниципальный округ</t>
  </si>
  <si>
    <t>07507000</t>
  </si>
  <si>
    <t>5</t>
  </si>
  <si>
    <t>47</t>
  </si>
  <si>
    <t>Благодарненский</t>
  </si>
  <si>
    <t>07705000</t>
  </si>
  <si>
    <t>64</t>
  </si>
  <si>
    <t>Будённовский муниципальный округ</t>
  </si>
  <si>
    <t>07512000</t>
  </si>
  <si>
    <t>80</t>
  </si>
  <si>
    <t>Георгиевский</t>
  </si>
  <si>
    <t>07707000</t>
  </si>
  <si>
    <t>8</t>
  </si>
  <si>
    <t>97</t>
  </si>
  <si>
    <t>Город Лермонтов</t>
  </si>
  <si>
    <t>07718000</t>
  </si>
  <si>
    <t>9</t>
  </si>
  <si>
    <t>100</t>
  </si>
  <si>
    <t>Город-курорт Ессентуки</t>
  </si>
  <si>
    <t>07710000</t>
  </si>
  <si>
    <t>10</t>
  </si>
  <si>
    <t>101</t>
  </si>
  <si>
    <t>Город-курорт Железноводск</t>
  </si>
  <si>
    <t>07712000</t>
  </si>
  <si>
    <t>102</t>
  </si>
  <si>
    <t>Город-курорт Кисловодск</t>
  </si>
  <si>
    <t>07715000</t>
  </si>
  <si>
    <t>12</t>
  </si>
  <si>
    <t>103</t>
  </si>
  <si>
    <t>Город-курорт Пятигорск</t>
  </si>
  <si>
    <t>07727000</t>
  </si>
  <si>
    <t>13</t>
  </si>
  <si>
    <t>104</t>
  </si>
  <si>
    <t>Грачёвский муниципальный округ</t>
  </si>
  <si>
    <t>07517000</t>
  </si>
  <si>
    <t>14</t>
  </si>
  <si>
    <t>114</t>
  </si>
  <si>
    <t>Изобильненский</t>
  </si>
  <si>
    <t>07713000</t>
  </si>
  <si>
    <t>15</t>
  </si>
  <si>
    <t>132</t>
  </si>
  <si>
    <t>Ипатовский</t>
  </si>
  <si>
    <t>07714000</t>
  </si>
  <si>
    <t>16</t>
  </si>
  <si>
    <t>151</t>
  </si>
  <si>
    <t>Кировский</t>
  </si>
  <si>
    <t>07716000</t>
  </si>
  <si>
    <t>17</t>
  </si>
  <si>
    <t>164</t>
  </si>
  <si>
    <t>Кочубеевский муниципальный округ</t>
  </si>
  <si>
    <t>07528000</t>
  </si>
  <si>
    <t>18</t>
  </si>
  <si>
    <t>181</t>
  </si>
  <si>
    <t>Красногвардейский муниципальный округ</t>
  </si>
  <si>
    <t>07530000</t>
  </si>
  <si>
    <t>19</t>
  </si>
  <si>
    <t>194</t>
  </si>
  <si>
    <t>Курский муниципальный округ</t>
  </si>
  <si>
    <t>07533000</t>
  </si>
  <si>
    <t>20</t>
  </si>
  <si>
    <t>208</t>
  </si>
  <si>
    <t>Левокумский муниципальный округ</t>
  </si>
  <si>
    <t>07536000</t>
  </si>
  <si>
    <t>21</t>
  </si>
  <si>
    <t>221</t>
  </si>
  <si>
    <t>Минераловодский</t>
  </si>
  <si>
    <t>07721000</t>
  </si>
  <si>
    <t>22</t>
  </si>
  <si>
    <t>254</t>
  </si>
  <si>
    <t>Новоалександровский</t>
  </si>
  <si>
    <t>07726000</t>
  </si>
  <si>
    <t>23</t>
  </si>
  <si>
    <t>269</t>
  </si>
  <si>
    <t>Новоселицкий муниципальный округ</t>
  </si>
  <si>
    <t>07544000</t>
  </si>
  <si>
    <t>279</t>
  </si>
  <si>
    <t>Петровский</t>
  </si>
  <si>
    <t>07731000</t>
  </si>
  <si>
    <t>25</t>
  </si>
  <si>
    <t>295</t>
  </si>
  <si>
    <t>Предгорный муниципальный округ</t>
  </si>
  <si>
    <t>07548000</t>
  </si>
  <si>
    <t>26</t>
  </si>
  <si>
    <t>322</t>
  </si>
  <si>
    <t>Степновский муниципальный округ</t>
  </si>
  <si>
    <t>07552000</t>
  </si>
  <si>
    <t>27</t>
  </si>
  <si>
    <t>331</t>
  </si>
  <si>
    <t>Труновский муниципальный округ</t>
  </si>
  <si>
    <t>07554000</t>
  </si>
  <si>
    <t>28</t>
  </si>
  <si>
    <t>339</t>
  </si>
  <si>
    <t>Туркменский муниципальный округ</t>
  </si>
  <si>
    <t>07556000</t>
  </si>
  <si>
    <t>29</t>
  </si>
  <si>
    <t>352</t>
  </si>
  <si>
    <t>Шпаковский муниципальный округ</t>
  </si>
  <si>
    <t>07558000</t>
  </si>
  <si>
    <t>Добавить МО</t>
  </si>
  <si>
    <t>ter_55</t>
  </si>
  <si>
    <t>ter_56</t>
  </si>
  <si>
    <t>Александровский муниципальный район</t>
  </si>
  <si>
    <t>Калиновский сельсовет</t>
  </si>
  <si>
    <t>07602407</t>
  </si>
  <si>
    <t>ter_57</t>
  </si>
  <si>
    <t>ter_58</t>
  </si>
  <si>
    <t>239</t>
  </si>
  <si>
    <t>Нефтекумский</t>
  </si>
  <si>
    <t>07725000</t>
  </si>
  <si>
    <t>ter_59</t>
  </si>
  <si>
    <t>ter_60</t>
  </si>
  <si>
    <t>ter_61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</si>
  <si>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</si>
  <si>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</si>
  <si>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</si>
  <si>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</si>
  <si>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</si>
  <si>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</si>
  <si>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</si>
  <si>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</si>
  <si>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</si>
  <si>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</si>
  <si>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</si>
  <si>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</si>
  <si>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</si>
  <si>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</si>
  <si>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</si>
  <si>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</si>
  <si>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</si>
  <si>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</si>
  <si>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</si>
  <si>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</si>
  <si>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</si>
  <si>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</si>
  <si>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</si>
  <si>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</si>
  <si>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</si>
  <si>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</si>
  <si>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</si>
  <si>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</si>
  <si>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</si>
  <si>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</si>
  <si>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</si>
  <si>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</si>
  <si>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</si>
  <si>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</si>
  <si>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</si>
  <si>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</si>
  <si>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</si>
  <si>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</si>
  <si>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</si>
  <si>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</si>
  <si>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</si>
  <si>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</si>
  <si>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</si>
  <si>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</si>
  <si>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</si>
  <si>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</si>
  <si>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</si>
  <si>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</si>
  <si>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</si>
  <si>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</si>
  <si>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</si>
  <si>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</si>
  <si>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</si>
  <si>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</si>
  <si>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</si>
  <si>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</si>
  <si>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</si>
  <si>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</si>
  <si>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</si>
  <si>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</si>
  <si>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</si>
  <si>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</si>
  <si>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</si>
  <si>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</si>
  <si>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</si>
  <si>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</si>
  <si>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</si>
  <si>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</si>
  <si>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</si>
  <si>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</si>
  <si>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</si>
  <si>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</si>
  <si>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</si>
  <si>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</si>
  <si>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</si>
  <si>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</si>
  <si>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</si>
  <si>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</si>
  <si>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</si>
  <si>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</si>
  <si>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</si>
  <si>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</si>
  <si>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</si>
  <si>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</si>
  <si>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</si>
  <si>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</si>
  <si>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</si>
  <si>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</si>
  <si>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</si>
  <si>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</si>
  <si>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</si>
  <si>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</si>
  <si>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</si>
  <si>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</si>
  <si>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</si>
  <si>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</si>
  <si>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</si>
  <si>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</si>
  <si>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Тарифы на питьевую воду для потребителей, осуществляющих деятельность в сфере теплоснабжения и электроснабжения на территории города Лермонтова</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</si>
  <si>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</si>
  <si>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</si>
  <si>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</si>
  <si>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</si>
  <si>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</si>
  <si>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</si>
  <si>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</si>
  <si>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Тарифы на питьевую воду для потребителей Ставропольского края</t>
  </si>
  <si>
    <t>pt_ntar_26</t>
  </si>
  <si>
    <t>pt_ter_30</t>
  </si>
  <si>
    <t>pt_cs_30</t>
  </si>
  <si>
    <t>pt_ist_te_30</t>
  </si>
  <si>
    <t>Тарифы на питьевую воду для потребителей, присоединенных к централизованным системам водоснабжения села Калиновского Александровского муниципального округа</t>
  </si>
  <si>
    <t>pt_ntar_27</t>
  </si>
  <si>
    <t>pt_ter_31</t>
  </si>
  <si>
    <t>pt_cs_31</t>
  </si>
  <si>
    <t>pt_ist_te_31</t>
  </si>
  <si>
    <t>Тарифы на питьевую воду для потребителей, присоединенных к централизованным системам водоснабжения  поселка Малосадового, села Бургун-Маджары, поселка Кумская Долина и поселка Правокумского Левокумского муниципального округа</t>
  </si>
  <si>
    <t>pt_ntar_28</t>
  </si>
  <si>
    <t>pt_ter_33</t>
  </si>
  <si>
    <t>pt_cs_33</t>
  </si>
  <si>
    <t>pt_ist_te_33</t>
  </si>
  <si>
    <t xml:space="preserve">Тарифы на питьевую воду для потребителей, присоединенных к централизованным системам водоснабжения  села Николо-Александровского и поселка Ленинского Левокумского муниципального округа </t>
  </si>
  <si>
    <t>pt_ntar_29</t>
  </si>
  <si>
    <t>pt_ter_34</t>
  </si>
  <si>
    <t>pt_cs_34</t>
  </si>
  <si>
    <t>pt_ist_te_34</t>
  </si>
  <si>
    <t xml:space="preserve">Тарифы на питьевую воду для потребителей, присоединенных к централизованным системам водоснабжения хутора Андрей-Курган и поселка Левобалковского Нефтекумского муниципального округа </t>
  </si>
  <si>
    <t>pt_ntar_30</t>
  </si>
  <si>
    <t>pt_ter_35</t>
  </si>
  <si>
    <t>pt_cs_35</t>
  </si>
  <si>
    <t>pt_ist_te_35</t>
  </si>
  <si>
    <t xml:space="preserve">Тарифы на питьевую воду для потребителей, присоединенных к централизованным системам водоснабжения поселка Зункарь и аула Бейсей Нефтекумского муниципального округа </t>
  </si>
  <si>
    <t>pt_ntar_31</t>
  </si>
  <si>
    <t>pt_ter_36</t>
  </si>
  <si>
    <t>pt_cs_36</t>
  </si>
  <si>
    <t>pt_ist_te_36</t>
  </si>
  <si>
    <t xml:space="preserve">Тарифы на питьевую воду для потребителей, присоединенных к централизованным системам водоснабжения села Кара-Тюбе и аула Бияш Нефтекумского муниципального округа </t>
  </si>
  <si>
    <t>pt_ntar_32</t>
  </si>
  <si>
    <t>pt_ter_37</t>
  </si>
  <si>
    <t>pt_cs_37</t>
  </si>
  <si>
    <t>pt_ist_te_37</t>
  </si>
  <si>
    <t>Тарифы на питьевую воду для потребителей, присоединенных к централизованным системам водоснабжения поселка Горьковского, поселка Дружба, поселка Заречного и поселка Рассвет Новоалександровского муниципального округа</t>
  </si>
  <si>
    <t>pt_ntar_33</t>
  </si>
  <si>
    <t>pt_ter_38</t>
  </si>
  <si>
    <t>pt_cs_38</t>
  </si>
  <si>
    <t>pt_ist_te_38</t>
  </si>
  <si>
    <t>Тарифы на питьевую воду для потребителей, присоединенных к централизованным системам водоснабжения села Высоцкого, села Ореховки и хутора Казинки Петровского муниципального округа</t>
  </si>
  <si>
    <t>pt_ntar_34</t>
  </si>
  <si>
    <t>pt_ter_39</t>
  </si>
  <si>
    <t>pt_cs_39</t>
  </si>
  <si>
    <t>pt_ist_te_39</t>
  </si>
  <si>
    <t>Тарифы на питьевую воду для потребителей, присоединенных к централизованным системам водоснабжения села Гофицкого Петровского муниципального округа</t>
  </si>
  <si>
    <t>pt_ntar_35</t>
  </si>
  <si>
    <t>pt_ter_40</t>
  </si>
  <si>
    <t>pt_cs_40</t>
  </si>
  <si>
    <t>pt_ist_te_40</t>
  </si>
  <si>
    <t>Тарифы на питьевую воду для потребителей, присоединенных к централизованным системам водоснабжения села Донская Балка Петровского муниципального округа</t>
  </si>
  <si>
    <t>pt_ntar_36</t>
  </si>
  <si>
    <t>pt_ter_41</t>
  </si>
  <si>
    <t>pt_cs_41</t>
  </si>
  <si>
    <t>pt_ist_te_41</t>
  </si>
  <si>
    <t>Тарифы на питьевую воду для потребителей, присоединенных к централизованным системам водоснабжения села Константиновского и села Кугуты Петровского муниципального округа, ранее эксплуатируемым ГУП СК "Пчелка"</t>
  </si>
  <si>
    <t>pt_ntar_37</t>
  </si>
  <si>
    <t>pt_ter_42</t>
  </si>
  <si>
    <t>pt_cs_42</t>
  </si>
  <si>
    <t>pt_ist_te_42</t>
  </si>
  <si>
    <t>Тарифы на питьевую воду для потребителей, присоединенных к централизованным системам водоснабжения села Просянки Петровского муниципального округа</t>
  </si>
  <si>
    <t>pt_ntar_38</t>
  </si>
  <si>
    <t>pt_ter_43</t>
  </si>
  <si>
    <t>pt_cs_43</t>
  </si>
  <si>
    <t>pt_ist_te_43</t>
  </si>
  <si>
    <t>Тарифы на питьевую воду для потребителей, присоединенных к централизованным системам водоснабжения села Сухая Буйвола Петровского муниципального округа</t>
  </si>
  <si>
    <t>pt_ntar_39</t>
  </si>
  <si>
    <t>pt_ter_44</t>
  </si>
  <si>
    <t>pt_cs_44</t>
  </si>
  <si>
    <t>pt_ist_te_44</t>
  </si>
  <si>
    <t>Тарифы на питьевую воду для потребителей, присоединенных к централизованным системам водоснабжения "водозабор Юца", "станция Расшеватка", города Светлограда Петровского муниципального округа, города Георгиевска и села Краснокумского Георгиевского муниципального округа, ранее эксплуатируемым ОАО "РЖД"</t>
  </si>
  <si>
    <t>pt_ntar_40</t>
  </si>
  <si>
    <t>pt_ter_45</t>
  </si>
  <si>
    <t>pt_cs_45</t>
  </si>
  <si>
    <t>pt_ist_te_45</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</si>
  <si>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</si>
  <si>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</si>
  <si>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</si>
  <si>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</si>
  <si>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</si>
  <si>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</si>
  <si>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</si>
  <si>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</si>
  <si>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</si>
  <si>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</si>
  <si>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</si>
  <si>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</si>
  <si>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</si>
  <si>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</si>
  <si>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</si>
  <si>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</si>
  <si>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</si>
  <si>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</si>
  <si>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</si>
  <si>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</si>
  <si>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</si>
  <si>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</si>
  <si>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</si>
  <si>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</si>
  <si>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</si>
  <si>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</si>
  <si>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</si>
  <si>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</si>
  <si>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</si>
  <si>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</si>
  <si>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</si>
  <si>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</si>
  <si>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</si>
  <si>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</si>
  <si>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</si>
  <si>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</si>
  <si>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</si>
  <si>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</si>
  <si>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</si>
  <si>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</si>
  <si>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</si>
  <si>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</si>
  <si>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</si>
  <si>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</si>
  <si>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</si>
  <si>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</si>
  <si>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</si>
  <si>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</si>
  <si>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</si>
  <si>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</si>
  <si>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</si>
  <si>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</si>
  <si>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</si>
  <si>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</si>
  <si>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</si>
  <si>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</si>
  <si>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</si>
  <si>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</si>
  <si>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</si>
  <si>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</si>
  <si>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</si>
  <si>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</si>
  <si>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</si>
  <si>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</si>
  <si>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</si>
  <si>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</si>
  <si>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</si>
  <si>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</si>
  <si>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</si>
  <si>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</si>
  <si>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</si>
  <si>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</si>
  <si>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</si>
  <si>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</si>
  <si>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</si>
  <si>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</si>
  <si>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</si>
  <si>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</si>
  <si>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</si>
  <si>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</si>
  <si>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</si>
  <si>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</si>
  <si>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</si>
  <si>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</si>
  <si>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</si>
  <si>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</si>
  <si>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</si>
  <si>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</si>
  <si>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</si>
  <si>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</si>
  <si>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</si>
  <si>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</si>
  <si>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</si>
  <si>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</si>
  <si>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</si>
  <si>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</si>
  <si>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</si>
  <si>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</si>
  <si>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</si>
  <si>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</si>
  <si>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</si>
  <si>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</si>
  <si>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</si>
  <si>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</si>
  <si>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</si>
  <si>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</si>
  <si>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</si>
  <si>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</si>
  <si>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</si>
  <si>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</si>
  <si>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</si>
  <si>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</si>
  <si>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</si>
  <si>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</si>
  <si>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</si>
  <si>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</si>
  <si>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</si>
  <si>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</si>
  <si>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</si>
  <si>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</si>
  <si>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</si>
  <si>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</si>
  <si>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</si>
  <si>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</si>
  <si>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</si>
  <si>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</si>
  <si>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</si>
  <si>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</si>
  <si>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</si>
  <si>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</si>
  <si>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</si>
  <si>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</si>
  <si>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</si>
  <si>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</si>
  <si>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</si>
  <si>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</si>
  <si>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</si>
  <si>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</si>
  <si>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</si>
  <si>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</si>
  <si>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</si>
  <si>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</si>
  <si>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</si>
  <si>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</si>
  <si>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</si>
  <si>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</si>
  <si>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</si>
  <si>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</si>
  <si>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</si>
  <si>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</si>
  <si>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</si>
  <si>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</si>
  <si>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</si>
  <si>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</si>
  <si>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</si>
  <si>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</si>
  <si>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</si>
  <si>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</si>
  <si>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</si>
  <si>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</si>
  <si>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</si>
  <si>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</si>
  <si>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</si>
  <si>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</si>
  <si>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</si>
  <si>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</si>
  <si>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</si>
  <si>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</si>
  <si>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</si>
  <si>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</si>
  <si>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</si>
  <si>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</si>
  <si>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</si>
  <si>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</si>
  <si>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</si>
  <si>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</si>
  <si>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</si>
  <si>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</si>
  <si>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</si>
  <si>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</si>
  <si>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</si>
  <si>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</si>
  <si>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</si>
  <si>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</si>
  <si>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</si>
  <si>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</si>
  <si>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</si>
  <si>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</si>
  <si>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</si>
  <si>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</si>
  <si>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</si>
  <si>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</si>
  <si>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</si>
  <si>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</si>
  <si>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</si>
  <si>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</si>
  <si>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</si>
  <si>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</si>
  <si>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</si>
  <si>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</si>
  <si>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</si>
  <si>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</si>
  <si>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</si>
  <si>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</si>
  <si>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</si>
  <si>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</si>
  <si>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</si>
  <si>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</si>
  <si>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</si>
  <si>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</si>
  <si>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</si>
  <si>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</si>
  <si>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</si>
  <si>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</si>
  <si>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</si>
  <si>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</si>
  <si>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</si>
  <si>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</si>
  <si>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</si>
  <si>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</si>
  <si>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</si>
  <si>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</si>
  <si>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</si>
  <si>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</si>
  <si>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</si>
  <si>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</si>
  <si>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</si>
  <si>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</si>
  <si>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</si>
  <si>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</si>
  <si>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</si>
  <si>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</si>
  <si>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</si>
  <si>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</si>
  <si>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</si>
  <si>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</si>
  <si>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</si>
  <si>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</si>
  <si>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</si>
  <si>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</si>
  <si>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</si>
  <si>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</si>
  <si>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</si>
  <si>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</si>
  <si>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</si>
  <si>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</si>
  <si>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</si>
  <si>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</si>
  <si>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</si>
  <si>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</si>
  <si>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</si>
  <si>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</si>
  <si>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</si>
  <si>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</si>
  <si>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</si>
  <si>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</si>
  <si>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</si>
  <si>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</si>
  <si>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</si>
  <si>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</si>
  <si>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</si>
  <si>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</si>
  <si>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</si>
  <si>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</si>
  <si>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</si>
  <si>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</si>
  <si>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</si>
  <si>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прочие</t>
  </si>
  <si>
    <t>Тариф, руб. за 1 куб. метр без НДС</t>
  </si>
  <si>
    <t>население</t>
  </si>
  <si>
    <t>Тариф для населения, руб. за 1 куб. метр с НДС</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</si>
  <si>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</si>
  <si>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</si>
  <si>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</si>
  <si>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</si>
  <si>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</si>
  <si>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</si>
  <si>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</si>
  <si>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</si>
  <si>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</si>
  <si>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</si>
  <si>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</si>
  <si>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</si>
  <si>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</si>
  <si>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</si>
  <si>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</si>
  <si>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</si>
  <si>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</si>
  <si>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</si>
  <si>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</si>
  <si>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</si>
  <si>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</si>
  <si>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</si>
  <si>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</si>
  <si>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</si>
  <si>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</si>
  <si>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</si>
  <si>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</si>
  <si>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</si>
  <si>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</si>
  <si>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</si>
  <si>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</si>
  <si>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</si>
  <si>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</si>
  <si>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</si>
  <si>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</si>
  <si>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</si>
  <si>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</si>
  <si>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</si>
  <si>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</si>
  <si>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</si>
  <si>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</si>
  <si>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</si>
  <si>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</si>
  <si>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</si>
  <si>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</si>
  <si>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</si>
  <si>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</si>
  <si>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</si>
  <si>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</si>
  <si>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</si>
  <si>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</si>
  <si>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</si>
  <si>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</si>
  <si>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</si>
  <si>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</si>
  <si>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</si>
  <si>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</si>
  <si>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</si>
  <si>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</si>
  <si>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</si>
  <si>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</si>
  <si>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</si>
  <si>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</si>
  <si>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</si>
  <si>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</si>
  <si>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</si>
  <si>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</si>
  <si>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</si>
  <si>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</si>
  <si>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</si>
  <si>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</si>
  <si>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</si>
  <si>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</si>
  <si>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</si>
  <si>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</si>
  <si>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</si>
  <si>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</si>
  <si>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</si>
  <si>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</si>
  <si>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</si>
  <si>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</si>
  <si>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</si>
  <si>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</si>
  <si>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</si>
  <si>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</si>
  <si>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</si>
  <si>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</si>
  <si>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</si>
  <si>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</si>
  <si>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</si>
  <si>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</si>
  <si>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</si>
  <si>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</si>
  <si>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</si>
  <si>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</si>
  <si>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</si>
  <si>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</si>
  <si>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</si>
  <si>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</si>
  <si>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</si>
  <si>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</si>
  <si>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</si>
  <si>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</si>
  <si>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</si>
  <si>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</si>
  <si>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</si>
  <si>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</si>
  <si>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</si>
  <si>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</si>
  <si>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</si>
  <si>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</si>
  <si>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</si>
  <si>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</si>
  <si>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</si>
  <si>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</si>
  <si>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</si>
  <si>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</si>
  <si>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</si>
  <si>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</si>
  <si>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</si>
  <si>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</si>
  <si>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</si>
  <si>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</si>
  <si>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</si>
  <si>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</si>
  <si>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</si>
  <si>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</si>
  <si>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</si>
  <si>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</si>
  <si>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</si>
  <si>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</si>
  <si>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</si>
  <si>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</si>
  <si>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</si>
  <si>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</si>
  <si>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</si>
  <si>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</si>
  <si>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</si>
  <si>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</si>
  <si>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</si>
  <si>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</si>
  <si>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</si>
  <si>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</si>
  <si>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</si>
  <si>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</si>
  <si>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</si>
  <si>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</si>
  <si>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</si>
  <si>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</si>
  <si>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</si>
  <si>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</si>
  <si>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</si>
  <si>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</si>
  <si>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</si>
  <si>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</si>
  <si>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</si>
  <si>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</si>
  <si>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</si>
  <si>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</si>
  <si>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</si>
  <si>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</si>
  <si>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</si>
  <si>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</si>
  <si>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</si>
  <si>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</si>
  <si>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</si>
  <si>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</si>
  <si>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</si>
  <si>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</si>
  <si>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</si>
  <si>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</si>
  <si>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</si>
  <si>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</si>
  <si>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</si>
  <si>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</si>
  <si>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</si>
  <si>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</si>
  <si>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</si>
  <si>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</si>
  <si>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</si>
  <si>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</si>
  <si>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</si>
  <si>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</si>
  <si>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</si>
  <si>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</si>
  <si>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</si>
  <si>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</si>
  <si>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</si>
  <si>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</si>
  <si>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</si>
  <si>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</si>
  <si>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</si>
  <si>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</si>
  <si>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</si>
  <si>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</si>
  <si>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</si>
  <si>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</si>
  <si>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</si>
  <si>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</si>
  <si>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</si>
  <si>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</si>
  <si>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</si>
  <si>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</si>
  <si>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</si>
  <si>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</si>
  <si>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</si>
  <si>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</si>
  <si>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</si>
  <si>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</si>
  <si>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</si>
  <si>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</si>
  <si>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</si>
  <si>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</si>
  <si>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</si>
  <si>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</si>
  <si>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</si>
  <si>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</si>
  <si>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</si>
  <si>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</si>
  <si>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</si>
  <si>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</si>
  <si>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</si>
  <si>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</si>
  <si>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</si>
  <si>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</si>
  <si>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</si>
  <si>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</si>
  <si>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</si>
  <si>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</si>
  <si>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</si>
  <si>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</si>
  <si>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</si>
  <si>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</si>
  <si>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</si>
  <si>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</si>
  <si>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</si>
  <si>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</si>
  <si>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</si>
  <si>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</si>
  <si>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</si>
  <si>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</si>
  <si>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</si>
  <si>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</si>
  <si>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</si>
  <si>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</si>
  <si>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</si>
  <si>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</si>
  <si>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</si>
  <si>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</si>
  <si>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</si>
  <si>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</si>
  <si>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</si>
  <si>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</si>
  <si>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</si>
  <si>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</si>
  <si>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</si>
  <si>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</si>
  <si>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</si>
  <si>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</si>
  <si>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</si>
  <si>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</si>
  <si>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</si>
  <si>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</si>
  <si>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</si>
  <si>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</si>
  <si>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</si>
  <si>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</si>
  <si>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</si>
  <si>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</si>
  <si>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</si>
  <si>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</si>
  <si>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</si>
  <si>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</si>
  <si>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</si>
  <si>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</si>
  <si>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</si>
  <si>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</si>
  <si>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</si>
  <si>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</si>
  <si>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</si>
  <si>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</si>
  <si>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</si>
  <si>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</si>
  <si>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</si>
  <si>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</si>
  <si>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</si>
  <si>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</si>
  <si>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</si>
  <si>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</si>
  <si>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</si>
  <si>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</si>
  <si>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</si>
  <si>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</si>
  <si>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</si>
  <si>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</si>
  <si>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</si>
  <si>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</si>
  <si>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</si>
  <si>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</si>
  <si>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</si>
  <si>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</si>
  <si>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</si>
  <si>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</si>
  <si>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</si>
  <si>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</si>
  <si>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</si>
  <si>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</si>
  <si>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</si>
  <si>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</si>
  <si>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</si>
  <si>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</si>
  <si>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</si>
  <si>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</si>
  <si>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</si>
  <si>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</si>
  <si>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</si>
  <si>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</si>
  <si>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</si>
  <si>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</si>
  <si>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</si>
  <si>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</si>
  <si>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</si>
  <si>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</si>
  <si>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</si>
  <si>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</si>
  <si>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</si>
  <si>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</si>
  <si>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</si>
  <si>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</si>
  <si>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</si>
  <si>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</si>
  <si>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</si>
  <si>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</si>
  <si>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</si>
  <si>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</si>
  <si>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</si>
  <si>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</si>
  <si>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</si>
  <si>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</si>
  <si>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</si>
  <si>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</si>
  <si>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</si>
  <si>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</si>
  <si>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</si>
  <si>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</si>
  <si>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</si>
  <si>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</si>
  <si>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</si>
  <si>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</si>
  <si>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</si>
  <si>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</si>
  <si>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</si>
  <si>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</si>
  <si>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</si>
  <si>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</si>
  <si>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</si>
  <si>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</si>
  <si>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</si>
  <si>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</si>
  <si>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</si>
  <si>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</si>
  <si>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</si>
  <si>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</si>
  <si>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</si>
  <si>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</si>
  <si>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</si>
  <si>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</si>
  <si>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</si>
  <si>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</si>
  <si>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</si>
  <si>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</si>
  <si>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</si>
  <si>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</si>
  <si>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</si>
  <si>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</si>
  <si>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</si>
  <si>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</si>
  <si>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</si>
  <si>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</si>
  <si>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</si>
  <si>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</si>
  <si>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</si>
  <si>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</si>
  <si>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</si>
  <si>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</si>
  <si>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</si>
  <si>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</si>
  <si>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</si>
  <si>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</si>
  <si>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</si>
  <si>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</si>
  <si>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</si>
  <si>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</si>
  <si>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</si>
  <si>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</si>
  <si>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</si>
  <si>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</si>
  <si>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</si>
  <si>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</si>
  <si>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</si>
  <si>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</si>
  <si>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</si>
  <si>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</si>
  <si>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</si>
  <si>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</si>
  <si>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</si>
  <si>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</si>
  <si>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</si>
  <si>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</si>
  <si>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</si>
  <si>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</si>
  <si>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</si>
  <si>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</si>
  <si>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</si>
  <si>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</si>
  <si>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</si>
  <si>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</si>
  <si>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</si>
  <si>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</si>
  <si>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</si>
  <si>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</si>
  <si>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</si>
  <si>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</si>
  <si>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</si>
  <si>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</si>
  <si>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</si>
  <si>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</si>
  <si>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</si>
  <si>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</si>
  <si>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</si>
  <si>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</si>
  <si>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</si>
  <si>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</si>
  <si>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</si>
  <si>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</si>
  <si>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</si>
  <si>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</si>
  <si>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</si>
  <si>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</si>
  <si>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</si>
  <si>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</si>
  <si>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</si>
  <si>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</si>
  <si>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</si>
  <si>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</si>
  <si>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</si>
  <si>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</si>
  <si>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</si>
  <si>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</si>
  <si>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</si>
  <si>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</si>
  <si>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</si>
  <si>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</si>
  <si>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</si>
  <si>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</si>
  <si>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</si>
  <si>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</si>
  <si>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</si>
  <si>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</si>
  <si>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</si>
  <si>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</si>
  <si>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</si>
  <si>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</si>
  <si>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</si>
  <si>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</si>
  <si>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</si>
  <si>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</si>
  <si>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</si>
  <si>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</si>
  <si>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</si>
  <si>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</si>
  <si>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</si>
  <si>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</si>
  <si>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</si>
  <si>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</si>
  <si>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</si>
  <si>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</si>
  <si>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</si>
  <si>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</si>
  <si>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</si>
  <si>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</si>
  <si>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</si>
  <si>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</si>
  <si>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</si>
  <si>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</si>
  <si>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</si>
  <si>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</si>
  <si>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</si>
  <si>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</si>
  <si>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</si>
  <si>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</si>
  <si>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</si>
  <si>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</si>
  <si>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</si>
  <si>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</si>
  <si>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</si>
  <si>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</si>
  <si>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</si>
  <si>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</si>
  <si>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</si>
  <si>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</si>
  <si>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</si>
  <si>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</si>
  <si>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</si>
  <si>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</si>
  <si>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</si>
  <si>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</si>
  <si>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</si>
  <si>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</si>
  <si>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</si>
  <si>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</si>
  <si>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</si>
  <si>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</si>
  <si>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</si>
  <si>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</si>
  <si>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</si>
  <si>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</si>
  <si>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</si>
  <si>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</si>
  <si>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</si>
  <si>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</si>
  <si>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</si>
  <si>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</si>
  <si>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</si>
  <si>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</si>
  <si>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</si>
  <si>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</si>
  <si>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</si>
  <si>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</si>
  <si>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</si>
  <si>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</si>
  <si>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</si>
  <si>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</si>
  <si>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</si>
  <si>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</si>
  <si>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</si>
  <si>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</si>
  <si>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</si>
  <si>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</si>
  <si>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</si>
  <si>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</si>
  <si>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</si>
  <si>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</si>
  <si>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</si>
  <si>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</si>
  <si>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</si>
  <si>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</si>
  <si>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http://skvk.ru/about/official/2024/8496/</t>
  </si>
  <si>
    <t>https://portal.eias.ru/Portal/DownloadPage.aspx?type=12&amp;guid=255b24c5-b8d0-4792-b040-012e3ed5100c</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</si>
  <si>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</si>
  <si>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https://portal.eias.ru/Portal/DownloadPage.aspx?type=12&amp;guid=1941a757-16b2-4401-b1da-db20f358324b</t>
  </si>
  <si>
    <t>копии учредительных документов (для физических лиц - копия паспорта или иного документа, удостоверяющего личность), а также документы, подтверждающие полномочия лица, подписавшего заявление</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</si>
  <si>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</si>
  <si>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копии правоустанавливающих и правоудостоверяющих документов на земельный участок, на котором размещен (планируется к размещению) подключаемый объект или который является подключаемым объектом, за исключением случаев, предусмотренных абзацами четвертым - шестым п.26. Правил № 2130</t>
  </si>
  <si>
    <t>копии правоустанавливающих и правоудостоверяющих документов на подключаемый объект, ранее построенный и введенный в эксплуатацию, а для строящихся объектов - копия разрешения на строительство (за исключением объектов, для строительства которых в соответствии с Градостроительным кодексом Российской Федерации выдача разрешения на строительство не требуется, и объектов, строительство которых находится в стадии архитектурно-строительного проектирования.</t>
  </si>
  <si>
    <t>ситуационный план расположения объекта с привязкой к территории населенного пункта</t>
  </si>
  <si>
    <t>топографическая карта земельного участка, на котором размещен (планируется к размещению) подключаемый объект, в масштабе 1:500 со всеми наземными и подземными коммуникациями и сооружениями, с указанием границ такого земельного участка, согласованная с эксплуатирующими организациями;</t>
  </si>
  <si>
    <t>баланс водопотребления и водоотведения подключаемого объекта в период использования максимальной величины мощности (нагрузки) с указанием целей использования холодной воды и распределением объемов подключаемой мощности (нагрузки) по целям использования, в том числе на пожаротушение, периодические нужды, заполнение и опорожнение бассейнов, прием поверхностных сточных вод, а также с распределением общего объема сточных вод по канализационным выпускам (процентов)</t>
  </si>
  <si>
    <t>градостроительный план земельного участка, а при подключении водопроводных и канализационных сетей - проект планировки территории и проект межевания территории, в случае, если договором о подключении будет предусмотрено осуществление исполнителем работ по архитектурно-строительному проектированию, строительству, реконструкции или модернизации объектов централизованных систем горячего, холодного водоснабжения и (или) водоотведения на земельном участке заявителя (за исключением подключения жилых домов и ранее построенных, но не подключенных подключаемых объектов)</t>
  </si>
  <si>
    <t>3.8</t>
  </si>
  <si>
    <t>При обращении с заявлением о подключении лиц, указанных в подпункте "в" пункта 9 Правил № 2130, к заявлению о подключении должны быть приложены копия договора о комплексном развитии территории, копии утвержденных в установленных порядке проекта планировки территории комплексного развития, комплексной схемы инженерного обеспечения территории комплексного развития, схемы расположения земельного участка или земельных участков на кадастровом плане территории, градостроительном плане земельного участка.</t>
  </si>
  <si>
    <t>3.9</t>
  </si>
  <si>
    <t>В случаях, предусмотренных частью 6 статьи 52.1 Градостроительного кодекса Российской Федерации, в целях строительства объектов федерального значения, объектов регионального значения, объектов местного значения при обращении с заявлением о подключении лиц, указанных в подпункте "г" пункта 9 Правил № , к заявлению о подключении должны быть приложены копии решения о предварительном согласовании предоставления таким лицам земельного участка в указанных целях, утвержденного проекта межевания территории и (или) градостроительного плана земельного участка и утвержденной в соответствии с земельным законодательством схемы расположения земельного участка или земельных участков на кадастровом плане территории;</t>
  </si>
  <si>
    <t>Федеральный закон от 07.12.2011 № 416-ФЗ «О водоснабжении и водоотведении»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</si>
  <si>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</si>
  <si>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N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t>
  </si>
  <si>
    <t>Постановление Правительства РФ от 29.06.2017 № 778 «О внесении изменений в некоторые акты Правительства Российской Федерации в части оптимизации порядка подключения объектов капитального строительства к системам горячего, холодного водоснабжения и водоотведения»</t>
  </si>
  <si>
    <t>Постановление Правительства РФ от 29.07.2013 № 644 «Об утверждении Правил холодного водоснабжения и водоотведения и о внесении изменений в некоторые акты Правительства Российской Федерации»</t>
  </si>
  <si>
    <t>Постановление Правительства РФ от 13.05.2013 N 406 «Основы ценообразования в сфере водоснабжения и водоотведения»</t>
  </si>
  <si>
    <t>Постановление Правительства РФ от 29.07.2013 № 645 «Об утверждении типовых договоров в области холодного водоснабжения и водоотведения»</t>
  </si>
  <si>
    <t>Постановление Региональной тарифной комиссии Ставропольского края от 14.12.2017 г. № 60/5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2018 год»</t>
  </si>
  <si>
    <t>4.8</t>
  </si>
  <si>
    <t>Постановление региональной тарифной комиссии Ставропольского края от 19 декабря 2018 года № 58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2019 год»</t>
  </si>
  <si>
    <t>4.9</t>
  </si>
  <si>
    <t>Постановление Правительства Ставропольского края от 27 ноября 2018 года № 522-п «Об установлении на территории Ставропольского края уровня нагрузки и диаметров трубопровода, при превышении которых плата за подключение (технологическое присоединение) к сетям водоснабжения и (или) водоотведения устанавливается индивидуально»</t>
  </si>
  <si>
    <t>4.10</t>
  </si>
  <si>
    <t>Постановление региональной тарифной комиссии Ставропольского края от 19 декабря 2019 года № 73/3 «Об установлении ставок тарифов за подключение (технологическое присоединение) к централизованным системам водоснабжения и водоотведения организаций водопроводно-канализационного хозяйства на территории Ставропольского края, на 2020 год»</t>
  </si>
  <si>
    <t>4.11</t>
  </si>
  <si>
    <t>Постановление региональной тарифной комиссии Ставропольского края от 15 декабря 2020 года № 77/6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2021 год»</t>
  </si>
  <si>
    <t>4.12</t>
  </si>
  <si>
    <t>Постановление региональной тарифной комиссии Ставропольского края от 08 декабря 2021 года № 70/1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2022 год»</t>
  </si>
  <si>
    <t>4.13</t>
  </si>
  <si>
    <t>Постановление региональной тарифной комиссии Ставропольского края от 20 декабря 2022 года № 90/1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2023 год»</t>
  </si>
  <si>
    <t>4.14</t>
  </si>
  <si>
    <t>Постановление региональной тарифной комиссии Ставропольского края от 20 декабря 2023 года № 81/1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2024 год»</t>
  </si>
  <si>
    <t>5.1.1</t>
  </si>
  <si>
    <t>8 (8652) 99-27-47 (доб. 1125, 1124)</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</si>
  <si>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</si>
  <si>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</si>
  <si>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8 (865-50) 2-00-04</t>
  </si>
  <si>
    <t>5.1.3</t>
  </si>
  <si>
    <t>8 (865-53)6-19-53</t>
  </si>
  <si>
    <t>5.1.4</t>
  </si>
  <si>
    <t>8 (865-44) 6-06-96</t>
  </si>
  <si>
    <t>5.1.5</t>
  </si>
  <si>
    <t>8 (865-45) 2-39-33</t>
  </si>
  <si>
    <t>5.1.6</t>
  </si>
  <si>
    <t>8 (865-41) 4-58-71</t>
  </si>
  <si>
    <t>5.1.7</t>
  </si>
  <si>
    <t>8 (865-46) 3-69-53</t>
  </si>
  <si>
    <t>5.1.8</t>
  </si>
  <si>
    <t>8 (879-61) 5-07-84</t>
  </si>
  <si>
    <t>5.1.9</t>
  </si>
  <si>
    <t>8 (879-32) 3-18-35</t>
  </si>
  <si>
    <t>5.1.10</t>
  </si>
  <si>
    <t>8 (879-35) 3-88-43</t>
  </si>
  <si>
    <t>5.1.11</t>
  </si>
  <si>
    <t>8 (879-37) 2-51-84</t>
  </si>
  <si>
    <t>5.1.12</t>
  </si>
  <si>
    <t>8 (865-60) 3-34-74</t>
  </si>
  <si>
    <t>5.1.13</t>
  </si>
  <si>
    <t>8 (865-59) 7-17-93</t>
  </si>
  <si>
    <t>5.1.14</t>
  </si>
  <si>
    <t>8 (879-64) 6-26-89</t>
  </si>
  <si>
    <t>5.1.15</t>
  </si>
  <si>
    <t>8 (865-43) 3-11-74</t>
  </si>
  <si>
    <t>5.1.16</t>
  </si>
  <si>
    <t>8 (865-58) 4-35-38</t>
  </si>
  <si>
    <t>5.1.17</t>
  </si>
  <si>
    <t>8 (865-56) 6-13-60</t>
  </si>
  <si>
    <t>5.1.18</t>
  </si>
  <si>
    <t>8 (879-51) 2-54-49</t>
  </si>
  <si>
    <t>5.1.19</t>
  </si>
  <si>
    <t>8 (879-22) 5-63-33</t>
  </si>
  <si>
    <t>5.1.20</t>
  </si>
  <si>
    <t>8 (879-38) 2-10-94</t>
  </si>
  <si>
    <t>5.1.21</t>
  </si>
  <si>
    <t>8 (879-3) 97-81-49</t>
  </si>
  <si>
    <t>5.1.22</t>
  </si>
  <si>
    <t>8 (8793) 31-78-63</t>
  </si>
  <si>
    <t>5.1.23</t>
  </si>
  <si>
    <t>8 (8793) 33-27-25 (доб. 5230)</t>
  </si>
  <si>
    <t>5.1.24</t>
  </si>
  <si>
    <t>8 (865-57) 2-63-34</t>
  </si>
  <si>
    <t>5.1.25</t>
  </si>
  <si>
    <t>8 (865-49) 2-10-46</t>
  </si>
  <si>
    <t>5.1.26</t>
  </si>
  <si>
    <t>8 (865-42) 5-74-84</t>
  </si>
  <si>
    <t>5.1.27</t>
  </si>
  <si>
    <t>8 (865-47) 4-65-70 (доб. 6230)</t>
  </si>
  <si>
    <t>5.2.1</t>
  </si>
  <si>
    <t>355037, г. Ставрополь, ул. Доваторцев, 35 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</si>
  <si>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</si>
  <si>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5.2.2</t>
  </si>
  <si>
    <t>357202, Ставропольский край, с.Кочубеевское ул.Вольная 1Е</t>
  </si>
  <si>
    <t>5.2.3</t>
  </si>
  <si>
    <t>356240, Ставропольский край, Шпаковский район, г. Михайловск, ул. Октябрьская, 295</t>
  </si>
  <si>
    <t>5.2.4</t>
  </si>
  <si>
    <t>356000, Ставропольский край, Нововалександровский район, г. Новоалександровск, ул. Железнодорожная 87</t>
  </si>
  <si>
    <t>5.2.5</t>
  </si>
  <si>
    <t>356140, Ставропольский край, г. Изобильный, ул. Промзона, д. 6</t>
  </si>
  <si>
    <t>5.2.6</t>
  </si>
  <si>
    <t>356030.Ставропольский край, Красногвардейский район, с Красногвардейское, ул.Ярмарочная,11</t>
  </si>
  <si>
    <t>5.2.7</t>
  </si>
  <si>
    <t>356170, Ставропольский край, Труновский район, с. Донское, ул. Первомайская, 1</t>
  </si>
  <si>
    <t>5.2.8</t>
  </si>
  <si>
    <t>357202, Ставропольский край, ст. Ессентукская, улица Гагарина, 295</t>
  </si>
  <si>
    <t>5.2.9</t>
  </si>
  <si>
    <t>357405, Ставропольский край, г. Железноводск, ул. Ленина, д.165</t>
  </si>
  <si>
    <t>5.2.10</t>
  </si>
  <si>
    <t>357340, Ставропольский край, г. Лермонтов, ул. Пятигорская, д. 15</t>
  </si>
  <si>
    <t>5.2.11</t>
  </si>
  <si>
    <t>357700, Ставропольский край, г. Кисловодск, ул. Тельмана, д.24</t>
  </si>
  <si>
    <t>5.2.12</t>
  </si>
  <si>
    <t>356570, Ставропольский край, Арзгирский район, с. Арзгир, ул. Есипенко, д.77</t>
  </si>
  <si>
    <t>5.2.13</t>
  </si>
  <si>
    <t>356000, Ставропольский край, г. Буденновск, пр-т Буденного, д. 87</t>
  </si>
  <si>
    <t>5.2.14</t>
  </si>
  <si>
    <t>357850, Ставропольский край, Курский район, ст. Курская, ул. Калинина 10 "А"</t>
  </si>
  <si>
    <t>5.2.15</t>
  </si>
  <si>
    <t>357960,  Ставропольский край,  Левокумский район, село Левокумское, ул. Ленина, д. 82</t>
  </si>
  <si>
    <t>5.2.16</t>
  </si>
  <si>
    <t>356884, Ставропольский край, Нефтекумский район, г.Нефтекумск, ул.Мира,12</t>
  </si>
  <si>
    <t>5.2.17</t>
  </si>
  <si>
    <t>357070, Ставропольский край, Андроповский район, с. Курсавка, ул. Строителей, 28а</t>
  </si>
  <si>
    <t>5.2.18</t>
  </si>
  <si>
    <t>357820, Ставропольский край, г. Георгиевск, ул. Калинина, д.79</t>
  </si>
  <si>
    <t>5.2.19</t>
  </si>
  <si>
    <t>357202, Ставропольский край, г. Минеральные Воды, ул. Ставропольская, д.23</t>
  </si>
  <si>
    <t>5.2.20</t>
  </si>
  <si>
    <t>357302, Ставропольский край, Кировский район, г. Новопавловск, ул. Правды, д.8</t>
  </si>
  <si>
    <t>5.2.21</t>
  </si>
  <si>
    <t>357500, Ставропольский край, Предгорный район, В границах земель муниципального образования Этокский сельсовет, 2-й километр Георгиевского шоссе</t>
  </si>
  <si>
    <t>5.2.22</t>
  </si>
  <si>
    <t>357362, с. Новоблагодарное, Главная насосная станция</t>
  </si>
  <si>
    <t>5.2.23</t>
  </si>
  <si>
    <t>357500, Ставропольский край, г. Пятигорск, ул. Дунаевского, д.9</t>
  </si>
  <si>
    <t>5.2.24</t>
  </si>
  <si>
    <t>356300, Ставропольский край, Александровский район, с. Александровское, ул. Виноградная, 2</t>
  </si>
  <si>
    <t>5.2.25</t>
  </si>
  <si>
    <t>365420, Ставропольский край, г. Благодарный, ул. Бедненко, д.184</t>
  </si>
  <si>
    <t>5.2.26</t>
  </si>
  <si>
    <t>356630, Ставропольский край, г.Ипатово, ул.Чапаева,14</t>
  </si>
  <si>
    <t>5.2.27</t>
  </si>
  <si>
    <t>356530, Ставропольский край, Петровский район, г. Светлоград, ул. Садовая, 28а</t>
  </si>
  <si>
    <t>Понедельник-Четверг: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</si>
  <si>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</si>
  <si>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Пятница: с 08:00 до 16:00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</si>
  <si>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</si>
  <si>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</si>
  <si>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</si>
  <si>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</si>
  <si>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</si>
  <si>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</si>
  <si>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</si>
  <si>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</si>
  <si>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</si>
  <si>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</si>
  <si>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</si>
  <si>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</si>
  <si>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</si>
  <si>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</si>
  <si>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</si>
  <si>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</si>
  <si>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</si>
  <si>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</si>
  <si>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</si>
  <si>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</si>
  <si>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</si>
  <si>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</si>
  <si>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</si>
  <si>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</si>
  <si>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</si>
  <si>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</si>
  <si>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</si>
  <si>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</si>
  <si>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</si>
  <si>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</si>
  <si>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</si>
  <si>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</si>
  <si>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</si>
  <si>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</si>
  <si>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</si>
  <si>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</si>
  <si>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</si>
  <si>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</si>
  <si>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</si>
  <si>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</si>
  <si>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</si>
  <si>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</si>
  <si>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</si>
  <si>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</si>
  <si>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</si>
  <si>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</si>
  <si>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</si>
  <si>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</si>
  <si>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</si>
  <si>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</si>
  <si>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</si>
  <si>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</si>
  <si>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</si>
  <si>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</si>
  <si>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</si>
  <si>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</si>
  <si>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</si>
  <si>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</si>
  <si>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</si>
  <si>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</si>
  <si>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</si>
  <si>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</si>
  <si>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</si>
  <si>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</si>
  <si>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</si>
  <si>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</si>
  <si>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</si>
  <si>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</si>
  <si>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</si>
  <si>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</si>
  <si>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</si>
  <si>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</si>
  <si>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</si>
  <si>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</si>
  <si>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</si>
  <si>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</si>
  <si>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</si>
  <si>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</si>
  <si>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</si>
  <si>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</si>
  <si>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</si>
  <si>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</si>
  <si>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</si>
  <si>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</si>
  <si>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</si>
  <si>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</si>
  <si>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</si>
  <si>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</si>
  <si>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</si>
  <si>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</si>
  <si>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</si>
  <si>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</si>
  <si>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</si>
  <si>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</si>
  <si>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</si>
  <si>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</si>
  <si>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</si>
  <si>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</si>
  <si>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</si>
  <si>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</si>
  <si>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</si>
  <si>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</si>
  <si>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</si>
  <si>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</si>
  <si>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</si>
  <si>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</si>
  <si>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</si>
  <si>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</si>
  <si>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</si>
  <si>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</si>
  <si>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</si>
  <si>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</si>
  <si>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</si>
  <si>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</si>
  <si>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</si>
  <si>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</si>
  <si>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</si>
  <si>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</si>
  <si>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</si>
  <si>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</si>
  <si>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</si>
  <si>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</si>
  <si>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</si>
  <si>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</si>
  <si>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</si>
  <si>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</si>
  <si>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</si>
  <si>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</si>
  <si>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</si>
  <si>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</si>
  <si>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</si>
  <si>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</si>
  <si>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</si>
  <si>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</si>
  <si>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</si>
  <si>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</si>
  <si>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</si>
  <si>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</si>
  <si>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</si>
  <si>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</si>
  <si>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</si>
  <si>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</si>
  <si>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</si>
  <si>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</si>
  <si>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</si>
  <si>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</si>
  <si>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</si>
  <si>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</si>
  <si>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</si>
  <si>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</si>
  <si>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</si>
  <si>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</si>
  <si>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</si>
  <si>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</si>
  <si>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</si>
  <si>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</si>
  <si>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</si>
  <si>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</si>
  <si>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</si>
  <si>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</si>
  <si>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</si>
  <si>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</si>
  <si>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</si>
  <si>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</si>
  <si>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</si>
  <si>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</si>
  <si>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</si>
  <si>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</si>
  <si>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</si>
  <si>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</si>
  <si>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</si>
  <si>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</si>
  <si>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</si>
  <si>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</si>
  <si>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</si>
  <si>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</si>
  <si>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</si>
  <si>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</si>
  <si>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</si>
  <si>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</si>
  <si>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</si>
  <si>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</si>
  <si>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</si>
  <si>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</si>
  <si>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</si>
  <si>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</si>
  <si>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</si>
  <si>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</si>
  <si>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</si>
  <si>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</si>
  <si>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</si>
  <si>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</si>
  <si>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</si>
  <si>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</si>
  <si>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</si>
  <si>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</si>
  <si>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</si>
  <si>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</si>
  <si>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</si>
  <si>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</si>
  <si>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</si>
  <si>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</si>
  <si>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</si>
  <si>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</si>
  <si>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</si>
  <si>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</si>
  <si>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</si>
  <si>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</si>
  <si>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</si>
  <si>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</si>
  <si>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</si>
  <si>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</si>
  <si>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</si>
  <si>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</si>
  <si>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</si>
  <si>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</si>
  <si>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</si>
  <si>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</si>
  <si>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</si>
  <si>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</si>
  <si>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</si>
  <si>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</si>
  <si>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</si>
  <si>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</si>
  <si>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</si>
  <si>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</si>
  <si>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</si>
  <si>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</si>
  <si>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</si>
  <si>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</si>
  <si>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</si>
  <si>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</si>
  <si>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</si>
  <si>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</si>
  <si>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</si>
  <si>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</si>
  <si>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</si>
  <si>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</si>
  <si>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</si>
  <si>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</si>
  <si>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</si>
  <si>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</si>
  <si>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</si>
  <si>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</si>
  <si>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</si>
  <si>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</si>
  <si>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</si>
  <si>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</si>
  <si>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</si>
  <si>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</si>
  <si>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</si>
  <si>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</si>
  <si>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</si>
  <si>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</si>
  <si>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</si>
  <si>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</si>
  <si>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</si>
  <si>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</si>
  <si>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</si>
  <si>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</si>
  <si>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</si>
  <si>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</si>
  <si>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</si>
  <si>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</si>
  <si>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</si>
  <si>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</si>
  <si>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</si>
  <si>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</si>
  <si>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</si>
  <si>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</si>
  <si>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</si>
  <si>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</si>
  <si>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</si>
  <si>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</si>
  <si>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</si>
  <si>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</si>
  <si>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</si>
  <si>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</si>
  <si>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</si>
  <si>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</si>
  <si>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</si>
  <si>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</si>
  <si>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</si>
  <si>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</si>
  <si>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</si>
  <si>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</si>
  <si>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</si>
  <si>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</si>
  <si>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</si>
  <si>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</si>
  <si>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</si>
  <si>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</si>
  <si>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</si>
  <si>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</si>
  <si>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</si>
  <si>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</si>
  <si>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</si>
  <si>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</si>
  <si>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</si>
  <si>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</si>
  <si>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</si>
  <si>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</si>
  <si>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</si>
  <si>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</si>
  <si>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</si>
  <si>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</si>
  <si>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</si>
  <si>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</si>
  <si>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</si>
  <si>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</si>
  <si>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</si>
  <si>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</si>
  <si>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</si>
  <si>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</si>
  <si>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</si>
  <si>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</si>
  <si>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</si>
  <si>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</si>
  <si>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</si>
  <si>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</si>
  <si>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</si>
  <si>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</si>
  <si>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</si>
  <si>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</si>
  <si>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</si>
  <si>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</si>
  <si>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</si>
  <si>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</si>
  <si>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</si>
  <si>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</si>
  <si>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</si>
  <si>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</si>
  <si>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</si>
  <si>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</si>
  <si>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</si>
  <si>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</si>
  <si>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</si>
  <si>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</si>
  <si>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</si>
  <si>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</si>
  <si>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</si>
  <si>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</si>
  <si>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</si>
  <si>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</si>
  <si>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</si>
  <si>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</si>
  <si>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</si>
  <si>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</si>
  <si>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</si>
  <si>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</si>
  <si>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</si>
  <si>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</si>
  <si>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</si>
  <si>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</si>
  <si>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</si>
  <si>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</si>
  <si>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</si>
  <si>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</si>
  <si>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</si>
  <si>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</si>
  <si>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</si>
  <si>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</si>
  <si>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</si>
  <si>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</si>
  <si>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</si>
  <si>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</si>
  <si>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</si>
  <si>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</si>
  <si>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</si>
  <si>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</si>
  <si>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</si>
  <si>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</si>
  <si>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</si>
  <si>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</si>
  <si>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</si>
  <si>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</si>
  <si>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</si>
  <si>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</si>
  <si>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</si>
  <si>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</si>
  <si>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</si>
  <si>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</si>
  <si>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</si>
  <si>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</si>
  <si>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</si>
  <si>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</si>
  <si>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</si>
  <si>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</si>
  <si>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</si>
  <si>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</si>
  <si>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</si>
  <si>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</si>
  <si>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</si>
  <si>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</si>
  <si>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</si>
  <si>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</si>
  <si>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</si>
  <si>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</si>
  <si>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</si>
  <si>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</si>
  <si>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</si>
  <si>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</si>
  <si>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</si>
  <si>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</si>
  <si>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</si>
  <si>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</si>
  <si>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</si>
  <si>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</si>
  <si>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</si>
  <si>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</si>
  <si>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</si>
  <si>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</si>
  <si>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</si>
  <si>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</si>
  <si>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</si>
  <si>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</si>
  <si>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</si>
  <si>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</si>
  <si>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</si>
  <si>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</si>
  <si>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</si>
  <si>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</si>
  <si>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</si>
  <si>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</si>
  <si>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</si>
  <si>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</si>
  <si>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</si>
  <si>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</si>
  <si>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</si>
  <si>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</si>
  <si>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</si>
  <si>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</si>
  <si>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</si>
  <si>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</si>
  <si>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</si>
  <si>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</si>
  <si>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</si>
  <si>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</si>
  <si>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</si>
  <si>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</si>
  <si>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</si>
  <si>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</si>
  <si>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</si>
  <si>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</si>
  <si>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</si>
  <si>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</si>
  <si>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</si>
  <si>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</si>
  <si>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</si>
  <si>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</si>
  <si>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</si>
  <si>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</si>
  <si>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</si>
  <si>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</si>
  <si>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</si>
  <si>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</si>
  <si>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</si>
  <si>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</si>
  <si>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</si>
  <si>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</si>
  <si>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</si>
  <si>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</si>
  <si>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</si>
  <si>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</si>
  <si>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</si>
  <si>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</si>
  <si>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</si>
  <si>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</si>
  <si>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</si>
  <si>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</si>
  <si>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</si>
  <si>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</si>
  <si>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</si>
  <si>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</si>
  <si>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</si>
  <si>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</si>
  <si>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</si>
  <si>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</si>
  <si>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</si>
  <si>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</si>
  <si>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</si>
  <si>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</si>
  <si>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</si>
  <si>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</si>
  <si>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</si>
  <si>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</si>
  <si>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</si>
  <si>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</si>
  <si>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</si>
  <si>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</si>
  <si>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</si>
  <si>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</si>
  <si>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</si>
  <si>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</si>
  <si>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</si>
  <si>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</si>
  <si>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</si>
  <si>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</si>
  <si>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</si>
  <si>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</si>
  <si>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</si>
  <si>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</si>
  <si>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</si>
  <si>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</si>
  <si>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</si>
  <si>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</si>
  <si>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</si>
  <si>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</si>
  <si>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</si>
  <si>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</si>
  <si>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</si>
  <si>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</si>
  <si>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</si>
  <si>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</si>
  <si>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</si>
  <si>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</si>
  <si>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</si>
  <si>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</si>
  <si>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</si>
  <si>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</si>
  <si>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</si>
  <si>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</si>
  <si>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</si>
  <si>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</si>
  <si>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</si>
  <si>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</si>
  <si>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</si>
  <si>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</si>
  <si>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</si>
  <si>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</si>
  <si>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</si>
  <si>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</si>
  <si>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</si>
  <si>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</si>
  <si>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</si>
  <si>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</si>
  <si>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</si>
  <si>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</si>
  <si>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</si>
  <si>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</si>
  <si>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</si>
  <si>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</si>
  <si>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</si>
  <si>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</si>
  <si>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</si>
  <si>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</si>
  <si>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</si>
  <si>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</si>
  <si>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</si>
  <si>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</si>
  <si>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</si>
  <si>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</si>
  <si>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</si>
  <si>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</si>
  <si>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</si>
  <si>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</si>
  <si>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</si>
  <si>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</si>
  <si>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</si>
  <si>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</si>
  <si>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</si>
  <si>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</si>
  <si>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</si>
  <si>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</si>
  <si>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</si>
  <si>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</si>
  <si>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</si>
  <si>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</si>
  <si>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</si>
  <si>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</si>
  <si>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</si>
  <si>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</si>
  <si>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</si>
  <si>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</si>
  <si>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</si>
  <si>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</si>
  <si>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</si>
  <si>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</si>
  <si>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</si>
  <si>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</si>
  <si>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</si>
  <si>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</si>
  <si>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</si>
  <si>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</si>
  <si>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</si>
  <si>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</si>
  <si>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</si>
  <si>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</si>
  <si>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</si>
  <si>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</si>
  <si>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</si>
  <si>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</si>
  <si>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</si>
  <si>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</si>
  <si>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</si>
  <si>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</si>
  <si>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</si>
  <si>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</si>
  <si>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</si>
  <si>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</si>
  <si>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</si>
  <si>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</si>
  <si>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</si>
  <si>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</si>
  <si>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</si>
  <si>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</si>
  <si>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</si>
  <si>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</si>
  <si>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</si>
  <si>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</si>
  <si>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</si>
  <si>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</si>
  <si>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</si>
  <si>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</si>
  <si>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</si>
  <si>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</si>
  <si>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</si>
  <si>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</si>
  <si>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</si>
  <si>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</si>
  <si>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</si>
  <si>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</si>
  <si>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</si>
  <si>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</si>
  <si>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</si>
  <si>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</si>
  <si>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</si>
  <si>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</si>
  <si>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</si>
  <si>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</si>
  <si>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</si>
  <si>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</si>
  <si>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</si>
  <si>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</si>
  <si>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</si>
  <si>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</si>
  <si>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</si>
  <si>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</si>
  <si>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</si>
  <si>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</si>
  <si>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</si>
  <si>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</si>
  <si>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</si>
  <si>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</si>
  <si>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</si>
  <si>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</si>
  <si>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</si>
  <si>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</si>
  <si>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</si>
  <si>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</si>
  <si>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</si>
  <si>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</si>
  <si>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</si>
  <si>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</si>
  <si>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</si>
  <si>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</si>
  <si>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</si>
  <si>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</si>
  <si>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</si>
  <si>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</si>
  <si>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</si>
  <si>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</si>
  <si>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</si>
  <si>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</si>
  <si>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</si>
  <si>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</si>
  <si>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</si>
  <si>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</si>
  <si>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</si>
  <si>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</si>
  <si>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</si>
  <si>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</si>
  <si>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</si>
  <si>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</si>
  <si>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</si>
  <si>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</si>
  <si>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</si>
  <si>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</si>
  <si>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</si>
  <si>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</si>
  <si>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</si>
  <si>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</si>
  <si>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</si>
  <si>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</si>
  <si>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</si>
  <si>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</si>
  <si>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</si>
  <si>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</si>
  <si>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</si>
  <si>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</si>
  <si>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</si>
  <si>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</si>
  <si>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</si>
  <si>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</si>
  <si>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</si>
  <si>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</si>
  <si>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</si>
  <si>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</si>
  <si>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</si>
  <si>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</si>
  <si>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</si>
  <si>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</si>
  <si>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</si>
  <si>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</si>
  <si>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</si>
  <si>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</si>
  <si>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</si>
  <si>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</si>
  <si>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</si>
  <si>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</si>
  <si>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</si>
  <si>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</si>
  <si>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</si>
  <si>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</si>
  <si>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</si>
  <si>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</si>
  <si>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</si>
  <si>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</si>
  <si>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</si>
  <si>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</si>
  <si>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</si>
  <si>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</si>
  <si>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</si>
  <si>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</si>
  <si>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</si>
  <si>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</si>
  <si>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</si>
  <si>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</si>
  <si>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</si>
  <si>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</si>
  <si>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</si>
  <si>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</si>
  <si>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</si>
  <si>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</si>
  <si>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</si>
  <si>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</si>
  <si>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</si>
  <si>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</si>
  <si>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</si>
  <si>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</si>
  <si>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</si>
  <si>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</si>
  <si>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</si>
  <si>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</si>
  <si>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</si>
  <si>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</si>
  <si>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</si>
  <si>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</si>
  <si>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</si>
  <si>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</si>
  <si>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</si>
  <si>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</si>
  <si>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</si>
  <si>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</si>
  <si>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</si>
  <si>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</si>
  <si>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</si>
  <si>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</si>
  <si>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</si>
  <si>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</si>
  <si>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</si>
  <si>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</si>
  <si>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</si>
  <si>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</si>
  <si>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</si>
  <si>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</si>
  <si>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</si>
  <si>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</si>
  <si>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</si>
  <si>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</si>
  <si>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</si>
  <si>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</si>
  <si>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</si>
  <si>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</si>
  <si>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</si>
  <si>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</si>
  <si>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</si>
  <si>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</si>
  <si>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</si>
  <si>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</si>
  <si>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</si>
  <si>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</si>
  <si>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</si>
  <si>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</si>
  <si>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</si>
  <si>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</si>
  <si>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</si>
  <si>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</si>
  <si>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</si>
  <si>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</si>
  <si>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</si>
  <si>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</si>
  <si>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</si>
  <si>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</si>
  <si>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</si>
  <si>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</si>
  <si>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</si>
  <si>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</si>
  <si>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</si>
  <si>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</si>
  <si>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</si>
  <si>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</si>
  <si>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</si>
  <si>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</si>
  <si>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</si>
  <si>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</si>
  <si>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</si>
  <si>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</si>
  <si>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</si>
  <si>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</si>
  <si>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</si>
  <si>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</si>
  <si>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</si>
  <si>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</si>
  <si>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</si>
  <si>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</si>
  <si>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</si>
  <si>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</si>
  <si>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</si>
  <si>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</si>
  <si>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</si>
  <si>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</si>
  <si>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</si>
  <si>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</si>
  <si>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</si>
  <si>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</si>
  <si>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</si>
  <si>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</si>
  <si>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</si>
  <si>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</si>
  <si>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</si>
  <si>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</si>
  <si>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</si>
  <si>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</si>
  <si>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</si>
  <si>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</si>
  <si>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</si>
  <si>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</si>
  <si>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</si>
  <si>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</si>
  <si>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</si>
  <si>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</si>
  <si>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</si>
  <si>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</si>
  <si>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</si>
  <si>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</si>
  <si>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</si>
  <si>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</si>
  <si>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</si>
  <si>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</si>
  <si>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</si>
  <si>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</si>
  <si>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</si>
  <si>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</si>
  <si>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</si>
  <si>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</si>
  <si>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</si>
  <si>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</si>
  <si>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</si>
  <si>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</si>
  <si>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</si>
  <si>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</si>
  <si>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</si>
  <si>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</si>
  <si>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</si>
  <si>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</si>
  <si>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</si>
  <si>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</si>
  <si>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</si>
  <si>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</si>
  <si>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</si>
  <si>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</si>
  <si>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</si>
  <si>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</si>
  <si>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</si>
  <si>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</si>
  <si>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</si>
  <si>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</si>
  <si>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</si>
  <si>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</si>
  <si>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</si>
  <si>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</si>
  <si>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</si>
  <si>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</si>
  <si>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</si>
  <si>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</si>
  <si>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</si>
  <si>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</si>
  <si>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</si>
  <si>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</si>
  <si>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</si>
  <si>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</si>
  <si>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</si>
  <si>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</si>
  <si>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</si>
  <si>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</si>
  <si>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</si>
  <si>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</si>
  <si>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</si>
  <si>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</si>
  <si>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</si>
  <si>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</si>
  <si>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</si>
  <si>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</si>
  <si>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</si>
  <si>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</si>
  <si>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</si>
  <si>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</si>
  <si>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</si>
  <si>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</si>
  <si>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</si>
  <si>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</si>
  <si>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</si>
  <si>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</si>
  <si>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</si>
  <si>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</si>
  <si>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</si>
  <si>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</si>
  <si>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</si>
  <si>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</si>
  <si>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</si>
  <si>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</si>
  <si>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</si>
  <si>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</si>
  <si>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</si>
  <si>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</si>
  <si>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</si>
  <si>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</si>
  <si>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</si>
  <si>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</si>
  <si>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</si>
  <si>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</si>
  <si>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</si>
  <si>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</si>
  <si>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</si>
  <si>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</si>
  <si>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</si>
  <si>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</si>
  <si>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</si>
  <si>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</si>
  <si>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</si>
  <si>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</si>
  <si>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</si>
  <si>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</si>
  <si>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</si>
  <si>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</si>
  <si>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</si>
  <si>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</si>
  <si>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</si>
  <si>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</si>
  <si>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</si>
  <si>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</si>
  <si>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</si>
  <si>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</si>
  <si>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</si>
  <si>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</si>
  <si>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</si>
  <si>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</si>
  <si>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</si>
  <si>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</si>
  <si>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</si>
  <si>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</si>
  <si>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</si>
  <si>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</si>
  <si>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</si>
  <si>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</si>
  <si>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</si>
  <si>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</si>
  <si>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</si>
  <si>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</si>
  <si>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</si>
  <si>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</si>
  <si>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</si>
  <si>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</si>
  <si>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</si>
  <si>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</si>
  <si>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</si>
  <si>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</si>
  <si>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</si>
  <si>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</si>
  <si>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</si>
  <si>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</si>
  <si>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</si>
  <si>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</si>
  <si>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</si>
  <si>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</si>
  <si>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</si>
  <si>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</si>
  <si>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</si>
  <si>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</si>
  <si>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</si>
  <si>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</si>
  <si>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</si>
  <si>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</si>
  <si>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</si>
  <si>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</si>
  <si>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</si>
  <si>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</si>
  <si>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</si>
  <si>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</si>
  <si>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</si>
  <si>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</si>
  <si>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</si>
  <si>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</si>
  <si>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</si>
  <si>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</si>
  <si>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</si>
  <si>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</si>
  <si>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</si>
  <si>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</si>
  <si>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</si>
  <si>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</si>
  <si>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</si>
  <si>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</si>
  <si>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</si>
  <si>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</si>
  <si>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</si>
  <si>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</si>
  <si>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</si>
  <si>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</si>
  <si>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</si>
  <si>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</si>
  <si>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</si>
  <si>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</si>
  <si>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</si>
  <si>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</si>
  <si>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</si>
  <si>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</si>
  <si>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</si>
  <si>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</si>
  <si>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</si>
  <si>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</si>
  <si>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</si>
  <si>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</si>
  <si>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</si>
  <si>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</si>
  <si>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</si>
  <si>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</si>
  <si>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</si>
  <si>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</si>
  <si>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</si>
  <si>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</si>
  <si>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</si>
  <si>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</si>
  <si>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</si>
  <si>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</si>
  <si>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</si>
  <si>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</si>
  <si>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</si>
  <si>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</si>
  <si>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</si>
  <si>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</si>
  <si>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</si>
  <si>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</si>
  <si>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</si>
  <si>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</si>
  <si>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</si>
  <si>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</si>
  <si>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</si>
  <si>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</si>
  <si>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</si>
  <si>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</si>
  <si>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</si>
  <si>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</si>
  <si>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</si>
  <si>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</si>
  <si>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</si>
  <si>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</si>
  <si>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</si>
  <si>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</si>
  <si>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</si>
  <si>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</si>
  <si>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</si>
  <si>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</si>
  <si>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</si>
  <si>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</si>
  <si>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</si>
  <si>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</si>
  <si>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</si>
  <si>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</si>
  <si>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</si>
  <si>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</si>
  <si>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</si>
  <si>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</si>
  <si>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</si>
  <si>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</si>
  <si>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</si>
  <si>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</si>
  <si>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</si>
  <si>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</si>
  <si>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</si>
  <si>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</si>
  <si>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</si>
  <si>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</si>
  <si>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</si>
  <si>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</si>
  <si>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</si>
  <si>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</si>
  <si>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</si>
  <si>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</si>
  <si>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</si>
  <si>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</si>
  <si>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</si>
  <si>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</si>
  <si>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</si>
  <si>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</si>
  <si>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2627</t>
  </si>
  <si>
    <t>26355173</t>
  </si>
  <si>
    <t>АО "Завод Атлант"</t>
  </si>
  <si>
    <t>2607000333</t>
  </si>
  <si>
    <t>260701001</t>
  </si>
  <si>
    <t>26-05-1994 00:00:00</t>
  </si>
  <si>
    <t>26355197</t>
  </si>
  <si>
    <t>АО "Квант-Энергия"</t>
  </si>
  <si>
    <t>2631002155</t>
  </si>
  <si>
    <t>263101001</t>
  </si>
  <si>
    <t>13-12-1994 00:00:00</t>
  </si>
  <si>
    <t>26419409</t>
  </si>
  <si>
    <t>АО "Невинномысский Азот"</t>
  </si>
  <si>
    <t>2631015563</t>
  </si>
  <si>
    <t>31-12-1992 00:00:00</t>
  </si>
  <si>
    <t>26850785</t>
  </si>
  <si>
    <t>АО "ПТЭК"</t>
  </si>
  <si>
    <t>2632800936</t>
  </si>
  <si>
    <t>263201001</t>
  </si>
  <si>
    <t>10-05-2011 00:00:00</t>
  </si>
  <si>
    <t>26838066</t>
  </si>
  <si>
    <t>АО "РЭУ"</t>
  </si>
  <si>
    <t>7714783092</t>
  </si>
  <si>
    <t>770401001</t>
  </si>
  <si>
    <t>26417110</t>
  </si>
  <si>
    <t>АО "СКЭРК"</t>
  </si>
  <si>
    <t>0721009031</t>
  </si>
  <si>
    <t>263145001</t>
  </si>
  <si>
    <t>26897146</t>
  </si>
  <si>
    <t>АО "Ставропласт"</t>
  </si>
  <si>
    <t>2630000067</t>
  </si>
  <si>
    <t>263001001</t>
  </si>
  <si>
    <t>21-06-2011 00:00:00</t>
  </si>
  <si>
    <t>26355174</t>
  </si>
  <si>
    <t>АО "Ставропольсахар"</t>
  </si>
  <si>
    <t>2607012219</t>
  </si>
  <si>
    <t>07-07-1999 00:00:00</t>
  </si>
  <si>
    <t>26355198</t>
  </si>
  <si>
    <t>АО "Теплосеть" г. Невинномысск</t>
  </si>
  <si>
    <t>2631054298</t>
  </si>
  <si>
    <t>26355211</t>
  </si>
  <si>
    <t>АО "Теплосеть" г. Ставрополь</t>
  </si>
  <si>
    <t>2635095930</t>
  </si>
  <si>
    <t>13-12-2006 00:00:00</t>
  </si>
  <si>
    <t>26355187</t>
  </si>
  <si>
    <t>АО "Хлебокомбинат "Георгиевский"</t>
  </si>
  <si>
    <t>2625012571</t>
  </si>
  <si>
    <t>262501001</t>
  </si>
  <si>
    <t>29-10-1992 00:00:00</t>
  </si>
  <si>
    <t>26355189</t>
  </si>
  <si>
    <t>АО "ЭНЕРГОРЕСУРСЫ"</t>
  </si>
  <si>
    <t>2626020720</t>
  </si>
  <si>
    <t>262601001</t>
  </si>
  <si>
    <t>29-07-1994 00:00:00</t>
  </si>
  <si>
    <t>31076067</t>
  </si>
  <si>
    <t>ВНИИОК- филиал ФГБНУ "Северо-Кавказский ФНАЦ" г.Ставрополь</t>
  </si>
  <si>
    <t>2623000997</t>
  </si>
  <si>
    <t>263443001</t>
  </si>
  <si>
    <t>28118061</t>
  </si>
  <si>
    <t>ГБПОУ ЖХСТ</t>
  </si>
  <si>
    <t>2627012954</t>
  </si>
  <si>
    <t>262701001</t>
  </si>
  <si>
    <t>15-02-2012 00:00:00</t>
  </si>
  <si>
    <t>31246558</t>
  </si>
  <si>
    <t>ГБПОУ ПАТТ</t>
  </si>
  <si>
    <t>2624000742</t>
  </si>
  <si>
    <t>262401001</t>
  </si>
  <si>
    <t>15-05-2001 00:00:00</t>
  </si>
  <si>
    <t>26355222</t>
  </si>
  <si>
    <t>ГБУЗ СК "ККБ"</t>
  </si>
  <si>
    <t>2630019702</t>
  </si>
  <si>
    <t>10-04-1996 00:00:00</t>
  </si>
  <si>
    <t>26355214</t>
  </si>
  <si>
    <t>ГКУЗ "Ставропольский краевой госпиталь для ветеранов войн"</t>
  </si>
  <si>
    <t>2632055946</t>
  </si>
  <si>
    <t>26-05-2011 00:00:00</t>
  </si>
  <si>
    <t>26355225</t>
  </si>
  <si>
    <t>ГУП СК "Крайтеплоэнерго"</t>
  </si>
  <si>
    <t>2635060510</t>
  </si>
  <si>
    <t>16-01-2002 00:00:00</t>
  </si>
  <si>
    <t>26371332</t>
  </si>
  <si>
    <t>18-11-1997 00:00:00</t>
  </si>
  <si>
    <t>26360929</t>
  </si>
  <si>
    <t>ЗАО "ЮЭК" филиал в г. Лермонтов Ставропольского края</t>
  </si>
  <si>
    <t>7704262319</t>
  </si>
  <si>
    <t>262902001</t>
  </si>
  <si>
    <t>23-05-2003 00:00:00</t>
  </si>
  <si>
    <t>31558540</t>
  </si>
  <si>
    <t>Запикетная ГПА-ТЭЦ КПП ООО "ЛУКОЙЛ-Ростовэнерго"</t>
  </si>
  <si>
    <t>6164288981</t>
  </si>
  <si>
    <t>262845003</t>
  </si>
  <si>
    <t>01-01-2022 00:00:00</t>
  </si>
  <si>
    <t>30370933</t>
  </si>
  <si>
    <t>ИП Гукасян Владимир Александрович</t>
  </si>
  <si>
    <t>263603503719</t>
  </si>
  <si>
    <t>24-06-2015 00:00:00</t>
  </si>
  <si>
    <t>29649010</t>
  </si>
  <si>
    <t>ИП Кашурина Дарья Андреевна</t>
  </si>
  <si>
    <t>263408566507</t>
  </si>
  <si>
    <t>14-09-2015 00:00:00</t>
  </si>
  <si>
    <t>30479512</t>
  </si>
  <si>
    <t>ИП Согоян Геворг Владимирович</t>
  </si>
  <si>
    <t>263410214911</t>
  </si>
  <si>
    <t>24-12-2015 00:00:00</t>
  </si>
  <si>
    <t>31601420</t>
  </si>
  <si>
    <t>ИП Чернов Д.В.</t>
  </si>
  <si>
    <t>781912345501</t>
  </si>
  <si>
    <t>15-09-2020 00:00:00</t>
  </si>
  <si>
    <t>31539861</t>
  </si>
  <si>
    <t>Кисловодская ТЭЦ КПП ООО "ЛУКОЙЛ-Ростовэнерго"</t>
  </si>
  <si>
    <t>262845004</t>
  </si>
  <si>
    <t>26355205</t>
  </si>
  <si>
    <t>ЛПУП  Санаторий "РОДНИК"</t>
  </si>
  <si>
    <t>2632053836</t>
  </si>
  <si>
    <t>29-06-1999 00:00:00</t>
  </si>
  <si>
    <t>26355207</t>
  </si>
  <si>
    <t>ЛПУП "Пятигорская бальнеогрязелечебница"</t>
  </si>
  <si>
    <t>2632054854</t>
  </si>
  <si>
    <t>14-11-2002 00:00:00</t>
  </si>
  <si>
    <t>31424319</t>
  </si>
  <si>
    <t>МБУ "Дорожно-хозяйственное управление"</t>
  </si>
  <si>
    <t>2606009260</t>
  </si>
  <si>
    <t>260601001</t>
  </si>
  <si>
    <t>25-05-2020 00:00:00</t>
  </si>
  <si>
    <t>28450562</t>
  </si>
  <si>
    <t>МУП "Комбытсервис" с. Ладовская Балка</t>
  </si>
  <si>
    <t>2611007282</t>
  </si>
  <si>
    <t>261101001</t>
  </si>
  <si>
    <t>08-10-2003 00:00:00</t>
  </si>
  <si>
    <t>26383213</t>
  </si>
  <si>
    <t>МУП "Лермонтовгоргаз"</t>
  </si>
  <si>
    <t>2629005046</t>
  </si>
  <si>
    <t>262901001</t>
  </si>
  <si>
    <t>21-11-2002 00:00:00</t>
  </si>
  <si>
    <t>26526815</t>
  </si>
  <si>
    <t>МУП ЖКХ Александровского округа</t>
  </si>
  <si>
    <t>2601004596</t>
  </si>
  <si>
    <t>260101001</t>
  </si>
  <si>
    <t>08-09-1998 00:00:00</t>
  </si>
  <si>
    <t>31589489</t>
  </si>
  <si>
    <t>МУП КМО СК "ЖКХ Кочубеевское"</t>
  </si>
  <si>
    <t>2610801118</t>
  </si>
  <si>
    <t>261001001</t>
  </si>
  <si>
    <t>19-03-2014 00:00:00</t>
  </si>
  <si>
    <t>26800337</t>
  </si>
  <si>
    <t>ОАО "Международный аэропорт Минеральные Воды"</t>
  </si>
  <si>
    <t>2630800970</t>
  </si>
  <si>
    <t>25-01-2012 00:00:00</t>
  </si>
  <si>
    <t>27507656</t>
  </si>
  <si>
    <t>ОАО "РЭУ" Филиал Владикавказский</t>
  </si>
  <si>
    <t>151543001</t>
  </si>
  <si>
    <t>18-06-2009 00:00:00</t>
  </si>
  <si>
    <t>31022141</t>
  </si>
  <si>
    <t>ООО "Горизонт"</t>
  </si>
  <si>
    <t>2616008378</t>
  </si>
  <si>
    <t>772701001</t>
  </si>
  <si>
    <t>15-11-2023 00:00:00</t>
  </si>
  <si>
    <t>31634484</t>
  </si>
  <si>
    <t>ООО "ДОМ СТРОЙ"</t>
  </si>
  <si>
    <t>2632102593</t>
  </si>
  <si>
    <t>02-08-2017 00:00:00</t>
  </si>
  <si>
    <t>31062553</t>
  </si>
  <si>
    <t>ООО "КОМС ПЛЮС"</t>
  </si>
  <si>
    <t>2602006892</t>
  </si>
  <si>
    <t>260201001</t>
  </si>
  <si>
    <t>26-06-2017 00:00:00</t>
  </si>
  <si>
    <t>31423130</t>
  </si>
  <si>
    <t>ООО "КОМФОРТНОЕ ЖИЛЬЕ МВ"</t>
  </si>
  <si>
    <t>2630049190</t>
  </si>
  <si>
    <t>31235882</t>
  </si>
  <si>
    <t>ООО "Коммунальное хозяйство" Туркменского муниципального района Ставропольского края</t>
  </si>
  <si>
    <t>2622005600</t>
  </si>
  <si>
    <t>262201001</t>
  </si>
  <si>
    <t>02-07-2018 00:00:00</t>
  </si>
  <si>
    <t>27567409</t>
  </si>
  <si>
    <t>ООО "ЛУКОЙЛ-Ставропольэнерго"</t>
  </si>
  <si>
    <t>2624033219</t>
  </si>
  <si>
    <t>01-08-2011 00:00:00</t>
  </si>
  <si>
    <t>26355170</t>
  </si>
  <si>
    <t>ООО "Мултон Партнерс" филиал в селе Солуно-Дмитриевское</t>
  </si>
  <si>
    <t>7701215046</t>
  </si>
  <si>
    <t>525801001</t>
  </si>
  <si>
    <t>15-04-1999 00:00:00</t>
  </si>
  <si>
    <t>26355190</t>
  </si>
  <si>
    <t>ООО "Объединение котельных курорта" г.Ессентуки</t>
  </si>
  <si>
    <t>2626027362</t>
  </si>
  <si>
    <t>26355209</t>
  </si>
  <si>
    <t>ООО "Пятигорсктеплосервис"</t>
  </si>
  <si>
    <t>2632062277</t>
  </si>
  <si>
    <t>26891086</t>
  </si>
  <si>
    <t>ООО "Ритм-Б"</t>
  </si>
  <si>
    <t>2636032690</t>
  </si>
  <si>
    <t>22-04-2011 00:00:00</t>
  </si>
  <si>
    <t>31491888</t>
  </si>
  <si>
    <t>ООО "СЗ РП-СК"</t>
  </si>
  <si>
    <t>2618015243</t>
  </si>
  <si>
    <t>261801001</t>
  </si>
  <si>
    <t>13-08-2010 00:00:00</t>
  </si>
  <si>
    <t>28952051</t>
  </si>
  <si>
    <t>ООО "СКС"</t>
  </si>
  <si>
    <t>2607000284</t>
  </si>
  <si>
    <t>10-03-2015 00:00:00</t>
  </si>
  <si>
    <t>26355203</t>
  </si>
  <si>
    <t>ООО "Санаторий "Тарханы"</t>
  </si>
  <si>
    <t>2632012646</t>
  </si>
  <si>
    <t>26893305</t>
  </si>
  <si>
    <t>ООО "Сфера"</t>
  </si>
  <si>
    <t>2601009756</t>
  </si>
  <si>
    <t>25-02-2011 00:00:00</t>
  </si>
  <si>
    <t>26355208</t>
  </si>
  <si>
    <t>ООО "ТЕХНО-Сервис"</t>
  </si>
  <si>
    <t>2632059130</t>
  </si>
  <si>
    <t>28535957</t>
  </si>
  <si>
    <t>ООО "Теплосервис-КМВ"</t>
  </si>
  <si>
    <t>2625800847</t>
  </si>
  <si>
    <t>06-02-2012 00:00:00</t>
  </si>
  <si>
    <t>30853665</t>
  </si>
  <si>
    <t>ООО "Теплоснаб-НШК"</t>
  </si>
  <si>
    <t>2631806212</t>
  </si>
  <si>
    <t>21-11-2014 00:00:00</t>
  </si>
  <si>
    <t>31311400</t>
  </si>
  <si>
    <t>ООО "Теплострой"</t>
  </si>
  <si>
    <t>2625033363</t>
  </si>
  <si>
    <t>11-05-2007 00:00:00</t>
  </si>
  <si>
    <t>30479236</t>
  </si>
  <si>
    <t>ООО "Теплоэнерго Кисловодск"</t>
  </si>
  <si>
    <t>2628057299</t>
  </si>
  <si>
    <t>262801001</t>
  </si>
  <si>
    <t>20-04-2016 00:00:00</t>
  </si>
  <si>
    <t>26891277</t>
  </si>
  <si>
    <t>ООО "Теплый дом"</t>
  </si>
  <si>
    <t>2601009690</t>
  </si>
  <si>
    <t>11-01-2011 00:00:00</t>
  </si>
  <si>
    <t>31707325</t>
  </si>
  <si>
    <t>ООО "Торнадо"</t>
  </si>
  <si>
    <t>2628059994</t>
  </si>
  <si>
    <t>16-12-2019 00:00:00</t>
  </si>
  <si>
    <t>27882380</t>
  </si>
  <si>
    <t>ООО "ЭНЕРГЕТИК" (котельная "Машук" в г. Пятигорске)</t>
  </si>
  <si>
    <t>2618800660</t>
  </si>
  <si>
    <t>26-03-2012 00:00:00</t>
  </si>
  <si>
    <t>31369128</t>
  </si>
  <si>
    <t>ООО "ЭНЕРГИЯ"</t>
  </si>
  <si>
    <t>2630049200</t>
  </si>
  <si>
    <t>19-06-2019 00:00:00</t>
  </si>
  <si>
    <t>31335320</t>
  </si>
  <si>
    <t>ООО "Юг-Ресурс"</t>
  </si>
  <si>
    <t>0901047734</t>
  </si>
  <si>
    <t>090101001</t>
  </si>
  <si>
    <t>26355224</t>
  </si>
  <si>
    <t>ООО «Газпром трансгаз Ставрополь»</t>
  </si>
  <si>
    <t>2636032629</t>
  </si>
  <si>
    <t>263601001</t>
  </si>
  <si>
    <t>30-06-1999 00:00:00</t>
  </si>
  <si>
    <t>31424186</t>
  </si>
  <si>
    <t>ООО КХ Арзгирского района</t>
  </si>
  <si>
    <t>2604006104</t>
  </si>
  <si>
    <t>260401001</t>
  </si>
  <si>
    <t>03-06-2020 00:00:00</t>
  </si>
  <si>
    <t>31461451</t>
  </si>
  <si>
    <t>ООО фирма "Сириус"</t>
  </si>
  <si>
    <t>2636011026</t>
  </si>
  <si>
    <t>25-11-2002 00:00:00</t>
  </si>
  <si>
    <t>30356084</t>
  </si>
  <si>
    <t>Обособленное подразделение "Ставропольское" АО "ГУ ЖКХ"</t>
  </si>
  <si>
    <t>5116000922</t>
  </si>
  <si>
    <t>263445001</t>
  </si>
  <si>
    <t>13-05-2009 00:00:00</t>
  </si>
  <si>
    <t>27051140</t>
  </si>
  <si>
    <t>ПАО "ОГК-2"</t>
  </si>
  <si>
    <t>2607018122</t>
  </si>
  <si>
    <t>781701001</t>
  </si>
  <si>
    <t>09-03-2005 00:00:00</t>
  </si>
  <si>
    <t>26355219</t>
  </si>
  <si>
    <t>ПАО "Ставропольский радиозавод "Сигнал"</t>
  </si>
  <si>
    <t>2635000092</t>
  </si>
  <si>
    <t>26318929</t>
  </si>
  <si>
    <t>ПАО "Ставропольэнергосбыт"</t>
  </si>
  <si>
    <t>2626033550</t>
  </si>
  <si>
    <t>785150001</t>
  </si>
  <si>
    <t>01-04-2005 00:00:00</t>
  </si>
  <si>
    <t>РЕГИОНАЛЬНАЯ ТАРИФНАЯ КОМИССИЯ СТАВРОПОЛЬСКОГО КРАЯ</t>
  </si>
  <si>
    <t>2635105024</t>
  </si>
  <si>
    <t>263401001</t>
  </si>
  <si>
    <t>30438499</t>
  </si>
  <si>
    <t>Санаторий им. И.М.Сеченова - НКФ ФГБУ " НМИЦ РК" Минздрава России</t>
  </si>
  <si>
    <t>7704040281</t>
  </si>
  <si>
    <t>262643002</t>
  </si>
  <si>
    <t>15-03-2016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</si>
  <si>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</si>
  <si>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</si>
  <si>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</si>
  <si>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</si>
  <si>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</si>
  <si>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</si>
  <si>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</si>
  <si>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</si>
  <si>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</si>
  <si>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28980134</t>
  </si>
  <si>
    <t>УФСБ России по Ставропольскому краю</t>
  </si>
  <si>
    <t>2634025295</t>
  </si>
  <si>
    <t>30923515</t>
  </si>
  <si>
    <t>ФГБУ "Центральное жилищно-коммунальное управление" Министерства обороны РФ</t>
  </si>
  <si>
    <t>7729314745</t>
  </si>
  <si>
    <t>616543001</t>
  </si>
  <si>
    <t>26416944</t>
  </si>
  <si>
    <t>Филиал "Невинномысская ГРЭС" ПАО "ЭЛ5-Энерго"</t>
  </si>
  <si>
    <t>6671156423</t>
  </si>
  <si>
    <t>263102001</t>
  </si>
  <si>
    <t>27-10-2004 00:00:00</t>
  </si>
  <si>
    <t>31062737</t>
  </si>
  <si>
    <t>Филиал АО НПО «Микроген» в г. Ставрополь «Аллерген»</t>
  </si>
  <si>
    <t>7722422237</t>
  </si>
  <si>
    <t>01-01-2018 00:00:00</t>
  </si>
  <si>
    <t>26416974</t>
  </si>
  <si>
    <t>Филиал ПАО "ОГК-2"-Ставропольская ГРЭС</t>
  </si>
  <si>
    <t>260702001</t>
  </si>
  <si>
    <t>26379464</t>
  </si>
  <si>
    <t>АО "Водоканал" г. Невинномысск</t>
  </si>
  <si>
    <t>2631054308</t>
  </si>
  <si>
    <t>30-07-2010 00:00:00</t>
  </si>
  <si>
    <t>26653521</t>
  </si>
  <si>
    <t>АО "Монокристалл"</t>
  </si>
  <si>
    <t>2635116509</t>
  </si>
  <si>
    <t>21-07-2008 00:00:00</t>
  </si>
  <si>
    <t>26645437</t>
  </si>
  <si>
    <t>АО "Ставропольнефтегеофизика"</t>
  </si>
  <si>
    <t>2634011976</t>
  </si>
  <si>
    <t>06-05-1994 00:00:00</t>
  </si>
  <si>
    <t>27741540</t>
  </si>
  <si>
    <t>ГБУ СК «Управление СЭСПН»</t>
  </si>
  <si>
    <t>2636802148</t>
  </si>
  <si>
    <t>09-08-2011 00:00:00</t>
  </si>
  <si>
    <t>26371496</t>
  </si>
  <si>
    <t>ГУП СК "Верхнерусское КХ"</t>
  </si>
  <si>
    <t>2623012008</t>
  </si>
  <si>
    <t>262301001</t>
  </si>
  <si>
    <t>21-09-1998 00:00:00</t>
  </si>
  <si>
    <t>26355180</t>
  </si>
  <si>
    <t>ГУП СК "ЖКХ Советского района"</t>
  </si>
  <si>
    <t>2619001525</t>
  </si>
  <si>
    <t>261901001</t>
  </si>
  <si>
    <t>01-06-1993 00:00:00</t>
  </si>
  <si>
    <t>26371493</t>
  </si>
  <si>
    <t>ГУП СК "Зеленокумский водоканал"</t>
  </si>
  <si>
    <t>2619011227</t>
  </si>
  <si>
    <t>27-09-2005 00:00:00</t>
  </si>
  <si>
    <t>26371497</t>
  </si>
  <si>
    <t>ГУП СК "Коммунальник"</t>
  </si>
  <si>
    <t>2623015288</t>
  </si>
  <si>
    <t>28-03-2001 00:00:00</t>
  </si>
  <si>
    <t>30855619</t>
  </si>
  <si>
    <t>ГУП СК "Корпорация развития Ставропольского края"</t>
  </si>
  <si>
    <t>2634088104</t>
  </si>
  <si>
    <t>29-12-2009 00:00:00</t>
  </si>
  <si>
    <t>30854760</t>
  </si>
  <si>
    <t>ЗАО "Доброжеланный"</t>
  </si>
  <si>
    <t>2624000830</t>
  </si>
  <si>
    <t>12-10-1999 00:00:00</t>
  </si>
  <si>
    <t>26412185</t>
  </si>
  <si>
    <t>ЗАО "Пятигорская птицефабрика"</t>
  </si>
  <si>
    <t>2618016913</t>
  </si>
  <si>
    <t>06-12-2004 00:00:00</t>
  </si>
  <si>
    <t>31092053</t>
  </si>
  <si>
    <t>ИП Николаенко Ю.И.</t>
  </si>
  <si>
    <t>262300362915</t>
  </si>
  <si>
    <t>31-07-2017 00:00:00</t>
  </si>
  <si>
    <t>26414239</t>
  </si>
  <si>
    <t>Колхоз имени Ленина</t>
  </si>
  <si>
    <t>2612000297</t>
  </si>
  <si>
    <t>261201001</t>
  </si>
  <si>
    <t>24-11-2000 00:00:00</t>
  </si>
  <si>
    <t>26414263</t>
  </si>
  <si>
    <t>МП НГО СК "Горьковское жилищно-коммунальное хозяйство"</t>
  </si>
  <si>
    <t>2615012406</t>
  </si>
  <si>
    <t>261501001</t>
  </si>
  <si>
    <t>12-11-2001 00:00:00</t>
  </si>
  <si>
    <t>26371484</t>
  </si>
  <si>
    <t>МП НГО СК "Расшеватский водоканал"</t>
  </si>
  <si>
    <t>2615010800</t>
  </si>
  <si>
    <t>14-09-1998 00:00:00</t>
  </si>
  <si>
    <t>26607132</t>
  </si>
  <si>
    <t>МУП "АКВА" с. Каясула НГО СК</t>
  </si>
  <si>
    <t>2614020796</t>
  </si>
  <si>
    <t>261401001</t>
  </si>
  <si>
    <t>15-12-2009 00:00:00</t>
  </si>
  <si>
    <t>26371474</t>
  </si>
  <si>
    <t>МУП "ВОДНИК" с. Ачикулак НГО СК</t>
  </si>
  <si>
    <t>2614010371</t>
  </si>
  <si>
    <t>15-11-1996 00:00:00</t>
  </si>
  <si>
    <t>26379466</t>
  </si>
  <si>
    <t>МУП "ВОДОКАНАЛ"</t>
  </si>
  <si>
    <t>2633001291</t>
  </si>
  <si>
    <t>25-10-2000 00:00:00</t>
  </si>
  <si>
    <t>26371471</t>
  </si>
  <si>
    <t>МУП "Водоканал" села Дмитриевского</t>
  </si>
  <si>
    <t>2611007620</t>
  </si>
  <si>
    <t>01-09-2005 00:00:00</t>
  </si>
  <si>
    <t>28176846</t>
  </si>
  <si>
    <t>МУП "Водоканал-Т"</t>
  </si>
  <si>
    <t>2623802302</t>
  </si>
  <si>
    <t>26-02-2013 00:00:00</t>
  </si>
  <si>
    <t>26640775</t>
  </si>
  <si>
    <t>МУП "Гарант" НГО СК</t>
  </si>
  <si>
    <t>2614019014</t>
  </si>
  <si>
    <t>24-03-2005 00:00:00</t>
  </si>
  <si>
    <t>26371495</t>
  </si>
  <si>
    <t>МУП "Коммунальное хозяйство села Горькая Балка"</t>
  </si>
  <si>
    <t>2619011442</t>
  </si>
  <si>
    <t>28-02-2006 00:00:00</t>
  </si>
  <si>
    <t>26371470</t>
  </si>
  <si>
    <t>МУП "Коммунальщик"</t>
  </si>
  <si>
    <t>2609022692</t>
  </si>
  <si>
    <t>260901001</t>
  </si>
  <si>
    <t>26-01-2007 00:00:00</t>
  </si>
  <si>
    <t>27519585</t>
  </si>
  <si>
    <t>2623800665</t>
  </si>
  <si>
    <t>08-07-2011 00:00:00</t>
  </si>
  <si>
    <t>26371476</t>
  </si>
  <si>
    <t>МУП "Нептун" НГО СК</t>
  </si>
  <si>
    <t>2614017835</t>
  </si>
  <si>
    <t>17-10-2001 00:00:00</t>
  </si>
  <si>
    <t>26371500</t>
  </si>
  <si>
    <t>МУП "Прогресс"</t>
  </si>
  <si>
    <t>2623019412</t>
  </si>
  <si>
    <t>14-03-2006 00:00:00</t>
  </si>
  <si>
    <t>26371478</t>
  </si>
  <si>
    <t>МУП "Родник" х. Андрей-Курган</t>
  </si>
  <si>
    <t>2614018998</t>
  </si>
  <si>
    <t>28-02-2005 00:00:00</t>
  </si>
  <si>
    <t>20-10-2023 00:00:00</t>
  </si>
  <si>
    <t>26371508</t>
  </si>
  <si>
    <t>МУП "Славянка"</t>
  </si>
  <si>
    <t>2630039233</t>
  </si>
  <si>
    <t>03-05-2007 00:00:00</t>
  </si>
  <si>
    <t>31315796</t>
  </si>
  <si>
    <t>МУП ЖКХ и БОН "Коммунальник"</t>
  </si>
  <si>
    <t>2624026571</t>
  </si>
  <si>
    <t>13-05-2002 00:00:00</t>
  </si>
  <si>
    <t>28942344</t>
  </si>
  <si>
    <t>МУП ИГО СК ЖКХ "Подлужное"</t>
  </si>
  <si>
    <t>2607801661</t>
  </si>
  <si>
    <t>17-10-2014 00:00:00</t>
  </si>
  <si>
    <t>26371468</t>
  </si>
  <si>
    <t>МУП КГО СК "Надежда"</t>
  </si>
  <si>
    <t>2609022928</t>
  </si>
  <si>
    <t>25-07-2007 00:00:00</t>
  </si>
  <si>
    <t>26371498</t>
  </si>
  <si>
    <t>МУП ШМО СК "Родник"</t>
  </si>
  <si>
    <t>2623017550</t>
  </si>
  <si>
    <t>30-12-2003 00:00:00</t>
  </si>
  <si>
    <t>31222756</t>
  </si>
  <si>
    <t>Муниципальное унитарное предприятие сельского поселения Этоко Зольского муниципального  района Кабардино-Балкарской Республики "УЮТ"</t>
  </si>
  <si>
    <t>0702011780</t>
  </si>
  <si>
    <t>070201001</t>
  </si>
  <si>
    <t>13-09-2018 00:00:00</t>
  </si>
  <si>
    <t>27164074</t>
  </si>
  <si>
    <t>ОАО "Тищенское"</t>
  </si>
  <si>
    <t>2607017136</t>
  </si>
  <si>
    <t>11-11-2003 00:00:00</t>
  </si>
  <si>
    <t>30839002</t>
  </si>
  <si>
    <t>ОАО "Урожайное"</t>
  </si>
  <si>
    <t>2615012420</t>
  </si>
  <si>
    <t>17-01-2002 00:00:00</t>
  </si>
  <si>
    <t>27662763</t>
  </si>
  <si>
    <t>ООО "АПСК"</t>
  </si>
  <si>
    <t>2619010470</t>
  </si>
  <si>
    <t>25-08-2003 00:00:00</t>
  </si>
  <si>
    <t>16-05-2023 00:00:00</t>
  </si>
  <si>
    <t>26371504</t>
  </si>
  <si>
    <t>ООО "ЖКХ Орловка"</t>
  </si>
  <si>
    <t>2624030031</t>
  </si>
  <si>
    <t>28-09-2006 00:00:00</t>
  </si>
  <si>
    <t>26414057</t>
  </si>
  <si>
    <t>ООО "ИРМАГ"</t>
  </si>
  <si>
    <t>2612018858</t>
  </si>
  <si>
    <t>27-01-2004 00:00:00</t>
  </si>
  <si>
    <t>27564249</t>
  </si>
  <si>
    <t>ООО "Исток"</t>
  </si>
  <si>
    <t>0702007920</t>
  </si>
  <si>
    <t>26371503</t>
  </si>
  <si>
    <t>ООО "Краснооктябрьское ЖКХ"</t>
  </si>
  <si>
    <t>2624030024</t>
  </si>
  <si>
    <t>28046959</t>
  </si>
  <si>
    <t>ООО "ЛУКОЙЛ-ЭНЕРГОСЕТИ"</t>
  </si>
  <si>
    <t>5260230051</t>
  </si>
  <si>
    <t>770901001</t>
  </si>
  <si>
    <t>17-01-2013 00:00:00</t>
  </si>
  <si>
    <t>26414003</t>
  </si>
  <si>
    <t>ООО "Нептун"</t>
  </si>
  <si>
    <t>2609021280</t>
  </si>
  <si>
    <t>02-06-2003 00:00:00</t>
  </si>
  <si>
    <t>28855808</t>
  </si>
  <si>
    <t>ООО "ОРБИТА"</t>
  </si>
  <si>
    <t>2618014190</t>
  </si>
  <si>
    <t>06-08-2001 00:00:00</t>
  </si>
  <si>
    <t>31658293</t>
  </si>
  <si>
    <t>ООО "Олимп"</t>
  </si>
  <si>
    <t>2609800350</t>
  </si>
  <si>
    <t>25-06-2013 00:00:00</t>
  </si>
  <si>
    <t>31640635</t>
  </si>
  <si>
    <t>ООО "Перспектива"</t>
  </si>
  <si>
    <t>2635802850</t>
  </si>
  <si>
    <t>26414049</t>
  </si>
  <si>
    <t>ООО "СП "Содружество"</t>
  </si>
  <si>
    <t>2612019820</t>
  </si>
  <si>
    <t>15-07-2008 00:00:00</t>
  </si>
  <si>
    <t>31423903</t>
  </si>
  <si>
    <t>ООО Специализированный застройщик "ТЕРОС"</t>
  </si>
  <si>
    <t>2626028253</t>
  </si>
  <si>
    <t>17-05-2000 00:00:00</t>
  </si>
  <si>
    <t>31420059</t>
  </si>
  <si>
    <t>СОНТ "Октябрь"</t>
  </si>
  <si>
    <t>2624031596</t>
  </si>
  <si>
    <t>30-04-2008 00:00:00</t>
  </si>
  <si>
    <t>26371479</t>
  </si>
  <si>
    <t>СПА "Колхоз им.Ворошилова"</t>
  </si>
  <si>
    <t>2615001041</t>
  </si>
  <si>
    <t>09-09-1997 00:00:00</t>
  </si>
  <si>
    <t>26530688</t>
  </si>
  <si>
    <t>СПК "Агрофирма" Восточное"</t>
  </si>
  <si>
    <t>2619009002</t>
  </si>
  <si>
    <t>06-05-2000 00:00:00</t>
  </si>
  <si>
    <t>14-04-2023 00:00:00</t>
  </si>
  <si>
    <t>27606482</t>
  </si>
  <si>
    <t>СПК колхоз "Правокумский"</t>
  </si>
  <si>
    <t>2619009161</t>
  </si>
  <si>
    <t>17-07-2000 00:00:00</t>
  </si>
  <si>
    <t>28147219</t>
  </si>
  <si>
    <t>СХАО "Радуга"</t>
  </si>
  <si>
    <t>2615001161</t>
  </si>
  <si>
    <t>12-05-1996 00:00:00</t>
  </si>
  <si>
    <t>28033347</t>
  </si>
  <si>
    <t>ФКУ ИК-6 УФСИН России по Ставропольскому краю</t>
  </si>
  <si>
    <t>2612000434</t>
  </si>
  <si>
    <t>13-05-1999 00:00:00</t>
  </si>
  <si>
    <t>26606928</t>
  </si>
  <si>
    <t>ЗАО "Люминофор-Сервис"</t>
  </si>
  <si>
    <t>2635050255</t>
  </si>
  <si>
    <t>01-12-1999 00:00:00</t>
  </si>
  <si>
    <t>26379457</t>
  </si>
  <si>
    <t>МУП ЖКХ КМО СК</t>
  </si>
  <si>
    <t>2611000128</t>
  </si>
  <si>
    <t>24-09-1997 00:00:00</t>
  </si>
  <si>
    <t>28221858</t>
  </si>
  <si>
    <t>ООО "Аква"</t>
  </si>
  <si>
    <t>0916008329</t>
  </si>
  <si>
    <t>091601001</t>
  </si>
  <si>
    <t>26379452</t>
  </si>
  <si>
    <t>ООО "Ремав"</t>
  </si>
  <si>
    <t>2607012628</t>
  </si>
  <si>
    <t>16-09-1999 00:00:00</t>
  </si>
  <si>
    <t>26411986</t>
  </si>
  <si>
    <t>ООО "СВОП"</t>
  </si>
  <si>
    <t>2636008513</t>
  </si>
  <si>
    <t>08-06-1992 00:00:00</t>
  </si>
  <si>
    <t>31365348</t>
  </si>
  <si>
    <t>ООО "Ставропольский бройлер" филиал "Рыздвяненский"</t>
  </si>
  <si>
    <t>2623030222</t>
  </si>
  <si>
    <t>260743001</t>
  </si>
  <si>
    <t>04-04-2019 00:00:00</t>
  </si>
  <si>
    <t>27519657</t>
  </si>
  <si>
    <t>ООО "ЮТАС"</t>
  </si>
  <si>
    <t>2624800097</t>
  </si>
  <si>
    <t>23-12-2010 00:00:00</t>
  </si>
  <si>
    <t>31707288</t>
  </si>
  <si>
    <t>ИП Акулов А.А.</t>
  </si>
  <si>
    <t>890500713182</t>
  </si>
  <si>
    <t>22-12-2004 00:00:00</t>
  </si>
  <si>
    <t>31690852</t>
  </si>
  <si>
    <t>ИП Багинян Г.Р.</t>
  </si>
  <si>
    <t>263600127030</t>
  </si>
  <si>
    <t>07-11-2008 00:00:00</t>
  </si>
  <si>
    <t>31707274</t>
  </si>
  <si>
    <t>ИП Багинян Р.Г.</t>
  </si>
  <si>
    <t>263600476256</t>
  </si>
  <si>
    <t>31701704</t>
  </si>
  <si>
    <t>ИП Бежанова А.П.</t>
  </si>
  <si>
    <t>263600720507</t>
  </si>
  <si>
    <t>24-08-2020 00:00:00</t>
  </si>
  <si>
    <t>31690994</t>
  </si>
  <si>
    <t>ИП Долгополов С.В.</t>
  </si>
  <si>
    <t>263500444701</t>
  </si>
  <si>
    <t>26-05-2016 00:00:00</t>
  </si>
  <si>
    <t>31690901</t>
  </si>
  <si>
    <t>ИП Мадатян М.С.</t>
  </si>
  <si>
    <t>263601981981</t>
  </si>
  <si>
    <t>31690880</t>
  </si>
  <si>
    <t>ИП Мкртичян А.Ю.</t>
  </si>
  <si>
    <t>263501922460</t>
  </si>
  <si>
    <t>12-11-2013 00:00:00</t>
  </si>
  <si>
    <t>31701582</t>
  </si>
  <si>
    <t>ИП Омельченко Н.П.</t>
  </si>
  <si>
    <t>612900047590</t>
  </si>
  <si>
    <t>28-08-2019 00:00:00</t>
  </si>
  <si>
    <t>31690980</t>
  </si>
  <si>
    <t>ИП Терехова М.С.</t>
  </si>
  <si>
    <t>263511878732</t>
  </si>
  <si>
    <t>19-08-2015 00:00:00</t>
  </si>
  <si>
    <t>31701514</t>
  </si>
  <si>
    <t>ИП Чукунова Е.А.</t>
  </si>
  <si>
    <t>263603746542</t>
  </si>
  <si>
    <t>31690866</t>
  </si>
  <si>
    <t>ИП Шмыгина Е.А.</t>
  </si>
  <si>
    <t>263507354077</t>
  </si>
  <si>
    <t>08-11-2016 00:00:00</t>
  </si>
  <si>
    <t>31690917</t>
  </si>
  <si>
    <t>ИП Шмыгина М.А.</t>
  </si>
  <si>
    <t>263513970525</t>
  </si>
  <si>
    <t>29-08-2019 00:00:00</t>
  </si>
  <si>
    <t>30835825</t>
  </si>
  <si>
    <t>МУП "ЖКХ" Ипатовского района</t>
  </si>
  <si>
    <t>2608007701</t>
  </si>
  <si>
    <t>260801001</t>
  </si>
  <si>
    <t>10-06-1998 00:00:00</t>
  </si>
  <si>
    <t>31694439</t>
  </si>
  <si>
    <t>ООО "АС-Строй"</t>
  </si>
  <si>
    <t>2630804075</t>
  </si>
  <si>
    <t>04-02-2014 00:00:00</t>
  </si>
  <si>
    <t>31448767</t>
  </si>
  <si>
    <t>ООО "АгентМВ"</t>
  </si>
  <si>
    <t>2630050075</t>
  </si>
  <si>
    <t>12-12-2018 00:00:00</t>
  </si>
  <si>
    <t>26414362</t>
  </si>
  <si>
    <t>ООО "Арго"</t>
  </si>
  <si>
    <t>2626005270</t>
  </si>
  <si>
    <t>10-06-1997 00:00:00</t>
  </si>
  <si>
    <t>31694756</t>
  </si>
  <si>
    <t>ООО "Вторресурс"</t>
  </si>
  <si>
    <t>2628058937</t>
  </si>
  <si>
    <t>05-03-2018 00:00:00</t>
  </si>
  <si>
    <t>31694367</t>
  </si>
  <si>
    <t>ООО "ГРИН СИТИ"</t>
  </si>
  <si>
    <t>2630050830</t>
  </si>
  <si>
    <t>19-09-2019 00:00:00</t>
  </si>
  <si>
    <t>31152714</t>
  </si>
  <si>
    <t>ООО "ЖКХ"</t>
  </si>
  <si>
    <t>2630040574</t>
  </si>
  <si>
    <t>17-12-2007 00:00:00</t>
  </si>
  <si>
    <t>26645427</t>
  </si>
  <si>
    <t>ООО "КБ"</t>
  </si>
  <si>
    <t>2624033201</t>
  </si>
  <si>
    <t>28-10-2010 00:00:00</t>
  </si>
  <si>
    <t>31694405</t>
  </si>
  <si>
    <t>ООО "КОМФОРТНАЯ СРЕДА"</t>
  </si>
  <si>
    <t>2630050815</t>
  </si>
  <si>
    <t>12-09-2019 00:00:00</t>
  </si>
  <si>
    <t>31690958</t>
  </si>
  <si>
    <t>ООО "ПТК"</t>
  </si>
  <si>
    <t>2627800105</t>
  </si>
  <si>
    <t>03-02-2014 00:00:00</t>
  </si>
  <si>
    <t>26382163</t>
  </si>
  <si>
    <t>ООО "Полигон Яр"</t>
  </si>
  <si>
    <t>2635074930</t>
  </si>
  <si>
    <t>28-07-2004 00:00:00</t>
  </si>
  <si>
    <t>31690838</t>
  </si>
  <si>
    <t>ООО "Полигон-Сервис"</t>
  </si>
  <si>
    <t>2636090229</t>
  </si>
  <si>
    <t>24-02-2010 00:00:00</t>
  </si>
  <si>
    <t>31707384</t>
  </si>
  <si>
    <t>ООО "РБ ГРУПП"</t>
  </si>
  <si>
    <t>2635240425</t>
  </si>
  <si>
    <t>10-04-2019 00:00:00</t>
  </si>
  <si>
    <t>30983469</t>
  </si>
  <si>
    <t>ООО "СУО"</t>
  </si>
  <si>
    <t>2626045386</t>
  </si>
  <si>
    <t>08-04-2016 00:00:00</t>
  </si>
  <si>
    <t>30474739</t>
  </si>
  <si>
    <t>ООО "Сортировка и переработка"</t>
  </si>
  <si>
    <t>2626800053</t>
  </si>
  <si>
    <t>04-05-2011 00:00:00</t>
  </si>
  <si>
    <t>31690811</t>
  </si>
  <si>
    <t>ООО "Спецсервис"</t>
  </si>
  <si>
    <t>2627024149</t>
  </si>
  <si>
    <t>15-07-2009 00:00:00</t>
  </si>
  <si>
    <t>26647914</t>
  </si>
  <si>
    <t>ООО "Сфера-М"</t>
  </si>
  <si>
    <t>2625036124</t>
  </si>
  <si>
    <t>24-09-2009 00:00:00</t>
  </si>
  <si>
    <t>31694858</t>
  </si>
  <si>
    <t>ООО "ТЕХНОЛОГЯ КОМФОРТА"</t>
  </si>
  <si>
    <t>2630050847</t>
  </si>
  <si>
    <t>20-09-2019 00:00:00</t>
  </si>
  <si>
    <t>31697666</t>
  </si>
  <si>
    <t>ООО "УК СБО"</t>
  </si>
  <si>
    <t>2624033466</t>
  </si>
  <si>
    <t>15-05-2015 00:00:00</t>
  </si>
  <si>
    <t>31152710</t>
  </si>
  <si>
    <t>ООО "Уборочные Технологии"</t>
  </si>
  <si>
    <t>2628058084</t>
  </si>
  <si>
    <t>31-01-2017 00:00:00</t>
  </si>
  <si>
    <t>30431429</t>
  </si>
  <si>
    <t>ООО "ЭКЛАТ"</t>
  </si>
  <si>
    <t>2605016112</t>
  </si>
  <si>
    <t>30-06-2015 00:00:00</t>
  </si>
  <si>
    <t>31694800</t>
  </si>
  <si>
    <t>ООО "ЭСК"</t>
  </si>
  <si>
    <t>2627027277</t>
  </si>
  <si>
    <t>18-09-2019 00:00:00</t>
  </si>
  <si>
    <t>31690966</t>
  </si>
  <si>
    <t>ООО "Эко-Сервис"</t>
  </si>
  <si>
    <t>2635128529</t>
  </si>
  <si>
    <t>23-10-2009 00:00:00</t>
  </si>
  <si>
    <t>31691019</t>
  </si>
  <si>
    <t>ООО "Эко-Сити ПР"</t>
  </si>
  <si>
    <t>2617013934</t>
  </si>
  <si>
    <t>261701001</t>
  </si>
  <si>
    <t>20-07-2015 00:00:00</t>
  </si>
  <si>
    <t>27998960</t>
  </si>
  <si>
    <t>ООО "Эко-Сити"</t>
  </si>
  <si>
    <t>2636803134</t>
  </si>
  <si>
    <t>21-12-2011 00:00:00</t>
  </si>
  <si>
    <t>31206698</t>
  </si>
  <si>
    <t>ООО "Эко-город"</t>
  </si>
  <si>
    <t>2628801895</t>
  </si>
  <si>
    <t>17-06-2013 00:00:00</t>
  </si>
  <si>
    <t>31694819</t>
  </si>
  <si>
    <t>ООО "ЭкоТех"</t>
  </si>
  <si>
    <t>2628059313</t>
  </si>
  <si>
    <t>12-10-2018 00:00:00</t>
  </si>
  <si>
    <t>31694890</t>
  </si>
  <si>
    <t>ООО "Экологистик"</t>
  </si>
  <si>
    <t>2627027301</t>
  </si>
  <si>
    <t>31088956</t>
  </si>
  <si>
    <t>ООО "Экострой"</t>
  </si>
  <si>
    <t>2634812831</t>
  </si>
  <si>
    <t>07-03-2014 00:00:00</t>
  </si>
  <si>
    <t>31694950</t>
  </si>
  <si>
    <t>ООО "Экотехнология"</t>
  </si>
  <si>
    <t>2630050822</t>
  </si>
  <si>
    <t>31694913</t>
  </si>
  <si>
    <t>ООО "ЮГАВТОТРАНС"</t>
  </si>
  <si>
    <t>2630050893</t>
  </si>
  <si>
    <t>14-10-2019 00:00:00</t>
  </si>
  <si>
    <t>28149169</t>
  </si>
  <si>
    <t>ООО "Югагролизинг"</t>
  </si>
  <si>
    <t>2630042934</t>
  </si>
  <si>
    <t>31-03-2009 00:00:00</t>
  </si>
  <si>
    <t>26607051</t>
  </si>
  <si>
    <t>ООО ЖКХ "Левокумского района"</t>
  </si>
  <si>
    <t>2613009334</t>
  </si>
  <si>
    <t>261301001</t>
  </si>
  <si>
    <t>01-08-2007 00:00:00</t>
  </si>
  <si>
    <t>NSRF</t>
  </si>
  <si>
    <t>MR_NAME</t>
  </si>
  <si>
    <t>OKTMO_MR_NAME</t>
  </si>
  <si>
    <t>MO_NAME</t>
  </si>
  <si>
    <t>OKTMO_NAME</t>
  </si>
  <si>
    <t>TYPE</t>
  </si>
  <si>
    <t>MR_ID</t>
  </si>
  <si>
    <t>муниципальный округ</t>
  </si>
  <si>
    <t>07602000</t>
  </si>
  <si>
    <t>муниципальный район</t>
  </si>
  <si>
    <t>Александровский сельсовет</t>
  </si>
  <si>
    <t>07602402</t>
  </si>
  <si>
    <t>сельское поселение</t>
  </si>
  <si>
    <t>Круглолесский сельсовет</t>
  </si>
  <si>
    <t>07602410</t>
  </si>
  <si>
    <t>Новокавказский сельсовет</t>
  </si>
  <si>
    <t>07602413</t>
  </si>
  <si>
    <t>Саблинский сельсовет</t>
  </si>
  <si>
    <t>07602416</t>
  </si>
  <si>
    <t>Село Грушевское</t>
  </si>
  <si>
    <t>07602404</t>
  </si>
  <si>
    <t>Село Северное</t>
  </si>
  <si>
    <t>07602419</t>
  </si>
  <si>
    <t>Средненский сельсовет</t>
  </si>
  <si>
    <t>07602422</t>
  </si>
  <si>
    <t>Андроповский муниципальный район</t>
  </si>
  <si>
    <t>07632000</t>
  </si>
  <si>
    <t>Водораздельный сельсовет</t>
  </si>
  <si>
    <t>07632402</t>
  </si>
  <si>
    <t>Казинский сельсовет</t>
  </si>
  <si>
    <t>07632406</t>
  </si>
  <si>
    <t>Красноярский сельсовет</t>
  </si>
  <si>
    <t>07632407</t>
  </si>
  <si>
    <t>Курсавский сельсовет</t>
  </si>
  <si>
    <t>07632410</t>
  </si>
  <si>
    <t>Куршавский сельсовет</t>
  </si>
  <si>
    <t>07632412</t>
  </si>
  <si>
    <t>Новоянкульский сельсовет</t>
  </si>
  <si>
    <t>07632414</t>
  </si>
  <si>
    <t>Село Крымгиреевское</t>
  </si>
  <si>
    <t>07632408</t>
  </si>
  <si>
    <t>Село Султан</t>
  </si>
  <si>
    <t>07632419</t>
  </si>
  <si>
    <t>Солуно-Дмитриевский сельсовет</t>
  </si>
  <si>
    <t>07632416</t>
  </si>
  <si>
    <t>Станица Воровсколесская</t>
  </si>
  <si>
    <t>07632404</t>
  </si>
  <si>
    <t>Янкульский сельсовет</t>
  </si>
  <si>
    <t>07632422</t>
  </si>
  <si>
    <t>Апанасенковский муниципальный район</t>
  </si>
  <si>
    <t>07605000</t>
  </si>
  <si>
    <t>Айгурский сельсовет</t>
  </si>
  <si>
    <t>07605402</t>
  </si>
  <si>
    <t>Дербетовский сельсовет</t>
  </si>
  <si>
    <t>07605416</t>
  </si>
  <si>
    <t>Село Апанасенковское</t>
  </si>
  <si>
    <t>07605404</t>
  </si>
  <si>
    <t>Село Белые Копани</t>
  </si>
  <si>
    <t>07605407</t>
  </si>
  <si>
    <t>Село Воздвиженское</t>
  </si>
  <si>
    <t>07605410</t>
  </si>
  <si>
    <t>Село Вознесеновское</t>
  </si>
  <si>
    <t>07605413</t>
  </si>
  <si>
    <t>Село Дивное</t>
  </si>
  <si>
    <t>07605419</t>
  </si>
  <si>
    <t>Село Киевка</t>
  </si>
  <si>
    <t>07605422</t>
  </si>
  <si>
    <t>Село Малая Джалга</t>
  </si>
  <si>
    <t>07605425</t>
  </si>
  <si>
    <t>Село Манычское</t>
  </si>
  <si>
    <t>07605428</t>
  </si>
  <si>
    <t>Село Рагули</t>
  </si>
  <si>
    <t>07605431</t>
  </si>
  <si>
    <t>Арзгирский муниципальный район</t>
  </si>
  <si>
    <t>07607000</t>
  </si>
  <si>
    <t>Арзгирский сельсовет</t>
  </si>
  <si>
    <t>07607402</t>
  </si>
  <si>
    <t>Новоромановский сельсовет</t>
  </si>
  <si>
    <t>07607404</t>
  </si>
  <si>
    <t>Село Каменная Балка</t>
  </si>
  <si>
    <t>07607403</t>
  </si>
  <si>
    <t>Село Петропавловское</t>
  </si>
  <si>
    <t>07607407</t>
  </si>
  <si>
    <t>Село Родниковское</t>
  </si>
  <si>
    <t>07607410</t>
  </si>
  <si>
    <t>Село Садовое</t>
  </si>
  <si>
    <t>07607413</t>
  </si>
  <si>
    <t>Село Серафимовское</t>
  </si>
  <si>
    <t>07607416</t>
  </si>
  <si>
    <t>Чограйский сельсовет</t>
  </si>
  <si>
    <t>07607422</t>
  </si>
  <si>
    <t>городской округ</t>
  </si>
  <si>
    <t>Благодарненский муниципальный округ</t>
  </si>
  <si>
    <t>07510000</t>
  </si>
  <si>
    <t>Благодарненский муниципальный район</t>
  </si>
  <si>
    <t>07610000</t>
  </si>
  <si>
    <t>Cело Елизаветинское</t>
  </si>
  <si>
    <t>07610410</t>
  </si>
  <si>
    <t>Александрийский сельсовет</t>
  </si>
  <si>
    <t>07610402</t>
  </si>
  <si>
    <t>Аул Эдельбай</t>
  </si>
  <si>
    <t>07610428</t>
  </si>
  <si>
    <t>Город Благодарный</t>
  </si>
  <si>
    <t>07610101</t>
  </si>
  <si>
    <t>городское поселение, в состав которого входит город</t>
  </si>
  <si>
    <t>Каменнобалковский сельсовет</t>
  </si>
  <si>
    <t>07610413</t>
  </si>
  <si>
    <t>Красноключевский сельсовет</t>
  </si>
  <si>
    <t>07610416</t>
  </si>
  <si>
    <t>Село Алексеевское</t>
  </si>
  <si>
    <t>07610404</t>
  </si>
  <si>
    <t>Село Бурлацкое</t>
  </si>
  <si>
    <t>07610407</t>
  </si>
  <si>
    <t>Село Мирное</t>
  </si>
  <si>
    <t>07610417</t>
  </si>
  <si>
    <t>Село Сотниковское</t>
  </si>
  <si>
    <t>07610419</t>
  </si>
  <si>
    <t>Село Спасское</t>
  </si>
  <si>
    <t>07610422</t>
  </si>
  <si>
    <t>60</t>
  </si>
  <si>
    <t>Село Шишкино</t>
  </si>
  <si>
    <t>07610427</t>
  </si>
  <si>
    <t>61</t>
  </si>
  <si>
    <t>Ставропольский сельсовет</t>
  </si>
  <si>
    <t>07610425</t>
  </si>
  <si>
    <t>62</t>
  </si>
  <si>
    <t>Хутор Большевик</t>
  </si>
  <si>
    <t>07610406</t>
  </si>
  <si>
    <t>63</t>
  </si>
  <si>
    <t>Будённовский муниципальный район</t>
  </si>
  <si>
    <t>07612000</t>
  </si>
  <si>
    <t>Архиповский сельсовет</t>
  </si>
  <si>
    <t>07612404</t>
  </si>
  <si>
    <t>65</t>
  </si>
  <si>
    <t>Город Буденновск</t>
  </si>
  <si>
    <t>07612101</t>
  </si>
  <si>
    <t>67</t>
  </si>
  <si>
    <t>Искровский сельсовет</t>
  </si>
  <si>
    <t>07612407</t>
  </si>
  <si>
    <t>Краснооктябрьский сельсовет</t>
  </si>
  <si>
    <t>07612409</t>
  </si>
  <si>
    <t>69</t>
  </si>
  <si>
    <t>Новожизненский сельсовет</t>
  </si>
  <si>
    <t>07612410</t>
  </si>
  <si>
    <t>70</t>
  </si>
  <si>
    <t>Орловский сельсовет</t>
  </si>
  <si>
    <t>07612413</t>
  </si>
  <si>
    <t>71</t>
  </si>
  <si>
    <t>Покойненский сельсовет</t>
  </si>
  <si>
    <t>07612416</t>
  </si>
  <si>
    <t>72</t>
  </si>
  <si>
    <t>Преображенский сельсовет</t>
  </si>
  <si>
    <t>07612420</t>
  </si>
  <si>
    <t>73</t>
  </si>
  <si>
    <t>Село Архангельское</t>
  </si>
  <si>
    <t>07612402</t>
  </si>
  <si>
    <t>74</t>
  </si>
  <si>
    <t>Село Прасковея</t>
  </si>
  <si>
    <t>07612419</t>
  </si>
  <si>
    <t>75</t>
  </si>
  <si>
    <t>Село Толстово-Васюковское</t>
  </si>
  <si>
    <t>07612427</t>
  </si>
  <si>
    <t>76</t>
  </si>
  <si>
    <t>Стародубский сельсовет</t>
  </si>
  <si>
    <t>07612422</t>
  </si>
  <si>
    <t>77</t>
  </si>
  <si>
    <t>Терский сельсовет</t>
  </si>
  <si>
    <t>07612425</t>
  </si>
  <si>
    <t>78</t>
  </si>
  <si>
    <t>Томузловский сельсовет</t>
  </si>
  <si>
    <t>07612429</t>
  </si>
  <si>
    <t>79</t>
  </si>
  <si>
    <t>Георгиевский муниципальный округ</t>
  </si>
  <si>
    <t>07515000</t>
  </si>
  <si>
    <t>81</t>
  </si>
  <si>
    <t>Георгиевский муниципальный район</t>
  </si>
  <si>
    <t>07615000</t>
  </si>
  <si>
    <t>07615402</t>
  </si>
  <si>
    <t>82</t>
  </si>
  <si>
    <t>Балковский сельсовет</t>
  </si>
  <si>
    <t>07615403</t>
  </si>
  <si>
    <t>83</t>
  </si>
  <si>
    <t>84</t>
  </si>
  <si>
    <t>Крутоярский сельсовет</t>
  </si>
  <si>
    <t>07615408</t>
  </si>
  <si>
    <t>85</t>
  </si>
  <si>
    <t>Незлобненский сельсовет</t>
  </si>
  <si>
    <t>07615413</t>
  </si>
  <si>
    <t>86</t>
  </si>
  <si>
    <t>Поселок Новый</t>
  </si>
  <si>
    <t>07615415</t>
  </si>
  <si>
    <t>87</t>
  </si>
  <si>
    <t>Село Краснокумское</t>
  </si>
  <si>
    <t>07615406</t>
  </si>
  <si>
    <t>88</t>
  </si>
  <si>
    <t>Село Новозаведенное</t>
  </si>
  <si>
    <t>07615416</t>
  </si>
  <si>
    <t>89</t>
  </si>
  <si>
    <t>Село Обильное</t>
  </si>
  <si>
    <t>07615419</t>
  </si>
  <si>
    <t>90</t>
  </si>
  <si>
    <t>Станица Георгиевская</t>
  </si>
  <si>
    <t>07615404</t>
  </si>
  <si>
    <t>91</t>
  </si>
  <si>
    <t>Станица Лысогорская</t>
  </si>
  <si>
    <t>07615410</t>
  </si>
  <si>
    <t>92</t>
  </si>
  <si>
    <t>Станица Подгорная</t>
  </si>
  <si>
    <t>07615422</t>
  </si>
  <si>
    <t>93</t>
  </si>
  <si>
    <t>Ульяновский сельсовет</t>
  </si>
  <si>
    <t>07615425</t>
  </si>
  <si>
    <t>94</t>
  </si>
  <si>
    <t>Урухский сельсовет</t>
  </si>
  <si>
    <t>07615428</t>
  </si>
  <si>
    <t>95</t>
  </si>
  <si>
    <t>Шаумяновский сельсовет</t>
  </si>
  <si>
    <t>07615431</t>
  </si>
  <si>
    <t>96</t>
  </si>
  <si>
    <t>Город Невинномысск</t>
  </si>
  <si>
    <t>07724000</t>
  </si>
  <si>
    <t>98</t>
  </si>
  <si>
    <t>Город Ставрополь</t>
  </si>
  <si>
    <t>07701000</t>
  </si>
  <si>
    <t>99</t>
  </si>
  <si>
    <t>Грачёвский муниципальный район</t>
  </si>
  <si>
    <t>07617000</t>
  </si>
  <si>
    <t>105</t>
  </si>
  <si>
    <t>Грачевский сельсовет</t>
  </si>
  <si>
    <t>07617404</t>
  </si>
  <si>
    <t>106</t>
  </si>
  <si>
    <t>Красный сельсовет</t>
  </si>
  <si>
    <t>07617407</t>
  </si>
  <si>
    <t>107</t>
  </si>
  <si>
    <t>Кугультинский сельсовет</t>
  </si>
  <si>
    <t>07617410</t>
  </si>
  <si>
    <t>108</t>
  </si>
  <si>
    <t>Село Бешпагир</t>
  </si>
  <si>
    <t>07617401</t>
  </si>
  <si>
    <t>109</t>
  </si>
  <si>
    <t>Село Тугулук</t>
  </si>
  <si>
    <t>07617422</t>
  </si>
  <si>
    <t>110</t>
  </si>
  <si>
    <t>Сергиевский сельсовет</t>
  </si>
  <si>
    <t>07617413</t>
  </si>
  <si>
    <t>111</t>
  </si>
  <si>
    <t>Спицевский сельсовет</t>
  </si>
  <si>
    <t>07617416</t>
  </si>
  <si>
    <t>112</t>
  </si>
  <si>
    <t>Старомарьевский сельсовет</t>
  </si>
  <si>
    <t>07617419</t>
  </si>
  <si>
    <t>113</t>
  </si>
  <si>
    <t>Изобильненский муниципальный округ</t>
  </si>
  <si>
    <t>07520000</t>
  </si>
  <si>
    <t>115</t>
  </si>
  <si>
    <t>Изобильненский муниципальный район</t>
  </si>
  <si>
    <t>07620000</t>
  </si>
  <si>
    <t>Город Изобильный</t>
  </si>
  <si>
    <t>07620101</t>
  </si>
  <si>
    <t>116</t>
  </si>
  <si>
    <t>117</t>
  </si>
  <si>
    <t>Каменнобродский сельсовет</t>
  </si>
  <si>
    <t>07620404</t>
  </si>
  <si>
    <t>118</t>
  </si>
  <si>
    <t>Московский сельсовет</t>
  </si>
  <si>
    <t>07620407</t>
  </si>
  <si>
    <t>119</t>
  </si>
  <si>
    <t>Новоизобильненский сельсовет</t>
  </si>
  <si>
    <t>07620409</t>
  </si>
  <si>
    <t>120</t>
  </si>
  <si>
    <t>Передовой сельсовет</t>
  </si>
  <si>
    <t>07620412</t>
  </si>
  <si>
    <t>121</t>
  </si>
  <si>
    <t>Подлужненский сельсовет</t>
  </si>
  <si>
    <t>07620413</t>
  </si>
  <si>
    <t>122</t>
  </si>
  <si>
    <t>Поселок Рыздвяный</t>
  </si>
  <si>
    <t>07620153</t>
  </si>
  <si>
    <t>городское поселение, в состав которого входит поселок</t>
  </si>
  <si>
    <t>123</t>
  </si>
  <si>
    <t>Поселок Солнечнодольск</t>
  </si>
  <si>
    <t>07620155</t>
  </si>
  <si>
    <t>124</t>
  </si>
  <si>
    <t>Рождественский сельсовет</t>
  </si>
  <si>
    <t>07620416</t>
  </si>
  <si>
    <t>125</t>
  </si>
  <si>
    <t>Село Птичье</t>
  </si>
  <si>
    <t>07620414</t>
  </si>
  <si>
    <t>126</t>
  </si>
  <si>
    <t>Село Тищенское</t>
  </si>
  <si>
    <t>07620422</t>
  </si>
  <si>
    <t>127</t>
  </si>
  <si>
    <t>Станица Баклановская</t>
  </si>
  <si>
    <t>07620402</t>
  </si>
  <si>
    <t>128</t>
  </si>
  <si>
    <t>Станица Новотроицкая</t>
  </si>
  <si>
    <t>07620410</t>
  </si>
  <si>
    <t>129</t>
  </si>
  <si>
    <t>Староизобильненский сельсовет</t>
  </si>
  <si>
    <t>07620419</t>
  </si>
  <si>
    <t>130</t>
  </si>
  <si>
    <t>Хутор Спорный</t>
  </si>
  <si>
    <t>07620418</t>
  </si>
  <si>
    <t>131</t>
  </si>
  <si>
    <t>Ипатовский муниципальный округ</t>
  </si>
  <si>
    <t>07522000</t>
  </si>
  <si>
    <t>133</t>
  </si>
  <si>
    <t>Ипатовский муниципальный район</t>
  </si>
  <si>
    <t>07622000</t>
  </si>
  <si>
    <t>Большевистский сельсовет</t>
  </si>
  <si>
    <t>07622402</t>
  </si>
  <si>
    <t>134</t>
  </si>
  <si>
    <t>Винодельненский сельсовет</t>
  </si>
  <si>
    <t>07622410</t>
  </si>
  <si>
    <t>135</t>
  </si>
  <si>
    <t>Город Ипатово</t>
  </si>
  <si>
    <t>07622101</t>
  </si>
  <si>
    <t>136</t>
  </si>
  <si>
    <t>Добровольно-Васильевский сельсовет</t>
  </si>
  <si>
    <t>07622413</t>
  </si>
  <si>
    <t>137</t>
  </si>
  <si>
    <t>Золотаревский сельсовет</t>
  </si>
  <si>
    <t>07622416</t>
  </si>
  <si>
    <t>138</t>
  </si>
  <si>
    <t>139</t>
  </si>
  <si>
    <t>Кевсалинский сельсовет</t>
  </si>
  <si>
    <t>07622422</t>
  </si>
  <si>
    <t>140</t>
  </si>
  <si>
    <t>Красочный сельсовет</t>
  </si>
  <si>
    <t>07622425</t>
  </si>
  <si>
    <t>141</t>
  </si>
  <si>
    <t>Леснодачненский сельсовет</t>
  </si>
  <si>
    <t>07622427</t>
  </si>
  <si>
    <t>142</t>
  </si>
  <si>
    <t>Лиманский сельсовет</t>
  </si>
  <si>
    <t>07622428</t>
  </si>
  <si>
    <t>143</t>
  </si>
  <si>
    <t>Мало-Барханчакский сельсовет</t>
  </si>
  <si>
    <t>07622429</t>
  </si>
  <si>
    <t>144</t>
  </si>
  <si>
    <t>Октябрьский сельсовет</t>
  </si>
  <si>
    <t>07622431</t>
  </si>
  <si>
    <t>145</t>
  </si>
  <si>
    <t>Первомайский сельсовет</t>
  </si>
  <si>
    <t>07622434</t>
  </si>
  <si>
    <t>146</t>
  </si>
  <si>
    <t>Село Большая Джалга</t>
  </si>
  <si>
    <t>07622404</t>
  </si>
  <si>
    <t>147</t>
  </si>
  <si>
    <t>Село Бурукшун</t>
  </si>
  <si>
    <t>07622407</t>
  </si>
  <si>
    <t>148</t>
  </si>
  <si>
    <t>Советскорунный сельсовет</t>
  </si>
  <si>
    <t>07622437</t>
  </si>
  <si>
    <t>149</t>
  </si>
  <si>
    <t>Тахтинский сельсовет</t>
  </si>
  <si>
    <t>07622440</t>
  </si>
  <si>
    <t>150</t>
  </si>
  <si>
    <t>Кировский муниципальный округ</t>
  </si>
  <si>
    <t>07525000</t>
  </si>
  <si>
    <t>152</t>
  </si>
  <si>
    <t>Кировский муниципальный район</t>
  </si>
  <si>
    <t>07625000</t>
  </si>
  <si>
    <t>Горнозаводской сельсовет</t>
  </si>
  <si>
    <t>07625402</t>
  </si>
  <si>
    <t>153</t>
  </si>
  <si>
    <t>Город Новопавловск</t>
  </si>
  <si>
    <t>07625101</t>
  </si>
  <si>
    <t>154</t>
  </si>
  <si>
    <t>Зольский сельсовет</t>
  </si>
  <si>
    <t>07625404</t>
  </si>
  <si>
    <t>155</t>
  </si>
  <si>
    <t>156</t>
  </si>
  <si>
    <t>Комсомольский сельсовет</t>
  </si>
  <si>
    <t>07625407</t>
  </si>
  <si>
    <t>157</t>
  </si>
  <si>
    <t>Новосредненский сельсовет</t>
  </si>
  <si>
    <t>07625416</t>
  </si>
  <si>
    <t>158</t>
  </si>
  <si>
    <t>07625417</t>
  </si>
  <si>
    <t>159</t>
  </si>
  <si>
    <t>Посёлок Фазанный</t>
  </si>
  <si>
    <t>07625428</t>
  </si>
  <si>
    <t>160</t>
  </si>
  <si>
    <t>Советский сельсовет</t>
  </si>
  <si>
    <t>07625419</t>
  </si>
  <si>
    <t>161</t>
  </si>
  <si>
    <t>Станица Марьинская</t>
  </si>
  <si>
    <t>07625410</t>
  </si>
  <si>
    <t>162</t>
  </si>
  <si>
    <t>Старопавловский сельсовет</t>
  </si>
  <si>
    <t>07625422</t>
  </si>
  <si>
    <t>163</t>
  </si>
  <si>
    <t>Кочубеевский муниципальный район</t>
  </si>
  <si>
    <t>07628000</t>
  </si>
  <si>
    <t>Балахоновский сельсовет</t>
  </si>
  <si>
    <t>07628402</t>
  </si>
  <si>
    <t>165</t>
  </si>
  <si>
    <t>Барсуковский сельсовет</t>
  </si>
  <si>
    <t>07628404</t>
  </si>
  <si>
    <t>166</t>
  </si>
  <si>
    <t>Васильевский сельсовет</t>
  </si>
  <si>
    <t>07628440</t>
  </si>
  <si>
    <t>167</t>
  </si>
  <si>
    <t>Вревский сельсовет</t>
  </si>
  <si>
    <t>07628407</t>
  </si>
  <si>
    <t>168</t>
  </si>
  <si>
    <t>Георгиевский сельсовет</t>
  </si>
  <si>
    <t>07628408</t>
  </si>
  <si>
    <t>169</t>
  </si>
  <si>
    <t>Заветненский сельсовет</t>
  </si>
  <si>
    <t>07628413</t>
  </si>
  <si>
    <t>170</t>
  </si>
  <si>
    <t>Ивановский сельсовет</t>
  </si>
  <si>
    <t>07628416</t>
  </si>
  <si>
    <t>171</t>
  </si>
  <si>
    <t>Казьминский сельсовет</t>
  </si>
  <si>
    <t>07628419</t>
  </si>
  <si>
    <t>172</t>
  </si>
  <si>
    <t>173</t>
  </si>
  <si>
    <t>Мищенский сельсовет</t>
  </si>
  <si>
    <t>07628423</t>
  </si>
  <si>
    <t>174</t>
  </si>
  <si>
    <t>Надзорненский сельсовет</t>
  </si>
  <si>
    <t>07628424</t>
  </si>
  <si>
    <t>175</t>
  </si>
  <si>
    <t>Новодеревенский сельсовет</t>
  </si>
  <si>
    <t>07628425</t>
  </si>
  <si>
    <t>176</t>
  </si>
  <si>
    <t>Село Кочубеевское</t>
  </si>
  <si>
    <t>07628422</t>
  </si>
  <si>
    <t>177</t>
  </si>
  <si>
    <t>Станица Беломечетская</t>
  </si>
  <si>
    <t>07628406</t>
  </si>
  <si>
    <t>178</t>
  </si>
  <si>
    <t>Стародворцовский сельсовет</t>
  </si>
  <si>
    <t>07628430</t>
  </si>
  <si>
    <t>179</t>
  </si>
  <si>
    <t>Усть-Невинский сельсовет</t>
  </si>
  <si>
    <t>07628435</t>
  </si>
  <si>
    <t>180</t>
  </si>
  <si>
    <t>Красногвардейский муниципальный район</t>
  </si>
  <si>
    <t>07630000</t>
  </si>
  <si>
    <t>Коммунаровский сельсовет</t>
  </si>
  <si>
    <t>07630404</t>
  </si>
  <si>
    <t>182</t>
  </si>
  <si>
    <t>183</t>
  </si>
  <si>
    <t>Медвеженский сельсовет</t>
  </si>
  <si>
    <t>07630413</t>
  </si>
  <si>
    <t>184</t>
  </si>
  <si>
    <t>Привольненский сельсовет</t>
  </si>
  <si>
    <t>07630425</t>
  </si>
  <si>
    <t>185</t>
  </si>
  <si>
    <t>Родыковский сельсовет</t>
  </si>
  <si>
    <t>07630428</t>
  </si>
  <si>
    <t>186</t>
  </si>
  <si>
    <t>Село Дмитриевское</t>
  </si>
  <si>
    <t>07630402</t>
  </si>
  <si>
    <t>187</t>
  </si>
  <si>
    <t>Село Красногвардейское</t>
  </si>
  <si>
    <t>07630407</t>
  </si>
  <si>
    <t>188</t>
  </si>
  <si>
    <t>Село Ладовская Балка</t>
  </si>
  <si>
    <t>07630410</t>
  </si>
  <si>
    <t>189</t>
  </si>
  <si>
    <t>Село Новомихайловское</t>
  </si>
  <si>
    <t>07630416</t>
  </si>
  <si>
    <t>190</t>
  </si>
  <si>
    <t>Село Покровское</t>
  </si>
  <si>
    <t>07630419</t>
  </si>
  <si>
    <t>191</t>
  </si>
  <si>
    <t>Село Преградное</t>
  </si>
  <si>
    <t>07630422</t>
  </si>
  <si>
    <t>192</t>
  </si>
  <si>
    <t>Штурмовский сельсовет</t>
  </si>
  <si>
    <t>07630443</t>
  </si>
  <si>
    <t>193</t>
  </si>
  <si>
    <t>Курский муниципальный район</t>
  </si>
  <si>
    <t>07633000</t>
  </si>
  <si>
    <t>Балтийский сельсовет</t>
  </si>
  <si>
    <t>07633402</t>
  </si>
  <si>
    <t>195</t>
  </si>
  <si>
    <t>Галюгаевский сельсовет</t>
  </si>
  <si>
    <t>07633404</t>
  </si>
  <si>
    <t>196</t>
  </si>
  <si>
    <t>Кановский сельсовет</t>
  </si>
  <si>
    <t>07633406</t>
  </si>
  <si>
    <t>197</t>
  </si>
  <si>
    <t>198</t>
  </si>
  <si>
    <t>Курский сельсовет</t>
  </si>
  <si>
    <t>07633407</t>
  </si>
  <si>
    <t>199</t>
  </si>
  <si>
    <t>Мирненский сельсовет</t>
  </si>
  <si>
    <t>07633410</t>
  </si>
  <si>
    <t>200</t>
  </si>
  <si>
    <t>Полтавский сельсовет</t>
  </si>
  <si>
    <t>07633413</t>
  </si>
  <si>
    <t>201</t>
  </si>
  <si>
    <t>Ростовановский сельсовет</t>
  </si>
  <si>
    <t>07633416</t>
  </si>
  <si>
    <t>202</t>
  </si>
  <si>
    <t>Рощинский сельсовет</t>
  </si>
  <si>
    <t>07633419</t>
  </si>
  <si>
    <t>203</t>
  </si>
  <si>
    <t>Русский сельсовет</t>
  </si>
  <si>
    <t>07633422</t>
  </si>
  <si>
    <t>204</t>
  </si>
  <si>
    <t>Село Эдиссия</t>
  </si>
  <si>
    <t>07633428</t>
  </si>
  <si>
    <t>205</t>
  </si>
  <si>
    <t>Серноводский сельсовет</t>
  </si>
  <si>
    <t>07633425</t>
  </si>
  <si>
    <t>206</t>
  </si>
  <si>
    <t>Станица Стодеревская</t>
  </si>
  <si>
    <t>07633426</t>
  </si>
  <si>
    <t>207</t>
  </si>
  <si>
    <t>Левокумский муниципальный район</t>
  </si>
  <si>
    <t>07636000</t>
  </si>
  <si>
    <t>Бургун-Маджарский сельсовет</t>
  </si>
  <si>
    <t>07636402</t>
  </si>
  <si>
    <t>209</t>
  </si>
  <si>
    <t>Величаевский сельсовет</t>
  </si>
  <si>
    <t>07636404</t>
  </si>
  <si>
    <t>210</t>
  </si>
  <si>
    <t>Владимировский сельсовет</t>
  </si>
  <si>
    <t>07636407</t>
  </si>
  <si>
    <t>211</t>
  </si>
  <si>
    <t>Заринский сельсовет</t>
  </si>
  <si>
    <t>07636409</t>
  </si>
  <si>
    <t>212</t>
  </si>
  <si>
    <t>213</t>
  </si>
  <si>
    <t>Николо-Александровский сельсовет</t>
  </si>
  <si>
    <t>07636413</t>
  </si>
  <si>
    <t>214</t>
  </si>
  <si>
    <t>Поселок Новокумский</t>
  </si>
  <si>
    <t>07636414</t>
  </si>
  <si>
    <t>215</t>
  </si>
  <si>
    <t>Село Левокумское</t>
  </si>
  <si>
    <t>07636410</t>
  </si>
  <si>
    <t>216</t>
  </si>
  <si>
    <t>Село Правокумское</t>
  </si>
  <si>
    <t>07636416</t>
  </si>
  <si>
    <t>217</t>
  </si>
  <si>
    <t>Село Приозерское</t>
  </si>
  <si>
    <t>07636417</t>
  </si>
  <si>
    <t>218</t>
  </si>
  <si>
    <t>Село Урожайное</t>
  </si>
  <si>
    <t>07636422</t>
  </si>
  <si>
    <t>219</t>
  </si>
  <si>
    <t>Турксадский сельсовет</t>
  </si>
  <si>
    <t>07636419</t>
  </si>
  <si>
    <t>220</t>
  </si>
  <si>
    <t>Минераловодский муниципальный округ</t>
  </si>
  <si>
    <t>07539000</t>
  </si>
  <si>
    <t>222</t>
  </si>
  <si>
    <t>Минераловодский муниципальный район</t>
  </si>
  <si>
    <t>07639000</t>
  </si>
  <si>
    <t>Город Минеральные Воды</t>
  </si>
  <si>
    <t>07639101</t>
  </si>
  <si>
    <t>223</t>
  </si>
  <si>
    <t>Гражданский сельсовет</t>
  </si>
  <si>
    <t>07639402</t>
  </si>
  <si>
    <t>224</t>
  </si>
  <si>
    <t>Левокумский сельсовет</t>
  </si>
  <si>
    <t>07639421</t>
  </si>
  <si>
    <t>225</t>
  </si>
  <si>
    <t>Ленинский сельсовет</t>
  </si>
  <si>
    <t>07639407</t>
  </si>
  <si>
    <t>226</t>
  </si>
  <si>
    <t>Марьино-Колодцевский сельсовет</t>
  </si>
  <si>
    <t>07639410</t>
  </si>
  <si>
    <t>227</t>
  </si>
  <si>
    <t>228</t>
  </si>
  <si>
    <t>Нижнеалександровский сельсовет</t>
  </si>
  <si>
    <t>07639416</t>
  </si>
  <si>
    <t>229</t>
  </si>
  <si>
    <t>07639418</t>
  </si>
  <si>
    <t>230</t>
  </si>
  <si>
    <t>Перевальненский сельсовет</t>
  </si>
  <si>
    <t>07639420</t>
  </si>
  <si>
    <t>231</t>
  </si>
  <si>
    <t>Побегайловский сельсовет</t>
  </si>
  <si>
    <t>07639419</t>
  </si>
  <si>
    <t>232</t>
  </si>
  <si>
    <t>Поселок Анджиевский</t>
  </si>
  <si>
    <t>07639152</t>
  </si>
  <si>
    <t>233</t>
  </si>
  <si>
    <t>Прикумский сельсовет</t>
  </si>
  <si>
    <t>07639422</t>
  </si>
  <si>
    <t>234</t>
  </si>
  <si>
    <t>Розовский сельсовет</t>
  </si>
  <si>
    <t>07639425</t>
  </si>
  <si>
    <t>235</t>
  </si>
  <si>
    <t>Село Греческое</t>
  </si>
  <si>
    <t>07639404</t>
  </si>
  <si>
    <t>236</t>
  </si>
  <si>
    <t>Село Нагутское</t>
  </si>
  <si>
    <t>07639413</t>
  </si>
  <si>
    <t>237</t>
  </si>
  <si>
    <t>07639430</t>
  </si>
  <si>
    <t>238</t>
  </si>
  <si>
    <t>Нефтекумский муниципальный округ</t>
  </si>
  <si>
    <t>07541000</t>
  </si>
  <si>
    <t>240</t>
  </si>
  <si>
    <t>Нефтекумский муниципальный район</t>
  </si>
  <si>
    <t>07641000</t>
  </si>
  <si>
    <t>Город Нефтекумск</t>
  </si>
  <si>
    <t>07641101</t>
  </si>
  <si>
    <t>241</t>
  </si>
  <si>
    <t>Закумский сельсовет</t>
  </si>
  <si>
    <t>07641403</t>
  </si>
  <si>
    <t>242</t>
  </si>
  <si>
    <t>Зимнеставочный сельсовет</t>
  </si>
  <si>
    <t>07641404</t>
  </si>
  <si>
    <t>243</t>
  </si>
  <si>
    <t>Зункарский сельсовет</t>
  </si>
  <si>
    <t>07641405</t>
  </si>
  <si>
    <t>244</t>
  </si>
  <si>
    <t>Кара-Тюбинский сельсовет</t>
  </si>
  <si>
    <t>07641407</t>
  </si>
  <si>
    <t>245</t>
  </si>
  <si>
    <t>Каясулинский сельсовет</t>
  </si>
  <si>
    <t>07641410</t>
  </si>
  <si>
    <t>246</t>
  </si>
  <si>
    <t>Махмуд-Мектебский сельсовет</t>
  </si>
  <si>
    <t>07641413</t>
  </si>
  <si>
    <t>247</t>
  </si>
  <si>
    <t>248</t>
  </si>
  <si>
    <t>Новкус-Артезианский сельсовет</t>
  </si>
  <si>
    <t>07641416</t>
  </si>
  <si>
    <t>249</t>
  </si>
  <si>
    <t>Озек-Суатский сельсовет</t>
  </si>
  <si>
    <t>07641419</t>
  </si>
  <si>
    <t>250</t>
  </si>
  <si>
    <t>Поселок Затеречный</t>
  </si>
  <si>
    <t>07641153</t>
  </si>
  <si>
    <t>251</t>
  </si>
  <si>
    <t>Село Ачикулак</t>
  </si>
  <si>
    <t>07641402</t>
  </si>
  <si>
    <t>252</t>
  </si>
  <si>
    <t>Тукуй-Мектебский сельсовет</t>
  </si>
  <si>
    <t>07641422</t>
  </si>
  <si>
    <t>253</t>
  </si>
  <si>
    <t>Новоалександровский муниципальный округ</t>
  </si>
  <si>
    <t>07543000</t>
  </si>
  <si>
    <t>255</t>
  </si>
  <si>
    <t>Новоалександровский муниципальный район</t>
  </si>
  <si>
    <t>07643000</t>
  </si>
  <si>
    <t>Город Новоалександровск</t>
  </si>
  <si>
    <t>07643101</t>
  </si>
  <si>
    <t>256</t>
  </si>
  <si>
    <t>Горьковский сельсовет</t>
  </si>
  <si>
    <t>07643402</t>
  </si>
  <si>
    <t>257</t>
  </si>
  <si>
    <t>Григорополисский сельсовет</t>
  </si>
  <si>
    <t>07643404</t>
  </si>
  <si>
    <t>258</t>
  </si>
  <si>
    <t>Краснозоринский сельсовет</t>
  </si>
  <si>
    <t>07643407</t>
  </si>
  <si>
    <t>259</t>
  </si>
  <si>
    <t>Красночервонный сельсовет</t>
  </si>
  <si>
    <t>07643423</t>
  </si>
  <si>
    <t>260</t>
  </si>
  <si>
    <t>261</t>
  </si>
  <si>
    <t>Присадовый сельсовет</t>
  </si>
  <si>
    <t>07643410</t>
  </si>
  <si>
    <t>262</t>
  </si>
  <si>
    <t>Радужский сельсовет</t>
  </si>
  <si>
    <t>07643412</t>
  </si>
  <si>
    <t>263</t>
  </si>
  <si>
    <t>Раздольненский сельсовет</t>
  </si>
  <si>
    <t>07643413</t>
  </si>
  <si>
    <t>264</t>
  </si>
  <si>
    <t>Светлинский сельсовет</t>
  </si>
  <si>
    <t>07643417</t>
  </si>
  <si>
    <t>265</t>
  </si>
  <si>
    <t>Станица Кармалиновская</t>
  </si>
  <si>
    <t>07643406</t>
  </si>
  <si>
    <t>266</t>
  </si>
  <si>
    <t>Станица Расшеватская</t>
  </si>
  <si>
    <t>07643416</t>
  </si>
  <si>
    <t>267</t>
  </si>
  <si>
    <t>Темижбекский сельсовет</t>
  </si>
  <si>
    <t>07643419</t>
  </si>
  <si>
    <t>268</t>
  </si>
  <si>
    <t>Новоселицкий муниципальный район</t>
  </si>
  <si>
    <t>07644000</t>
  </si>
  <si>
    <t>Журавский сельсовет</t>
  </si>
  <si>
    <t>07644404</t>
  </si>
  <si>
    <t>270</t>
  </si>
  <si>
    <t>Новомаякский сельсовет</t>
  </si>
  <si>
    <t>07644409</t>
  </si>
  <si>
    <t>271</t>
  </si>
  <si>
    <t>272</t>
  </si>
  <si>
    <t>Поселок Щелкан</t>
  </si>
  <si>
    <t>07644420</t>
  </si>
  <si>
    <t>273</t>
  </si>
  <si>
    <t>Село Долиновка</t>
  </si>
  <si>
    <t>07644402</t>
  </si>
  <si>
    <t>274</t>
  </si>
  <si>
    <t>Село Китаевское</t>
  </si>
  <si>
    <t>07644407</t>
  </si>
  <si>
    <t>275</t>
  </si>
  <si>
    <t>Село Новоселицкое</t>
  </si>
  <si>
    <t>07644410</t>
  </si>
  <si>
    <t>276</t>
  </si>
  <si>
    <t>Село Падинское</t>
  </si>
  <si>
    <t>07644412</t>
  </si>
  <si>
    <t>277</t>
  </si>
  <si>
    <t>Село Чернолесское</t>
  </si>
  <si>
    <t>07644413</t>
  </si>
  <si>
    <t>278</t>
  </si>
  <si>
    <t>Петровский муниципальный округ</t>
  </si>
  <si>
    <t>07546000</t>
  </si>
  <si>
    <t>280</t>
  </si>
  <si>
    <t>Петровский муниципальный район</t>
  </si>
  <si>
    <t>07646000</t>
  </si>
  <si>
    <t>Высоцкий сельсовет</t>
  </si>
  <si>
    <t>07646404</t>
  </si>
  <si>
    <t>281</t>
  </si>
  <si>
    <t>Город Светлоград</t>
  </si>
  <si>
    <t>07646101</t>
  </si>
  <si>
    <t>282</t>
  </si>
  <si>
    <t>Дон-Балковский сельсовет</t>
  </si>
  <si>
    <t>07646410</t>
  </si>
  <si>
    <t>283</t>
  </si>
  <si>
    <t>Константиновский сельсовет</t>
  </si>
  <si>
    <t>07646413</t>
  </si>
  <si>
    <t>284</t>
  </si>
  <si>
    <t>285</t>
  </si>
  <si>
    <t>Прикалаусский сельсовет</t>
  </si>
  <si>
    <t>07646417</t>
  </si>
  <si>
    <t>286</t>
  </si>
  <si>
    <t>Просянский сельсовет</t>
  </si>
  <si>
    <t>07646418</t>
  </si>
  <si>
    <t>287</t>
  </si>
  <si>
    <t>Рогато-Балковский сельсовет</t>
  </si>
  <si>
    <t>07646419</t>
  </si>
  <si>
    <t>288</t>
  </si>
  <si>
    <t>Село Благодатное</t>
  </si>
  <si>
    <t>07646402</t>
  </si>
  <si>
    <t>289</t>
  </si>
  <si>
    <t>Село Гофицкое</t>
  </si>
  <si>
    <t>07646407</t>
  </si>
  <si>
    <t>290</t>
  </si>
  <si>
    <t>Село Николина Балка</t>
  </si>
  <si>
    <t>07646416</t>
  </si>
  <si>
    <t>291</t>
  </si>
  <si>
    <t>Село Сухая Буйвола</t>
  </si>
  <si>
    <t>07646422</t>
  </si>
  <si>
    <t>292</t>
  </si>
  <si>
    <t>Село Шведино</t>
  </si>
  <si>
    <t>07646428</t>
  </si>
  <si>
    <t>293</t>
  </si>
  <si>
    <t>Шангалинский сельсовет</t>
  </si>
  <si>
    <t>07646425</t>
  </si>
  <si>
    <t>294</t>
  </si>
  <si>
    <t>Предгорный муниципальный район</t>
  </si>
  <si>
    <t>07648000</t>
  </si>
  <si>
    <t>Винсадский сельсовет</t>
  </si>
  <si>
    <t>07648410</t>
  </si>
  <si>
    <t>296</t>
  </si>
  <si>
    <t>Ессентукский сельсовет</t>
  </si>
  <si>
    <t>07648413</t>
  </si>
  <si>
    <t>297</t>
  </si>
  <si>
    <t>Нежинский сельсовет</t>
  </si>
  <si>
    <t>07648416</t>
  </si>
  <si>
    <t>298</t>
  </si>
  <si>
    <t>Новоблагодарненский сельсовет</t>
  </si>
  <si>
    <t>07648422</t>
  </si>
  <si>
    <t>299</t>
  </si>
  <si>
    <t>Подкумский сельсовет</t>
  </si>
  <si>
    <t>07648424</t>
  </si>
  <si>
    <t>300</t>
  </si>
  <si>
    <t>Поселок Мирный</t>
  </si>
  <si>
    <t>07648415</t>
  </si>
  <si>
    <t>301</t>
  </si>
  <si>
    <t>302</t>
  </si>
  <si>
    <t>Пригородный сельсовет</t>
  </si>
  <si>
    <t>07648425</t>
  </si>
  <si>
    <t>303</t>
  </si>
  <si>
    <t>Пятигорский сельсовет</t>
  </si>
  <si>
    <t>07648428</t>
  </si>
  <si>
    <t>304</t>
  </si>
  <si>
    <t>Станица Бекешевская</t>
  </si>
  <si>
    <t>07648402</t>
  </si>
  <si>
    <t>305</t>
  </si>
  <si>
    <t>Станица Боргустанская</t>
  </si>
  <si>
    <t>07648407</t>
  </si>
  <si>
    <t>306</t>
  </si>
  <si>
    <t>Суворовский сельсовет</t>
  </si>
  <si>
    <t>07648431</t>
  </si>
  <si>
    <t>307</t>
  </si>
  <si>
    <t>Тельмановский сельсовет</t>
  </si>
  <si>
    <t>07648432</t>
  </si>
  <si>
    <t>308</t>
  </si>
  <si>
    <t>Этокский сельсовет</t>
  </si>
  <si>
    <t>07648434</t>
  </si>
  <si>
    <t>309</t>
  </si>
  <si>
    <t>Юцкий сельсовет</t>
  </si>
  <si>
    <t>07648437</t>
  </si>
  <si>
    <t>310</t>
  </si>
  <si>
    <t>Яснополянский сельсовет</t>
  </si>
  <si>
    <t>07648440</t>
  </si>
  <si>
    <t>311</t>
  </si>
  <si>
    <t>Советский</t>
  </si>
  <si>
    <t>07735000</t>
  </si>
  <si>
    <t>312</t>
  </si>
  <si>
    <t>Советский муниципальный округ</t>
  </si>
  <si>
    <t>07550000</t>
  </si>
  <si>
    <t>313</t>
  </si>
  <si>
    <t>Советский муниципальный район</t>
  </si>
  <si>
    <t>07650000</t>
  </si>
  <si>
    <t>Восточный сельсовет</t>
  </si>
  <si>
    <t>07650402</t>
  </si>
  <si>
    <t>314</t>
  </si>
  <si>
    <t>Город Зеленокумск</t>
  </si>
  <si>
    <t>07650101</t>
  </si>
  <si>
    <t>315</t>
  </si>
  <si>
    <t>Нинский сельсовет</t>
  </si>
  <si>
    <t>07650407</t>
  </si>
  <si>
    <t>316</t>
  </si>
  <si>
    <t>Правокумский сельсовет</t>
  </si>
  <si>
    <t>07650413</t>
  </si>
  <si>
    <t>317</t>
  </si>
  <si>
    <t>Село Горькая Балка</t>
  </si>
  <si>
    <t>07650404</t>
  </si>
  <si>
    <t>318</t>
  </si>
  <si>
    <t>Село Отказное</t>
  </si>
  <si>
    <t>07650410</t>
  </si>
  <si>
    <t>319</t>
  </si>
  <si>
    <t>320</t>
  </si>
  <si>
    <t>Солдато-Александровский сельсовет</t>
  </si>
  <si>
    <t>07650416</t>
  </si>
  <si>
    <t>321</t>
  </si>
  <si>
    <t>Степновский муниципальный район</t>
  </si>
  <si>
    <t>07652000</t>
  </si>
  <si>
    <t>Богдановский сельсовет</t>
  </si>
  <si>
    <t>07652402</t>
  </si>
  <si>
    <t>323</t>
  </si>
  <si>
    <t>Варениковский сельсовет</t>
  </si>
  <si>
    <t>07652404</t>
  </si>
  <si>
    <t>324</t>
  </si>
  <si>
    <t>Верхнестепновский сельсовет</t>
  </si>
  <si>
    <t>07652407</t>
  </si>
  <si>
    <t>325</t>
  </si>
  <si>
    <t>Иргаклинский сельсовет</t>
  </si>
  <si>
    <t>07652410</t>
  </si>
  <si>
    <t>326</t>
  </si>
  <si>
    <t>Ольгинский сельсовет</t>
  </si>
  <si>
    <t>07652415</t>
  </si>
  <si>
    <t>327</t>
  </si>
  <si>
    <t>Село Соломенское</t>
  </si>
  <si>
    <t>07652420</t>
  </si>
  <si>
    <t>328</t>
  </si>
  <si>
    <t>329</t>
  </si>
  <si>
    <t>Степновский сельсовет</t>
  </si>
  <si>
    <t>07652426</t>
  </si>
  <si>
    <t>330</t>
  </si>
  <si>
    <t>Труновский муниципальный район</t>
  </si>
  <si>
    <t>07654000</t>
  </si>
  <si>
    <t>Безопасненский сельсовет</t>
  </si>
  <si>
    <t>07654402</t>
  </si>
  <si>
    <t>332</t>
  </si>
  <si>
    <t>Донской сельсовет</t>
  </si>
  <si>
    <t>07654404</t>
  </si>
  <si>
    <t>333</t>
  </si>
  <si>
    <t>Кировский сельсовет</t>
  </si>
  <si>
    <t>07654407</t>
  </si>
  <si>
    <t>334</t>
  </si>
  <si>
    <t>Село Новая Кугульта</t>
  </si>
  <si>
    <t>07654410</t>
  </si>
  <si>
    <t>335</t>
  </si>
  <si>
    <t>Село Подлесное</t>
  </si>
  <si>
    <t>07654413</t>
  </si>
  <si>
    <t>336</t>
  </si>
  <si>
    <t>337</t>
  </si>
  <si>
    <t>Труновский сельсовет</t>
  </si>
  <si>
    <t>07654416</t>
  </si>
  <si>
    <t>338</t>
  </si>
  <si>
    <t>Туркменский муниципальный район</t>
  </si>
  <si>
    <t>07656000</t>
  </si>
  <si>
    <t>07656401</t>
  </si>
  <si>
    <t>340</t>
  </si>
  <si>
    <t>Кендже-Кулакский сельсовет</t>
  </si>
  <si>
    <t>07656407</t>
  </si>
  <si>
    <t>341</t>
  </si>
  <si>
    <t>Красноманычский сельсовет</t>
  </si>
  <si>
    <t>07656410</t>
  </si>
  <si>
    <t>342</t>
  </si>
  <si>
    <t>Куликово-Копанский сельсовет</t>
  </si>
  <si>
    <t>07656413</t>
  </si>
  <si>
    <t>343</t>
  </si>
  <si>
    <t>Кучерлинский сельсовет</t>
  </si>
  <si>
    <t>07656416</t>
  </si>
  <si>
    <t>344</t>
  </si>
  <si>
    <t>Летнеставочный сельсовет</t>
  </si>
  <si>
    <t>07656419</t>
  </si>
  <si>
    <t>345</t>
  </si>
  <si>
    <t>Новокучерлинский сельсовет</t>
  </si>
  <si>
    <t>07656424</t>
  </si>
  <si>
    <t>346</t>
  </si>
  <si>
    <t>Овощинский сельсовет</t>
  </si>
  <si>
    <t>07656426</t>
  </si>
  <si>
    <t>347</t>
  </si>
  <si>
    <t>Село Казгулак</t>
  </si>
  <si>
    <t>07656402</t>
  </si>
  <si>
    <t>348</t>
  </si>
  <si>
    <t>Село Камбулат</t>
  </si>
  <si>
    <t>07656404</t>
  </si>
  <si>
    <t>349</t>
  </si>
  <si>
    <t>Село Малые Ягуры</t>
  </si>
  <si>
    <t>07656422</t>
  </si>
  <si>
    <t>350</t>
  </si>
  <si>
    <t>351</t>
  </si>
  <si>
    <t>Шпаковский муниципальный район</t>
  </si>
  <si>
    <t>07658000</t>
  </si>
  <si>
    <t>Верхнерусский сельсовет</t>
  </si>
  <si>
    <t>07658402</t>
  </si>
  <si>
    <t>353</t>
  </si>
  <si>
    <t>Город Михайловск</t>
  </si>
  <si>
    <t>07658101</t>
  </si>
  <si>
    <t>354</t>
  </si>
  <si>
    <t>Деминский сельсовет</t>
  </si>
  <si>
    <t>07658404</t>
  </si>
  <si>
    <t>355</t>
  </si>
  <si>
    <t>Дубовский сельсовет</t>
  </si>
  <si>
    <t>07658406</t>
  </si>
  <si>
    <t>356</t>
  </si>
  <si>
    <t>07658408</t>
  </si>
  <si>
    <t>357</t>
  </si>
  <si>
    <t>Надеждинский сельсовет</t>
  </si>
  <si>
    <t>07658410</t>
  </si>
  <si>
    <t>358</t>
  </si>
  <si>
    <t>Пелагиадский сельсовет</t>
  </si>
  <si>
    <t>07658416</t>
  </si>
  <si>
    <t>359</t>
  </si>
  <si>
    <t>Сенгилеевский сельсовет</t>
  </si>
  <si>
    <t>07658419</t>
  </si>
  <si>
    <t>360</t>
  </si>
  <si>
    <t>Станица Новомарьевская</t>
  </si>
  <si>
    <t>07658413</t>
  </si>
  <si>
    <t>361</t>
  </si>
  <si>
    <t>Татарский сельсовет</t>
  </si>
  <si>
    <t>07658422</t>
  </si>
  <si>
    <t>362</t>
  </si>
  <si>
    <t>Темнолесский сельсовет</t>
  </si>
  <si>
    <t>07658425</t>
  </si>
  <si>
    <t>363</t>
  </si>
  <si>
    <t>Цимлянский сельсовет</t>
  </si>
  <si>
    <t>07658428</t>
  </si>
  <si>
    <t>364</t>
  </si>
  <si>
    <t>365</t>
  </si>
  <si>
    <t>NUMBER_POINT</t>
  </si>
  <si>
    <t>L_NAME</t>
  </si>
  <si>
    <t>L_START_DATE</t>
  </si>
  <si>
    <t>L_END_DATE</t>
  </si>
  <si>
    <t>Инвестиционная программа № 1883 от 16.11.2023 МУП "ВОДОКАНАЛ" в сфере холодного водоснабжения по развитию системы водоснабжения, на территории городского округа Ставрополь на 2024-2028 годы</t>
  </si>
  <si>
    <t>01.01.2024</t>
  </si>
  <si>
    <t>31.12.2028</t>
  </si>
  <si>
    <t>Инвестиционная программа № 309 от 26.10.2020 АО "Водоканал" г. Невинномысск в сфере водоснабжения в отношении объектов централизованной системы водоснабжения на 2021-2023 годы</t>
  </si>
  <si>
    <t>01.01.2021</t>
  </si>
  <si>
    <t>31.12.2023</t>
  </si>
  <si>
    <t>Инвестиционная программа № 309 от 26.10.2020 АО "Водоканал" г. Невинномысск в сфере водоснабжения в отношении объектов централизованной системы водоснабжения, на территории городского округа Невинномысск на 2021-2023 годы</t>
  </si>
  <si>
    <t>Инвестиционная программа № 309 от 26.10.2020 АО "Водоканал" г. Невинномысск в сфере водоснабжения по развитию систем водоснабжения, на территории городского округа Невинномысск на 2021-2023 годы</t>
  </si>
  <si>
    <t>Инвестиционная программа № 327 от 10.11.2022 ГБУ СК «Управление СЭСПН» в сфере водоснабжения по модернизации и реконструкции имущественного комплекса на 2023-2028 годы</t>
  </si>
  <si>
    <t>01.01.2023</t>
  </si>
  <si>
    <t>Инвестиционная программа № 358 от 28.12.2019 ГУП СК "Ставрополькрайводоканал" в сфере водоснабжения и водоотведения в отношении систем водоcнабжения и водоотведения на 2020-2028 годы</t>
  </si>
  <si>
    <t>01.01.2020</t>
  </si>
  <si>
    <t>Инвестиционная программа ГБУ СК "Управление СЭСПН" по реконструкции магистральных сетей Эшкаконских очистных сооружений водопровода Д 600 мм и Д 700 мм в районе с. Джалга и с. Красный Курган с выносом сетей из поймы реки Подкумок и застроенной территории с. Джалга и с. Красный Курган на 2018-2022 годы</t>
  </si>
  <si>
    <t>01.01.2018</t>
  </si>
  <si>
    <t>31.12.2022</t>
  </si>
  <si>
    <t>Инвестиционная программа ГУП Ставропольского края "Управление по строительству и эксплуатации сооружений природоохранного назначения" по строительству и реконструкции объектов имущественного комплекса Эшкаконского гидроузла на 2018-2022 годы</t>
  </si>
  <si>
    <t>Инвестиционная программа от 26.10.2020 АО "Водоканал" г. Невинномысск в сфере холодного водоснабжения по развитию, модернизации и реконструкции объектов централизованной системы водоснабжения, на территории городского округа Невинномысск на 2021-2023 годы</t>
  </si>
  <si>
    <t>Инвестиционная программа от 28.12.2019 ГУП СК "Ставрополькрайводоканал" в сфере водоснабжения и водоотведения в отношении систем холодного водоснабжения и водоотведения на 2020-2023 годы</t>
  </si>
  <si>
    <t>Инвестиционная программа от 28.12.2019 ГУП СК "Ставрополькрайводоканал" в сфере водоснабжения и водоотведения в отношении системы водоcнабжения и водоотведения на 2020-2025 годы</t>
  </si>
  <si>
    <t>31.12.2025</t>
  </si>
  <si>
    <t>Инвестиционная программа от 29.10.2014 МУП "ВОДОКАНАЛ" в сфере холодного водоснабжения по развитию систем водоснабжения, на территории городского округа Ставрополь на 2015-2023 годы</t>
  </si>
  <si>
    <t>01.01.2015</t>
  </si>
  <si>
    <t>Инвестиционная программа от 29.10.2014 МУП "ВОДОКАНАЛ" в сфере холодного водоснабжения по развитию, реконструкции и модернизации систем объектов централизованной системы водоснабжения, на территории городского округа Ставрополь на 2015-2023 годы</t>
  </si>
  <si>
    <t>Инвестиционная программа от 30.09.2019 АО "Водоканал" г. Невинномысск в сфере водоснабжения и водоотведения по строительству, реконструкции и модернизации систем инженерной инфраструктуры, на территории городского округа Невинномысск на 2020-2022 годы</t>
  </si>
  <si>
    <t>Инвестиционная программа от 30.11.2017 ГБУ СК «Управление по строительству и эксплуатации сооружений природоохранного назначения» в сфере холодного водоснабжения по строительству, реконструкции и модернизации имущественного комплекса на 2018-2022 годы</t>
  </si>
  <si>
    <t>TER_NAME</t>
  </si>
  <si>
    <t>Территория 1</t>
  </si>
  <si>
    <t>Территория 2</t>
  </si>
  <si>
    <t>Территория 3</t>
  </si>
  <si>
    <t>Территория 4</t>
  </si>
  <si>
    <t>Территория 5</t>
  </si>
  <si>
    <t>Территория 6</t>
  </si>
  <si>
    <t>Территория 7</t>
  </si>
  <si>
    <t>Территория 8</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</si>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</sst>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7958">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0" fontId="2" fillId="0" borderId="8" xfId="0" applyNumberFormat="1" applyFont="1" applyBorder="1" applyAlignment="1">
      <alignment horizontal="center" vertical="center" wrapText="1"/>
    </xf>
    <xf numFmtId="49" fontId="0" fillId="6" borderId="3"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0" fillId="0" borderId="0" xfId="0" applyNumberFormat="1" applyFont="1" applyAlignment="1">
      <alignment horizontal="center" vertical="center" wrapText="1"/>
    </xf>
    <xf numFmtId="49" fontId="2" fillId="0" borderId="0" xfId="0" applyNumberFormat="1" applyFont="1" applyAlignment="1">
      <alignment vertical="center" wrapText="1"/>
    </xf>
    <xf numFmtId="49" fontId="2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0" fontId="2" fillId="0" borderId="0" xfId="0" applyNumberFormat="1" applyFont="1" applyAlignment="1">
      <alignment horizontal="left" vertical="center" wrapText="1"/>
    </xf>
    <xf numFmtId="49" fontId="2" fillId="11"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0" fillId="10"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49" fontId="98" fillId="10" borderId="3" xfId="0" applyNumberFormat="1" applyFont="1" applyFill="1" applyBorder="1" applyAlignment="1" applyProtection="1">
      <alignment horizontal="left" vertical="center" wrapText="1" indent="1"/>
      <protection locked="0"/>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98"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0" fillId="0" borderId="16" xfId="0" applyNumberFormat="1" applyFont="1" applyBorder="1" applyAlignment="1">
      <alignment horizontal="center" vertical="center"/>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2" fillId="11" borderId="3" xfId="0" applyNumberFormat="1" applyFont="1" applyFill="1" applyBorder="1" applyAlignment="1">
      <alignment horizontal="left" vertical="top" wrapText="1"/>
    </xf>
    <xf numFmtId="49" fontId="0" fillId="11" borderId="27" xfId="0" applyNumberFormat="1" applyFont="1" applyFill="1" applyBorder="1" applyAlignment="1">
      <alignment horizontal="left" vertical="top"/>
    </xf>
    <xf numFmtId="49" fontId="0" fillId="11" borderId="3"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2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7" fillId="0" borderId="0" xfId="0" applyNumberFormat="1" applyFont="1" applyAlignment="1">
      <alignment horizontal="center" vertical="center" wrapText="1"/>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0" fontId="11" fillId="0" borderId="0" xfId="0" applyNumberFormat="1" applyFont="1" applyAlignment="1">
      <alignment vertical="center" wrapText="1"/>
    </xf>
    <xf numFmtId="0" fontId="2" fillId="0" borderId="27" xfId="0" applyNumberFormat="1" applyFont="1" applyBorder="1" applyAlignment="1">
      <alignment vertical="center"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o.kirsanova@skvk.ru" TargetMode="External"/><Relationship Id="rId1" Type="http://schemas.openxmlformats.org/officeDocument/2006/relationships/hyperlink" Target="http://pravo.stavregion.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1941a757-16b2-4401-b1da-db20f358324b" TargetMode="External"/><Relationship Id="rId2" Type="http://schemas.openxmlformats.org/officeDocument/2006/relationships/hyperlink" Target="https://portal.eias.ru/Portal/DownloadPage.aspx?type=12&amp;guid=255b24c5-b8d0-4792-b040-012e3ed5100c" TargetMode="External"/><Relationship Id="rId1" Type="http://schemas.openxmlformats.org/officeDocument/2006/relationships/hyperlink" Target="http://skvk.ru/about/official/2024/8496/" TargetMode="External"/><Relationship Id="rId4"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3" customWidth="1"/>
    <col min="2" max="2" width="9.140625" style="1623" customWidth="1"/>
    <col min="3" max="3" width="16.42578125" style="1623" customWidth="1"/>
    <col min="4" max="25" width="6.28515625" style="1623" customWidth="1"/>
    <col min="26" max="28" width="11" style="1623"/>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7511" t="s">
        <v>1</v>
      </c>
      <c r="C2" s="7511"/>
      <c r="D2" s="7511"/>
      <c r="E2" s="7511"/>
      <c r="F2" s="7511"/>
      <c r="G2" s="7511"/>
      <c r="H2" s="7511"/>
      <c r="I2" s="7511"/>
      <c r="J2" s="7511"/>
      <c r="K2" s="7511"/>
      <c r="L2" s="7511"/>
      <c r="M2" s="7511"/>
      <c r="N2" s="7511"/>
      <c r="O2" s="7511"/>
      <c r="P2" s="7511"/>
      <c r="Q2" s="1624"/>
      <c r="R2" s="1624"/>
      <c r="S2" s="1624"/>
      <c r="T2" s="1624"/>
      <c r="U2" s="1624"/>
      <c r="V2" s="1625"/>
      <c r="W2" s="1624"/>
      <c r="X2" s="1624"/>
      <c r="Y2" s="1621"/>
      <c r="Z2" s="1620"/>
      <c r="AA2" s="1622"/>
      <c r="AB2" s="1620"/>
    </row>
    <row r="3" spans="1:28" ht="15.75" customHeight="1">
      <c r="A3" s="1620"/>
      <c r="B3" s="7512" t="s">
        <v>2</v>
      </c>
      <c r="C3" s="7512"/>
      <c r="D3" s="7512"/>
      <c r="E3" s="7512"/>
      <c r="F3" s="7512"/>
      <c r="G3" s="7512"/>
      <c r="H3" s="7512"/>
      <c r="I3" s="7512"/>
      <c r="J3" s="7512"/>
      <c r="K3" s="7512"/>
      <c r="L3" s="7512"/>
      <c r="M3" s="7512"/>
      <c r="N3" s="7512"/>
      <c r="O3" s="7512"/>
      <c r="P3" s="7512"/>
      <c r="Q3" s="1625"/>
      <c r="R3" s="1625"/>
      <c r="S3" s="1624"/>
      <c r="T3" s="1624"/>
      <c r="U3" s="1624"/>
      <c r="V3" s="1625"/>
      <c r="W3" s="1625"/>
      <c r="X3" s="1625"/>
      <c r="Y3" s="1625"/>
      <c r="Z3" s="1620"/>
      <c r="AA3" s="1622"/>
      <c r="AB3" s="1620"/>
    </row>
    <row r="4" spans="1:28" ht="17.25" customHeight="1">
      <c r="A4" s="1620"/>
      <c r="B4" s="1626"/>
      <c r="C4" s="1620"/>
      <c r="D4" s="1625"/>
      <c r="E4" s="1625"/>
      <c r="F4" s="1625"/>
      <c r="G4" s="1625"/>
      <c r="H4" s="1625"/>
      <c r="I4" s="1625"/>
      <c r="J4" s="1625"/>
      <c r="K4" s="1625"/>
      <c r="L4" s="1625"/>
      <c r="M4" s="1625"/>
      <c r="N4" s="1625"/>
      <c r="O4" s="1625"/>
      <c r="P4" s="1625"/>
      <c r="Q4" s="1625"/>
      <c r="R4" s="1625"/>
      <c r="S4" s="1625"/>
      <c r="T4" s="1625"/>
      <c r="U4" s="1625"/>
      <c r="V4" s="1625"/>
      <c r="W4" s="1625"/>
      <c r="X4" s="1625"/>
      <c r="Y4" s="1625"/>
      <c r="Z4" s="1620"/>
      <c r="AA4" s="1622"/>
      <c r="AB4" s="1620"/>
    </row>
    <row r="5" spans="1:28" ht="22.5" customHeight="1">
      <c r="A5" s="1627"/>
      <c r="B5" s="7513"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7514"/>
      <c r="D5" s="7514"/>
      <c r="E5" s="7514"/>
      <c r="F5" s="7514"/>
      <c r="G5" s="7514"/>
      <c r="H5" s="7514"/>
      <c r="I5" s="7514"/>
      <c r="J5" s="7514"/>
      <c r="K5" s="7514"/>
      <c r="L5" s="7514"/>
      <c r="M5" s="7514"/>
      <c r="N5" s="7514"/>
      <c r="O5" s="7514"/>
      <c r="P5" s="7514"/>
      <c r="Q5" s="7514"/>
      <c r="R5" s="7514"/>
      <c r="S5" s="7514"/>
      <c r="T5" s="7514"/>
      <c r="U5" s="7514"/>
      <c r="V5" s="7514"/>
      <c r="W5" s="7514"/>
      <c r="X5" s="7514"/>
      <c r="Y5" s="7515"/>
      <c r="Z5" s="1627"/>
      <c r="AA5" s="1622"/>
      <c r="AB5" s="1627"/>
    </row>
    <row r="6" spans="1:28" ht="15" customHeight="1">
      <c r="A6" s="1628"/>
      <c r="B6" s="7516" t="s">
        <v>3</v>
      </c>
      <c r="C6" s="7517"/>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7516"/>
      <c r="C7" s="7517"/>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7516"/>
      <c r="C8" s="7517"/>
      <c r="D8" s="1634"/>
      <c r="E8" s="1635" t="s">
        <v>4</v>
      </c>
      <c r="F8" s="7519" t="s">
        <v>5</v>
      </c>
      <c r="G8" s="7520"/>
      <c r="H8" s="7520"/>
      <c r="I8" s="7520"/>
      <c r="J8" s="7520"/>
      <c r="K8" s="7520"/>
      <c r="L8" s="7520"/>
      <c r="M8" s="7520"/>
      <c r="N8" s="1634"/>
      <c r="O8" s="1636" t="s">
        <v>4</v>
      </c>
      <c r="P8" s="7521" t="s">
        <v>6</v>
      </c>
      <c r="Q8" s="7522"/>
      <c r="R8" s="7522"/>
      <c r="S8" s="7522"/>
      <c r="T8" s="7522"/>
      <c r="U8" s="7522"/>
      <c r="V8" s="7522"/>
      <c r="W8" s="7522"/>
      <c r="X8" s="7522"/>
      <c r="Y8" s="1630"/>
      <c r="Z8" s="1631"/>
      <c r="AA8" s="1632"/>
      <c r="AB8" s="1632"/>
    </row>
    <row r="9" spans="1:28" ht="15" customHeight="1">
      <c r="A9" s="1628"/>
      <c r="B9" s="7516"/>
      <c r="C9" s="7517"/>
      <c r="D9" s="1634"/>
      <c r="E9" s="1637" t="s">
        <v>4</v>
      </c>
      <c r="F9" s="7519" t="s">
        <v>7</v>
      </c>
      <c r="G9" s="7520"/>
      <c r="H9" s="7520"/>
      <c r="I9" s="7520"/>
      <c r="J9" s="7520"/>
      <c r="K9" s="7520"/>
      <c r="L9" s="7520"/>
      <c r="M9" s="7520"/>
      <c r="N9" s="1634"/>
      <c r="O9" s="1638" t="s">
        <v>4</v>
      </c>
      <c r="P9" s="7521" t="s">
        <v>8</v>
      </c>
      <c r="Q9" s="7522"/>
      <c r="R9" s="7522"/>
      <c r="S9" s="7522"/>
      <c r="T9" s="7522"/>
      <c r="U9" s="7522"/>
      <c r="V9" s="7522"/>
      <c r="W9" s="7522"/>
      <c r="X9" s="7522"/>
      <c r="Y9" s="1630"/>
      <c r="Z9" s="1631"/>
      <c r="AA9" s="1632"/>
      <c r="AB9" s="1632"/>
    </row>
    <row r="10" spans="1:28" ht="30" customHeight="1">
      <c r="A10" s="1628"/>
      <c r="B10" s="7516"/>
      <c r="C10" s="7518"/>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7523" t="s">
        <v>9</v>
      </c>
      <c r="C11" s="7524"/>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7516"/>
      <c r="C12" s="7518"/>
      <c r="D12" s="1642"/>
      <c r="E12" s="7520" t="s">
        <v>10</v>
      </c>
      <c r="F12" s="7520"/>
      <c r="G12" s="7520"/>
      <c r="H12" s="7520"/>
      <c r="I12" s="7520"/>
      <c r="J12" s="7520"/>
      <c r="K12" s="7520"/>
      <c r="L12" s="7520"/>
      <c r="M12" s="7520"/>
      <c r="N12" s="7520"/>
      <c r="O12" s="7520"/>
      <c r="P12" s="7520"/>
      <c r="Q12" s="7520"/>
      <c r="R12" s="7520"/>
      <c r="S12" s="7520"/>
      <c r="T12" s="7520"/>
      <c r="U12" s="7520"/>
      <c r="V12" s="7520"/>
      <c r="W12" s="7520"/>
      <c r="X12" s="7520"/>
      <c r="Y12" s="1630"/>
      <c r="Z12" s="1631"/>
      <c r="AA12" s="1632"/>
      <c r="AB12" s="1632"/>
    </row>
    <row r="13" spans="1:28" ht="15" customHeight="1">
      <c r="A13" s="1628"/>
      <c r="B13" s="7523" t="s">
        <v>11</v>
      </c>
      <c r="C13" s="7524"/>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7516"/>
      <c r="C14" s="7517"/>
      <c r="D14" s="1634"/>
      <c r="E14" s="7527" t="s">
        <v>12</v>
      </c>
      <c r="F14" s="7527"/>
      <c r="G14" s="7527"/>
      <c r="H14" s="7527"/>
      <c r="I14" s="7527"/>
      <c r="J14" s="7527"/>
      <c r="K14" s="7527"/>
      <c r="L14" s="7527"/>
      <c r="M14" s="7527"/>
      <c r="N14" s="7527"/>
      <c r="O14" s="7527"/>
      <c r="P14" s="7527"/>
      <c r="Q14" s="7527"/>
      <c r="R14" s="7527"/>
      <c r="S14" s="7527"/>
      <c r="T14" s="7527"/>
      <c r="U14" s="7527"/>
      <c r="V14" s="7527"/>
      <c r="W14" s="7527"/>
      <c r="X14" s="7527"/>
      <c r="Y14" s="1630"/>
      <c r="Z14" s="1631"/>
      <c r="AA14" s="1632"/>
      <c r="AB14" s="1632"/>
    </row>
    <row r="15" spans="1:28" ht="16.5" customHeight="1">
      <c r="A15" s="1628"/>
      <c r="B15" s="7525"/>
      <c r="C15" s="7526"/>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0"/>
      <c r="B16" s="7527"/>
      <c r="C16" s="7528"/>
      <c r="D16" s="7528"/>
      <c r="E16" s="7528"/>
      <c r="F16" s="7528"/>
      <c r="G16" s="7528"/>
      <c r="H16" s="7528"/>
      <c r="I16" s="7528"/>
      <c r="J16" s="7528"/>
      <c r="K16" s="7528"/>
      <c r="L16" s="7528"/>
      <c r="M16" s="7528"/>
      <c r="N16" s="7528"/>
      <c r="O16" s="7528"/>
      <c r="P16" s="7528"/>
      <c r="Q16" s="7528"/>
      <c r="R16" s="7528"/>
      <c r="S16" s="7528"/>
      <c r="T16" s="7528"/>
      <c r="U16" s="7528"/>
      <c r="V16" s="7528"/>
      <c r="W16" s="7528"/>
      <c r="X16" s="7528"/>
      <c r="Y16" s="7528"/>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2" hidden="1" customWidth="1"/>
    <col min="2" max="3" width="9.140625" style="1555" hidden="1" customWidth="1"/>
    <col min="4" max="4" width="3.7109375" style="1760" customWidth="1"/>
    <col min="5" max="5" width="6.28515625" style="1555" customWidth="1"/>
    <col min="6" max="6" width="1.7109375" style="1555" hidden="1" customWidth="1"/>
    <col min="7" max="8" width="30.7109375" style="1555" customWidth="1"/>
    <col min="9" max="9" width="9" style="1555" customWidth="1"/>
    <col min="10" max="10" width="12.140625" style="1555" customWidth="1"/>
    <col min="11" max="11" width="46.7109375" style="1555" customWidth="1"/>
    <col min="12" max="12" width="100.28515625" style="1555" customWidth="1"/>
    <col min="13" max="13" width="7.5703125" style="1739" customWidth="1"/>
    <col min="14" max="22" width="10.5703125" style="1555"/>
  </cols>
  <sheetData>
    <row r="1" spans="1:22" s="1562" customFormat="1" ht="5.25" hidden="1" customHeight="1">
      <c r="C1" s="435"/>
      <c r="D1" s="418"/>
      <c r="F1" s="435"/>
      <c r="G1" s="413" t="s">
        <v>81</v>
      </c>
      <c r="H1" s="413" t="s">
        <v>82</v>
      </c>
      <c r="I1" s="413" t="s">
        <v>83</v>
      </c>
      <c r="P1" s="413" t="s">
        <v>81</v>
      </c>
      <c r="Q1" s="413" t="s">
        <v>82</v>
      </c>
      <c r="R1" s="413" t="s">
        <v>83</v>
      </c>
    </row>
    <row r="2" spans="1:22" s="1562" customFormat="1" ht="5.25" hidden="1" customHeight="1">
      <c r="C2" s="435"/>
      <c r="D2" s="418"/>
      <c r="F2" s="435"/>
    </row>
    <row r="3" spans="1:22" s="1533" customFormat="1" ht="6" customHeight="1">
      <c r="A3" s="403"/>
      <c r="D3" s="410"/>
      <c r="E3" s="405"/>
      <c r="F3" s="405"/>
      <c r="G3" s="405"/>
      <c r="H3" s="405"/>
      <c r="I3" s="406"/>
      <c r="J3" s="407"/>
      <c r="K3" s="407"/>
      <c r="L3" s="407"/>
    </row>
    <row r="4" spans="1:22" ht="22.5" customHeight="1">
      <c r="D4" s="375"/>
      <c r="E4" s="7552" t="s">
        <v>564</v>
      </c>
      <c r="F4" s="7552"/>
      <c r="G4" s="7553"/>
      <c r="H4" s="7553"/>
      <c r="I4" s="7554"/>
      <c r="J4" s="415"/>
      <c r="K4" s="377"/>
      <c r="L4" s="377"/>
    </row>
    <row r="5" spans="1:22" s="1555" customFormat="1" ht="17.25" customHeight="1">
      <c r="A5" s="674"/>
      <c r="D5" s="736"/>
      <c r="E5" s="7654" t="str">
        <f>IF(org=0,"Не определено",org)</f>
        <v>ГУП СК "Ставрополькрайводоканал"</v>
      </c>
      <c r="F5" s="7654"/>
      <c r="G5" s="7655"/>
      <c r="H5" s="7655"/>
      <c r="I5" s="7656"/>
      <c r="J5" s="415"/>
      <c r="K5" s="377"/>
      <c r="L5" s="377"/>
      <c r="M5" s="431"/>
    </row>
    <row r="6" spans="1:22" s="1533" customFormat="1" ht="11.25" customHeight="1">
      <c r="A6" s="403"/>
      <c r="D6" s="410"/>
      <c r="E6" s="405"/>
      <c r="F6" s="405"/>
      <c r="G6" s="408"/>
      <c r="H6" s="408"/>
      <c r="I6" s="409"/>
      <c r="J6" s="409"/>
      <c r="K6" s="667"/>
      <c r="L6" s="409"/>
    </row>
    <row r="7" spans="1:22" ht="14.25" customHeight="1">
      <c r="D7" s="375"/>
      <c r="E7" s="7648" t="s">
        <v>474</v>
      </c>
      <c r="F7" s="7648"/>
      <c r="G7" s="7649"/>
      <c r="H7" s="7649"/>
      <c r="I7" s="7649"/>
      <c r="J7" s="7649"/>
      <c r="K7" s="7649"/>
      <c r="L7" s="7587" t="s">
        <v>475</v>
      </c>
    </row>
    <row r="8" spans="1:22" ht="45" customHeight="1">
      <c r="D8" s="375"/>
      <c r="E8" s="397" t="s">
        <v>86</v>
      </c>
      <c r="F8" s="737"/>
      <c r="G8" s="389" t="s">
        <v>84</v>
      </c>
      <c r="H8" s="389" t="s">
        <v>85</v>
      </c>
      <c r="I8" s="343" t="s">
        <v>83</v>
      </c>
      <c r="J8" s="343" t="s">
        <v>565</v>
      </c>
      <c r="K8" s="343" t="s">
        <v>566</v>
      </c>
      <c r="L8" s="7587"/>
    </row>
    <row r="9" spans="1:22" ht="12" hidden="1" customHeight="1">
      <c r="D9" s="411"/>
      <c r="E9" s="417"/>
      <c r="F9" s="744"/>
      <c r="G9" s="417"/>
      <c r="H9" s="417"/>
      <c r="I9" s="417"/>
      <c r="J9" s="417"/>
      <c r="K9" s="417"/>
      <c r="L9" s="417"/>
      <c r="M9" s="373"/>
    </row>
    <row r="10" spans="1:22" ht="14.25" hidden="1" customHeight="1">
      <c r="A10" s="429"/>
      <c r="B10" s="429"/>
      <c r="D10" s="430"/>
      <c r="E10" s="436">
        <v>0</v>
      </c>
      <c r="F10" s="735"/>
      <c r="G10" s="432"/>
      <c r="H10" s="432"/>
      <c r="I10" s="432"/>
      <c r="J10" s="432"/>
      <c r="K10" s="432"/>
      <c r="L10" s="7660" t="s">
        <v>567</v>
      </c>
      <c r="M10" s="431"/>
      <c r="N10" s="429"/>
      <c r="O10" s="429"/>
      <c r="P10" s="429"/>
      <c r="Q10" s="429"/>
      <c r="R10" s="429"/>
      <c r="S10" s="429"/>
      <c r="T10" s="429"/>
      <c r="U10" s="429"/>
      <c r="V10" s="429"/>
    </row>
    <row r="11" spans="1:22" ht="15" hidden="1" customHeight="1">
      <c r="A11" s="7533"/>
      <c r="B11" s="428"/>
      <c r="C11" s="428"/>
      <c r="D11" s="779"/>
      <c r="E11" s="437"/>
      <c r="F11" s="437"/>
      <c r="G11" s="437"/>
      <c r="H11" s="437"/>
      <c r="I11" s="438"/>
      <c r="J11" s="439"/>
      <c r="K11" s="630"/>
      <c r="L11" s="7674"/>
      <c r="M11" s="435"/>
      <c r="N11" s="435"/>
      <c r="O11" s="435"/>
      <c r="P11" s="440"/>
      <c r="Q11" s="440"/>
      <c r="R11" s="441"/>
      <c r="S11" s="435"/>
      <c r="T11" s="435"/>
      <c r="U11" s="435"/>
      <c r="V11" s="435"/>
    </row>
    <row r="12" spans="1:22" s="1533" customFormat="1" ht="14.25" customHeight="1">
      <c r="A12" s="7533"/>
      <c r="B12" s="428"/>
      <c r="C12" s="428"/>
      <c r="D12" s="780"/>
      <c r="E12" s="737">
        <v>1</v>
      </c>
      <c r="F12" s="778">
        <v>23</v>
      </c>
      <c r="G12" s="777"/>
      <c r="H12" s="707"/>
      <c r="I12" s="705"/>
      <c r="J12" s="444" t="s">
        <v>60</v>
      </c>
      <c r="K12" s="1069" t="s">
        <v>24</v>
      </c>
      <c r="L12" s="7674"/>
      <c r="M12" s="435"/>
      <c r="N12" s="435"/>
      <c r="O12" s="435"/>
      <c r="P12" s="440" t="s">
        <v>568</v>
      </c>
      <c r="Q12" s="440" t="s">
        <v>569</v>
      </c>
      <c r="R12" s="441" t="s">
        <v>570</v>
      </c>
      <c r="S12" s="435" t="s">
        <v>571</v>
      </c>
      <c r="T12" s="435"/>
      <c r="U12" s="435"/>
      <c r="V12" s="435"/>
    </row>
    <row r="13" spans="1:22" ht="15" customHeight="1">
      <c r="A13" s="7533"/>
      <c r="B13" s="429"/>
      <c r="D13" s="430"/>
      <c r="E13" s="334"/>
      <c r="F13" s="453"/>
      <c r="G13" s="345" t="s">
        <v>207</v>
      </c>
      <c r="H13" s="333"/>
      <c r="I13" s="333"/>
      <c r="J13" s="333"/>
      <c r="K13" s="332"/>
      <c r="L13" s="7661"/>
      <c r="M13" s="433"/>
      <c r="N13" s="429"/>
      <c r="O13" s="429"/>
      <c r="P13" s="429"/>
      <c r="Q13" s="429"/>
      <c r="R13" s="429"/>
      <c r="S13" s="429"/>
      <c r="T13" s="429"/>
      <c r="U13" s="429"/>
      <c r="V13" s="429"/>
    </row>
    <row r="14" spans="1:22" ht="11.25" customHeight="1">
      <c r="A14" s="403"/>
      <c r="B14" s="404"/>
      <c r="C14" s="404"/>
      <c r="D14" s="419"/>
      <c r="E14" s="404"/>
      <c r="F14" s="404"/>
      <c r="G14" s="404"/>
      <c r="H14" s="404"/>
      <c r="I14" s="404"/>
      <c r="J14" s="404"/>
      <c r="K14" s="404"/>
      <c r="L14" s="404"/>
      <c r="M14" s="404"/>
      <c r="N14" s="404"/>
      <c r="O14" s="404"/>
      <c r="P14" s="404"/>
      <c r="Q14" s="404"/>
      <c r="R14" s="404"/>
      <c r="S14" s="404"/>
      <c r="T14" s="404"/>
      <c r="U14" s="404"/>
      <c r="V14" s="404"/>
    </row>
    <row r="15" spans="1:22" ht="14.25" customHeight="1">
      <c r="D15" s="390"/>
      <c r="E15" s="258"/>
      <c r="F15" s="258"/>
      <c r="G15" s="58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90"/>
      <c r="I15" s="390"/>
      <c r="J15" s="390"/>
      <c r="K15" s="390"/>
      <c r="L15" s="390"/>
    </row>
    <row r="18" spans="7:7" ht="14.25" customHeight="1">
      <c r="G18" s="429"/>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5" hidden="1" customWidth="1"/>
    <col min="13" max="14" width="12.28515625" style="1696" hidden="1" customWidth="1"/>
    <col min="15" max="15" width="23.42578125" style="1696" hidden="1" customWidth="1"/>
    <col min="16" max="16" width="3.7109375" style="1817" customWidth="1"/>
    <col min="17" max="18" width="3.7109375" style="265" customWidth="1"/>
    <col min="19" max="19" width="12.7109375" style="1820" customWidth="1"/>
    <col min="20" max="20" width="35.7109375"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7689">
        <v>1</v>
      </c>
      <c r="F2" s="1284"/>
      <c r="G2" s="1284"/>
      <c r="H2" s="1284"/>
      <c r="I2" s="1284"/>
      <c r="J2" s="1284"/>
      <c r="K2" s="1284"/>
      <c r="L2" s="1285"/>
      <c r="M2" s="1286"/>
      <c r="N2" s="1286"/>
      <c r="O2" s="1286"/>
      <c r="P2" s="282"/>
      <c r="Q2" s="281"/>
      <c r="R2" s="276"/>
      <c r="S2" s="1232" t="e">
        <f>INDEX(PT_DIFFERENTIATION_NUM_NTAR,MATCH(A2,PT_DIFFERENTIATION_NTAR_ID,0))</f>
        <v>#N/A</v>
      </c>
      <c r="T2" s="212" t="s">
        <v>237</v>
      </c>
      <c r="U2" s="214"/>
      <c r="V2" s="7675"/>
      <c r="W2" s="7676"/>
      <c r="X2" s="7676"/>
      <c r="Y2" s="7676"/>
      <c r="Z2" s="7676"/>
      <c r="AA2" s="7676"/>
      <c r="AB2" s="7676"/>
      <c r="AC2" s="7677"/>
      <c r="AD2" s="7675" t="e">
        <f>INDEX(PT_DIFFERENTIATION_NTAR,MATCH(A2,PT_DIFFERENTIATION_NTAR_ID,0))</f>
        <v>#N/A</v>
      </c>
      <c r="AE2" s="7676"/>
      <c r="AF2" s="7676"/>
      <c r="AG2" s="7676"/>
      <c r="AH2" s="7676"/>
      <c r="AI2" s="7676"/>
      <c r="AJ2" s="7676"/>
      <c r="AK2" s="7676"/>
      <c r="AL2" s="7677"/>
      <c r="AM2" s="1182" t="s">
        <v>572</v>
      </c>
      <c r="AO2" s="424"/>
      <c r="AP2" s="424" t="str">
        <f t="shared" ref="AP2:AP15" si="0">IF(T2="","",T2)</f>
        <v>Наименование тарифа</v>
      </c>
      <c r="AQ2" s="424"/>
      <c r="AR2" s="424"/>
    </row>
    <row r="3" spans="1:44" ht="21" hidden="1" customHeight="1">
      <c r="A3" s="1284"/>
      <c r="B3" s="1284"/>
      <c r="C3" s="1284"/>
      <c r="D3" s="1284"/>
      <c r="E3" s="7690"/>
      <c r="F3" s="7689">
        <v>1</v>
      </c>
      <c r="G3" s="1284"/>
      <c r="H3" s="1284"/>
      <c r="I3" s="1284"/>
      <c r="J3" s="1284"/>
      <c r="K3" s="1284"/>
      <c r="L3" s="1285"/>
      <c r="M3" s="1286"/>
      <c r="N3" s="1286"/>
      <c r="O3" s="1286"/>
      <c r="P3" s="1228"/>
      <c r="Q3" s="273"/>
      <c r="R3" s="274"/>
      <c r="S3" s="1232" t="e">
        <f>INDEX(PT_DIFFERENTIATION_NUM_TER,MATCH(B3,PT_DIFFERENTIATION_TER_ID,0))</f>
        <v>#N/A</v>
      </c>
      <c r="T3" s="224" t="s">
        <v>573</v>
      </c>
      <c r="U3" s="214"/>
      <c r="V3" s="7675"/>
      <c r="W3" s="7676"/>
      <c r="X3" s="7676"/>
      <c r="Y3" s="7676"/>
      <c r="Z3" s="7676"/>
      <c r="AA3" s="7676"/>
      <c r="AB3" s="7676"/>
      <c r="AC3" s="7677"/>
      <c r="AD3" s="7675" t="e">
        <f>INDEX(PT_DIFFERENTIATION_TER,MATCH(B3,PT_DIFFERENTIATION_TER_ID,0))</f>
        <v>#N/A</v>
      </c>
      <c r="AE3" s="7676"/>
      <c r="AF3" s="7676"/>
      <c r="AG3" s="7676"/>
      <c r="AH3" s="7676"/>
      <c r="AI3" s="7676"/>
      <c r="AJ3" s="7676"/>
      <c r="AK3" s="7676"/>
      <c r="AL3" s="7677"/>
      <c r="AM3" s="1182" t="s">
        <v>574</v>
      </c>
      <c r="AO3" s="424"/>
      <c r="AP3" s="424" t="str">
        <f t="shared" si="0"/>
        <v>Территория действия тарифа</v>
      </c>
      <c r="AQ3" s="424"/>
      <c r="AR3" s="424"/>
    </row>
    <row r="4" spans="1:44" ht="23.25" hidden="1" customHeight="1">
      <c r="A4" s="1284"/>
      <c r="B4" s="1284"/>
      <c r="C4" s="1284"/>
      <c r="D4" s="1284"/>
      <c r="E4" s="7690"/>
      <c r="F4" s="7690"/>
      <c r="G4" s="7689">
        <v>1</v>
      </c>
      <c r="H4" s="1284"/>
      <c r="I4" s="1284"/>
      <c r="J4" s="1284"/>
      <c r="K4" s="1284"/>
      <c r="L4" s="1285"/>
      <c r="M4" s="1286"/>
      <c r="N4" s="1286"/>
      <c r="O4" s="1286"/>
      <c r="P4" s="275"/>
      <c r="Q4" s="273"/>
      <c r="R4" s="274"/>
      <c r="S4" s="1232" t="e">
        <f>INDEX(PT_DIFFERENTIATION_NUM_CS,MATCH(C4,PT_DIFFERENTIATION_CS_ID,0))</f>
        <v>#N/A</v>
      </c>
      <c r="T4" s="225" t="s">
        <v>575</v>
      </c>
      <c r="U4" s="214"/>
      <c r="V4" s="7675"/>
      <c r="W4" s="7676"/>
      <c r="X4" s="7676"/>
      <c r="Y4" s="7676"/>
      <c r="Z4" s="7676"/>
      <c r="AA4" s="7676"/>
      <c r="AB4" s="7676"/>
      <c r="AC4" s="7677"/>
      <c r="AD4" s="7675" t="e">
        <f>INDEX(PT_DIFFERENTIATION_CS,MATCH(C4,PT_DIFFERENTIATION_CS_ID,0))</f>
        <v>#N/A</v>
      </c>
      <c r="AE4" s="7676"/>
      <c r="AF4" s="7676"/>
      <c r="AG4" s="7676"/>
      <c r="AH4" s="7676"/>
      <c r="AI4" s="7676"/>
      <c r="AJ4" s="7676"/>
      <c r="AK4" s="7676"/>
      <c r="AL4" s="7677"/>
      <c r="AM4" s="1182" t="s">
        <v>576</v>
      </c>
      <c r="AO4" s="424"/>
      <c r="AP4" s="424" t="str">
        <f t="shared" si="0"/>
        <v xml:space="preserve">Наименование системы теплоснабжения </v>
      </c>
      <c r="AQ4" s="424"/>
      <c r="AR4" s="424"/>
    </row>
    <row r="5" spans="1:44" ht="21" hidden="1" customHeight="1">
      <c r="A5" s="1284"/>
      <c r="B5" s="1284"/>
      <c r="C5" s="1284"/>
      <c r="D5" s="1284"/>
      <c r="E5" s="7690"/>
      <c r="F5" s="7690"/>
      <c r="G5" s="7690"/>
      <c r="H5" s="7689">
        <v>1</v>
      </c>
      <c r="I5" s="1284"/>
      <c r="J5" s="1284"/>
      <c r="K5" s="1284"/>
      <c r="L5" s="1285"/>
      <c r="M5" s="1286"/>
      <c r="N5" s="1286"/>
      <c r="O5" s="1286"/>
      <c r="P5" s="275"/>
      <c r="Q5" s="273"/>
      <c r="R5" s="274"/>
      <c r="S5" s="1232" t="e">
        <f>INDEX(PT_DIFFERENTIATION_NUM_IST_TE,MATCH(D5,PT_DIFFERENTIATION_IST_TE_ID,0))</f>
        <v>#N/A</v>
      </c>
      <c r="T5" s="226" t="s">
        <v>577</v>
      </c>
      <c r="U5" s="214"/>
      <c r="V5" s="7675"/>
      <c r="W5" s="7676"/>
      <c r="X5" s="7676"/>
      <c r="Y5" s="7676"/>
      <c r="Z5" s="7676"/>
      <c r="AA5" s="7676"/>
      <c r="AB5" s="7676"/>
      <c r="AC5" s="7677"/>
      <c r="AD5" s="7675" t="e">
        <f>INDEX(PT_DIFFERENTIATION_IST_TE,MATCH(D5,PT_DIFFERENTIATION_IST_TE_ID,0))</f>
        <v>#N/A</v>
      </c>
      <c r="AE5" s="7676"/>
      <c r="AF5" s="7676"/>
      <c r="AG5" s="7676"/>
      <c r="AH5" s="7676"/>
      <c r="AI5" s="7676"/>
      <c r="AJ5" s="7676"/>
      <c r="AK5" s="7676"/>
      <c r="AL5" s="7677"/>
      <c r="AM5" s="1182" t="s">
        <v>578</v>
      </c>
      <c r="AO5" s="424"/>
      <c r="AP5" s="424" t="str">
        <f t="shared" si="0"/>
        <v xml:space="preserve">Источник тепловой энергии  </v>
      </c>
      <c r="AQ5" s="424"/>
      <c r="AR5" s="424"/>
    </row>
    <row r="6" spans="1:44" ht="47.25" hidden="1" customHeight="1">
      <c r="A6" s="1284"/>
      <c r="B6" s="1284"/>
      <c r="C6" s="1284"/>
      <c r="D6" s="1284"/>
      <c r="E6" s="7690"/>
      <c r="F6" s="7690"/>
      <c r="G6" s="7690"/>
      <c r="H6" s="7690"/>
      <c r="I6" s="7687" t="e">
        <f>S5&amp;".1"</f>
        <v>#N/A</v>
      </c>
      <c r="J6" s="1284"/>
      <c r="K6" s="1284"/>
      <c r="L6" s="1285" t="s">
        <v>579</v>
      </c>
      <c r="M6" s="460"/>
      <c r="P6" s="7688">
        <v>1</v>
      </c>
      <c r="Q6" s="1229"/>
      <c r="R6" s="277"/>
      <c r="S6" s="1232" t="e">
        <f>$I6</f>
        <v>#N/A</v>
      </c>
      <c r="T6" s="200" t="s">
        <v>580</v>
      </c>
      <c r="U6" s="214"/>
      <c r="V6" s="7678"/>
      <c r="W6" s="7679"/>
      <c r="X6" s="7679"/>
      <c r="Y6" s="7679"/>
      <c r="Z6" s="7679"/>
      <c r="AA6" s="7679"/>
      <c r="AB6" s="7679"/>
      <c r="AC6" s="7680"/>
      <c r="AD6" s="7678"/>
      <c r="AE6" s="7679"/>
      <c r="AF6" s="7679"/>
      <c r="AG6" s="7679"/>
      <c r="AH6" s="7679"/>
      <c r="AI6" s="7679"/>
      <c r="AJ6" s="7679"/>
      <c r="AK6" s="7679"/>
      <c r="AL6" s="7680"/>
      <c r="AM6" s="1182" t="s">
        <v>581</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7690"/>
      <c r="F7" s="7690"/>
      <c r="G7" s="7690"/>
      <c r="H7" s="7690"/>
      <c r="I7" s="7710"/>
      <c r="J7" s="7687" t="e">
        <f>I6&amp;".1"</f>
        <v>#N/A</v>
      </c>
      <c r="K7" s="1284"/>
      <c r="L7" s="1285" t="s">
        <v>582</v>
      </c>
      <c r="M7" s="460"/>
      <c r="N7" s="1287"/>
      <c r="P7" s="7688"/>
      <c r="Q7" s="7688">
        <v>1</v>
      </c>
      <c r="R7" s="278"/>
      <c r="S7" s="1232" t="e">
        <f>$J7</f>
        <v>#N/A</v>
      </c>
      <c r="T7" s="201" t="s">
        <v>583</v>
      </c>
      <c r="U7" s="214"/>
      <c r="V7" s="7678"/>
      <c r="W7" s="7679"/>
      <c r="X7" s="7679"/>
      <c r="Y7" s="7679"/>
      <c r="Z7" s="7679"/>
      <c r="AA7" s="7679"/>
      <c r="AB7" s="7679"/>
      <c r="AC7" s="7680"/>
      <c r="AD7" s="7678"/>
      <c r="AE7" s="7679"/>
      <c r="AF7" s="7679"/>
      <c r="AG7" s="7679"/>
      <c r="AH7" s="7679"/>
      <c r="AI7" s="7679"/>
      <c r="AJ7" s="7679"/>
      <c r="AK7" s="7679"/>
      <c r="AL7" s="7680"/>
      <c r="AM7" s="1182" t="s">
        <v>584</v>
      </c>
      <c r="AO7" s="424"/>
      <c r="AP7" s="424" t="str">
        <f t="shared" si="0"/>
        <v>Группа потребителей</v>
      </c>
      <c r="AQ7" s="424"/>
      <c r="AR7" s="424"/>
    </row>
    <row r="8" spans="1:44" ht="21" hidden="1" customHeight="1">
      <c r="A8" s="1284"/>
      <c r="B8" s="1284"/>
      <c r="C8" s="1284"/>
      <c r="D8" s="1284"/>
      <c r="E8" s="7690"/>
      <c r="F8" s="7690"/>
      <c r="G8" s="7690"/>
      <c r="H8" s="7690"/>
      <c r="I8" s="7710"/>
      <c r="J8" s="7710"/>
      <c r="K8" s="7687" t="e">
        <f>J7&amp;".1"</f>
        <v>#N/A</v>
      </c>
      <c r="L8" s="1285" t="s">
        <v>585</v>
      </c>
      <c r="M8" s="460"/>
      <c r="N8" s="1287"/>
      <c r="O8" s="1287"/>
      <c r="P8" s="7688"/>
      <c r="Q8" s="7688"/>
      <c r="R8" s="278">
        <v>1</v>
      </c>
      <c r="S8" s="1232" t="e">
        <f>$K8</f>
        <v>#N/A</v>
      </c>
      <c r="T8" s="1269"/>
      <c r="U8" s="214"/>
      <c r="V8" s="666"/>
      <c r="W8" s="246"/>
      <c r="X8" s="666"/>
      <c r="Y8" s="1181"/>
      <c r="Z8" s="7692"/>
      <c r="AA8" s="7540" t="s">
        <v>60</v>
      </c>
      <c r="AB8" s="7692"/>
      <c r="AC8" s="7540" t="s">
        <v>60</v>
      </c>
      <c r="AD8" s="666"/>
      <c r="AE8" s="246"/>
      <c r="AF8" s="666"/>
      <c r="AG8" s="1181"/>
      <c r="AH8" s="7692"/>
      <c r="AI8" s="7540" t="s">
        <v>60</v>
      </c>
      <c r="AJ8" s="7692"/>
      <c r="AK8" s="7540" t="s">
        <v>60</v>
      </c>
      <c r="AL8" s="246"/>
      <c r="AM8" s="7684" t="s">
        <v>586</v>
      </c>
      <c r="AN8" s="435" t="e">
        <f ca="1">STRCHECKDATE(V9:AL9)</f>
        <v>#NAME?</v>
      </c>
      <c r="AO8" s="424"/>
      <c r="AP8" s="424" t="str">
        <f t="shared" si="0"/>
        <v/>
      </c>
      <c r="AQ8" s="424"/>
      <c r="AR8" s="424"/>
    </row>
    <row r="9" spans="1:44" ht="0.75" hidden="1" customHeight="1">
      <c r="A9" s="1284"/>
      <c r="B9" s="1284"/>
      <c r="C9" s="1284"/>
      <c r="D9" s="1284"/>
      <c r="E9" s="7690"/>
      <c r="F9" s="7690"/>
      <c r="G9" s="7690"/>
      <c r="H9" s="7690"/>
      <c r="I9" s="7710"/>
      <c r="J9" s="7710"/>
      <c r="K9" s="7687"/>
      <c r="L9" s="1285"/>
      <c r="M9" s="460"/>
      <c r="N9" s="1287"/>
      <c r="O9" s="1287"/>
      <c r="P9" s="7688"/>
      <c r="Q9" s="7688"/>
      <c r="R9" s="278"/>
      <c r="S9" s="1230"/>
      <c r="T9" s="214"/>
      <c r="U9" s="214"/>
      <c r="V9" s="246"/>
      <c r="W9" s="246"/>
      <c r="X9" s="246"/>
      <c r="Y9" s="250" t="str">
        <f>Z8&amp;"-"&amp;AB8</f>
        <v>-</v>
      </c>
      <c r="Z9" s="7693"/>
      <c r="AA9" s="7540"/>
      <c r="AB9" s="7693"/>
      <c r="AC9" s="7540"/>
      <c r="AD9" s="246"/>
      <c r="AE9" s="246"/>
      <c r="AF9" s="246"/>
      <c r="AG9" s="250" t="str">
        <f>AH8&amp;"-"&amp;AJ8</f>
        <v>-</v>
      </c>
      <c r="AH9" s="7693"/>
      <c r="AI9" s="7540"/>
      <c r="AJ9" s="7693"/>
      <c r="AK9" s="7540"/>
      <c r="AL9" s="246"/>
      <c r="AM9" s="7685"/>
      <c r="AO9" s="424"/>
      <c r="AP9" s="424" t="str">
        <f t="shared" si="0"/>
        <v/>
      </c>
      <c r="AQ9" s="424"/>
      <c r="AR9" s="424"/>
    </row>
    <row r="10" spans="1:44" ht="15" hidden="1" customHeight="1">
      <c r="A10" s="1284"/>
      <c r="B10" s="1284"/>
      <c r="C10" s="1284"/>
      <c r="D10" s="1284"/>
      <c r="E10" s="7690"/>
      <c r="F10" s="7690"/>
      <c r="G10" s="7690"/>
      <c r="H10" s="7690"/>
      <c r="I10" s="7710"/>
      <c r="J10" s="7687"/>
      <c r="K10" s="1284"/>
      <c r="L10" s="1285"/>
      <c r="M10" s="460"/>
      <c r="N10" s="1287"/>
      <c r="P10" s="7688"/>
      <c r="Q10" s="7688"/>
      <c r="R10" s="277"/>
      <c r="S10" s="1203"/>
      <c r="T10" s="203" t="s">
        <v>587</v>
      </c>
      <c r="U10" s="291"/>
      <c r="V10" s="291"/>
      <c r="W10" s="291"/>
      <c r="X10" s="291"/>
      <c r="Y10" s="291"/>
      <c r="Z10" s="291"/>
      <c r="AA10" s="291"/>
      <c r="AB10" s="291"/>
      <c r="AC10" s="291"/>
      <c r="AD10" s="291"/>
      <c r="AE10" s="291"/>
      <c r="AF10" s="291"/>
      <c r="AG10" s="291"/>
      <c r="AH10" s="291"/>
      <c r="AI10" s="291"/>
      <c r="AJ10" s="291"/>
      <c r="AK10" s="291"/>
      <c r="AL10" s="245"/>
      <c r="AM10" s="7686"/>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7690"/>
      <c r="F11" s="7690"/>
      <c r="G11" s="7690"/>
      <c r="H11" s="7690"/>
      <c r="I11" s="7687"/>
      <c r="J11" s="1284"/>
      <c r="K11" s="1284"/>
      <c r="L11" s="1285"/>
      <c r="M11" s="460"/>
      <c r="P11" s="7688"/>
      <c r="Q11" s="1229"/>
      <c r="R11" s="277"/>
      <c r="S11" s="1203"/>
      <c r="T11" s="202" t="s">
        <v>588</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7690"/>
      <c r="F12" s="7690"/>
      <c r="G12" s="7690"/>
      <c r="H12" s="7689"/>
      <c r="I12" s="1284"/>
      <c r="J12" s="1284"/>
      <c r="K12" s="1284"/>
      <c r="L12" s="1285"/>
      <c r="M12" s="1286"/>
      <c r="N12" s="1286"/>
      <c r="O12" s="460"/>
      <c r="P12" s="281"/>
      <c r="Q12" s="299"/>
      <c r="R12" s="276"/>
      <c r="S12" s="1203"/>
      <c r="T12" s="288" t="s">
        <v>589</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7690"/>
      <c r="F13" s="7690"/>
      <c r="G13" s="7689"/>
      <c r="H13" s="1237"/>
      <c r="I13" s="1237"/>
      <c r="J13" s="1237"/>
      <c r="K13" s="1237"/>
      <c r="L13" s="1261"/>
      <c r="M13" s="1238"/>
      <c r="N13" s="1238"/>
      <c r="P13" s="1239"/>
      <c r="Q13" s="1240"/>
      <c r="R13" s="1239"/>
      <c r="S13" s="1241"/>
      <c r="T13" s="1242" t="s">
        <v>590</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7690"/>
      <c r="F14" s="7689"/>
      <c r="G14" s="1237"/>
      <c r="H14" s="1237"/>
      <c r="I14" s="1237"/>
      <c r="J14" s="1237"/>
      <c r="K14" s="1237"/>
      <c r="L14" s="1261"/>
      <c r="M14" s="1244"/>
      <c r="N14" s="1244"/>
      <c r="P14" s="1239"/>
      <c r="Q14" s="1240"/>
      <c r="R14" s="1239"/>
      <c r="S14" s="1245"/>
      <c r="T14" s="1246" t="s">
        <v>325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7689"/>
      <c r="F15" s="1237"/>
      <c r="G15" s="1237"/>
      <c r="H15" s="1237"/>
      <c r="I15" s="1237"/>
      <c r="J15" s="1237"/>
      <c r="K15" s="1237"/>
      <c r="L15" s="1261"/>
      <c r="M15" s="1244"/>
      <c r="N15" s="1244"/>
      <c r="P15" s="1239"/>
      <c r="Q15" s="1240"/>
      <c r="R15" s="1239"/>
      <c r="S15" s="1245"/>
      <c r="T15" s="1248" t="s">
        <v>326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P17" s="1234"/>
      <c r="AD17" s="1281"/>
      <c r="AE17" s="1281"/>
      <c r="AF17" s="1281"/>
      <c r="AG17" s="1282"/>
      <c r="AH17" s="7694"/>
      <c r="AI17" s="7695" t="s">
        <v>60</v>
      </c>
      <c r="AJ17" s="7694"/>
      <c r="AK17" s="7695" t="s">
        <v>60</v>
      </c>
    </row>
    <row r="18" spans="1:44" ht="14.25" hidden="1" customHeight="1">
      <c r="P18" s="1234"/>
      <c r="AD18" s="1281"/>
      <c r="AE18" s="1281"/>
      <c r="AF18" s="1281"/>
      <c r="AG18" s="250" t="str">
        <f>AH17&amp;"-"&amp;AJ17</f>
        <v>-</v>
      </c>
      <c r="AH18" s="7695"/>
      <c r="AI18" s="7695"/>
      <c r="AJ18" s="7695"/>
      <c r="AK18" s="7695"/>
    </row>
    <row r="19" spans="1:44" ht="14.25" hidden="1" customHeight="1">
      <c r="P19" s="1234"/>
      <c r="AK19" s="249"/>
    </row>
    <row r="20" spans="1:44" s="1287" customFormat="1" ht="22.5" hidden="1" customHeight="1">
      <c r="L20" s="1251"/>
      <c r="M20" s="1283"/>
      <c r="N20" s="1283"/>
      <c r="O20" s="1288" t="s">
        <v>591</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592</v>
      </c>
      <c r="P22" s="1283"/>
      <c r="Q22" s="1292"/>
      <c r="R22" s="1292"/>
      <c r="S22" s="646"/>
      <c r="T22" s="1065" t="s">
        <v>593</v>
      </c>
      <c r="AA22" s="104" t="s">
        <v>594</v>
      </c>
      <c r="AC22" s="104" t="s">
        <v>595</v>
      </c>
      <c r="AD22" s="1065" t="s">
        <v>593</v>
      </c>
      <c r="AI22" s="104" t="s">
        <v>596</v>
      </c>
      <c r="AK22" s="104" t="s">
        <v>595</v>
      </c>
      <c r="AN22" s="435"/>
      <c r="AO22" s="435"/>
      <c r="AP22" s="435"/>
      <c r="AQ22" s="435"/>
      <c r="AR22" s="435"/>
    </row>
    <row r="23" spans="1:44" ht="14.25" hidden="1" customHeight="1">
      <c r="O23" s="1285"/>
      <c r="P23" s="1234"/>
    </row>
    <row r="24" spans="1:44" ht="14.25" hidden="1" customHeight="1">
      <c r="O24" s="1285"/>
      <c r="P24" s="1234"/>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14.25" customHeight="1">
      <c r="Q26" s="300"/>
      <c r="R26" s="300"/>
      <c r="S26" s="767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673"/>
      <c r="U26" s="7673"/>
      <c r="V26" s="7673"/>
      <c r="W26" s="7673"/>
      <c r="X26" s="7673"/>
      <c r="Y26" s="7673"/>
      <c r="Z26" s="7673"/>
      <c r="AA26" s="7673"/>
      <c r="AB26" s="7673"/>
      <c r="AC26" s="7673"/>
      <c r="AD26" s="7673"/>
      <c r="AE26" s="7673"/>
      <c r="AF26" s="7673"/>
      <c r="AG26" s="7673"/>
      <c r="AH26" s="7673"/>
      <c r="AI26" s="7673"/>
      <c r="AJ26" s="7673"/>
      <c r="AK26" s="1157"/>
    </row>
    <row r="27" spans="1:44" ht="14.25" customHeight="1">
      <c r="Q27" s="300"/>
      <c r="R27" s="300"/>
      <c r="S27" s="7620" t="str">
        <f>IF(org=0,"Не определено",org)</f>
        <v>ГУП СК "Ставрополькрайводоканал"</v>
      </c>
      <c r="T27" s="7620"/>
      <c r="U27" s="7620"/>
      <c r="V27" s="7620"/>
      <c r="W27" s="7620"/>
      <c r="X27" s="7620"/>
      <c r="Y27" s="7620"/>
      <c r="Z27" s="7620"/>
      <c r="AA27" s="7620"/>
      <c r="AB27" s="7620"/>
      <c r="AC27" s="7620"/>
      <c r="AD27" s="7620"/>
      <c r="AE27" s="7620"/>
      <c r="AF27" s="7620"/>
      <c r="AG27" s="7620"/>
      <c r="AH27" s="7620"/>
      <c r="AI27" s="7620"/>
      <c r="AJ27" s="7620"/>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7681" t="s">
        <v>38</v>
      </c>
      <c r="T29" s="7681"/>
      <c r="U29" s="1293"/>
      <c r="V29" s="7682" t="str">
        <f>IF(TITLE_NAME_OR_PR_CHANGE="",IF(TITLE_NAME_OR_PR="","",TITLE_NAME_OR_PR),TITLE_NAME_OR_PR_CHANGE)</f>
        <v>Региональная тарифная комиссия Ставропольского края</v>
      </c>
      <c r="W29" s="7682"/>
      <c r="X29" s="7682"/>
      <c r="Y29" s="7682"/>
      <c r="Z29" s="7682"/>
      <c r="AA29" s="7682"/>
      <c r="AB29" s="7682"/>
      <c r="AC29" s="248"/>
      <c r="AD29" s="7682" t="str">
        <f>IF(TITLE_NAME_OR_PR_CHANGE="",IF(TITLE_NAME_OR_PR="","",TITLE_NAME_OR_PR),TITLE_NAME_OR_PR_CHANGE)</f>
        <v>Региональная тарифная комиссия Ставропольского края</v>
      </c>
      <c r="AE29" s="7682"/>
      <c r="AF29" s="7682"/>
      <c r="AG29" s="7682"/>
      <c r="AH29" s="7682"/>
      <c r="AI29" s="7682"/>
      <c r="AJ29" s="7682"/>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7681" t="s">
        <v>597</v>
      </c>
      <c r="T30" s="7681"/>
      <c r="U30" s="1293"/>
      <c r="V30" s="7691">
        <f>IF(TITLE_DATE_PR_CHANGE="",IF(TITLE_DATE_PR="","",TITLE_DATE_PR),TITLE_DATE_PR_CHANGE)</f>
        <v>45278</v>
      </c>
      <c r="W30" s="7691"/>
      <c r="X30" s="7691"/>
      <c r="Y30" s="7691"/>
      <c r="Z30" s="7691"/>
      <c r="AA30" s="7691"/>
      <c r="AB30" s="7691"/>
      <c r="AC30" s="248"/>
      <c r="AD30" s="7691">
        <f>IF(TITLE_DATE_PR_CHANGE="",IF(TITLE_DATE_PR="","",TITLE_DATE_PR),TITLE_DATE_PR_CHANGE)</f>
        <v>45278</v>
      </c>
      <c r="AE30" s="7691"/>
      <c r="AF30" s="7691"/>
      <c r="AG30" s="7691"/>
      <c r="AH30" s="7691"/>
      <c r="AI30" s="7691"/>
      <c r="AJ30" s="7691"/>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7681" t="s">
        <v>598</v>
      </c>
      <c r="T31" s="7681"/>
      <c r="U31" s="1293"/>
      <c r="V31" s="7682" t="str">
        <f>IF(TITLE_NUMBER_PR_CHANGE="",IF(TITLE_NUMBER_PR="","",TITLE_NUMBER_PR),TITLE_NUMBER_PR_CHANGE)</f>
        <v>79/2</v>
      </c>
      <c r="W31" s="7682"/>
      <c r="X31" s="7682"/>
      <c r="Y31" s="7682"/>
      <c r="Z31" s="7682"/>
      <c r="AA31" s="7682"/>
      <c r="AB31" s="7682"/>
      <c r="AC31" s="248"/>
      <c r="AD31" s="7682" t="str">
        <f>IF(TITLE_NUMBER_PR_CHANGE="",IF(TITLE_NUMBER_PR="","",TITLE_NUMBER_PR),TITLE_NUMBER_PR_CHANGE)</f>
        <v>79/2</v>
      </c>
      <c r="AE31" s="7682"/>
      <c r="AF31" s="7682"/>
      <c r="AG31" s="7682"/>
      <c r="AH31" s="7682"/>
      <c r="AI31" s="7682"/>
      <c r="AJ31" s="7682"/>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7681" t="s">
        <v>40</v>
      </c>
      <c r="T32" s="7681"/>
      <c r="U32" s="1293"/>
      <c r="V32" s="7682" t="str">
        <f>IF(TITLE_IST_PUB_CHANGE="",IF(TITLE_IST_PUB="","",TITLE_IST_PUB),TITLE_IST_PUB_CHANGE)</f>
        <v>http://pravo.stavregion.ru/</v>
      </c>
      <c r="W32" s="7682"/>
      <c r="X32" s="7682"/>
      <c r="Y32" s="7682"/>
      <c r="Z32" s="7682"/>
      <c r="AA32" s="7682"/>
      <c r="AB32" s="7682"/>
      <c r="AC32" s="248"/>
      <c r="AD32" s="7682" t="str">
        <f>IF(TITLE_IST_PUB_CHANGE="",IF(TITLE_IST_PUB="","",TITLE_IST_PUB),TITLE_IST_PUB_CHANGE)</f>
        <v>http://pravo.stavregion.ru/</v>
      </c>
      <c r="AE32" s="7682"/>
      <c r="AF32" s="7682"/>
      <c r="AG32" s="7682"/>
      <c r="AH32" s="7682"/>
      <c r="AI32" s="7682"/>
      <c r="AJ32" s="7682"/>
      <c r="AK32" s="248"/>
      <c r="AL32" s="248"/>
      <c r="AM32" s="196"/>
      <c r="AN32" s="292"/>
      <c r="AO32" s="292"/>
      <c r="AP32" s="292"/>
      <c r="AQ32" s="292"/>
      <c r="AR32" s="292"/>
    </row>
    <row r="33" spans="1:44" ht="14.25" hidden="1" customHeight="1">
      <c r="P33" s="1250"/>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7681" t="s">
        <v>599</v>
      </c>
      <c r="T34" s="7681"/>
      <c r="U34" s="1293"/>
      <c r="V34" s="7691">
        <f>IF(TITLE_DATE_PR_CHANGE="",IF(TITLE_DATE_PR="","",TITLE_DATE_PR),TITLE_DATE_PR_CHANGE)</f>
        <v>45278</v>
      </c>
      <c r="W34" s="7691"/>
      <c r="X34" s="7691"/>
      <c r="Y34" s="7691"/>
      <c r="Z34" s="7691"/>
      <c r="AA34" s="7691"/>
      <c r="AB34" s="7691"/>
      <c r="AC34" s="248"/>
      <c r="AD34" s="7691">
        <f>IF(TITLE_DATE_PR_CHANGE="",IF(TITLE_DATE_PR="","",TITLE_DATE_PR),TITLE_DATE_PR_CHANGE)</f>
        <v>45278</v>
      </c>
      <c r="AE34" s="7691"/>
      <c r="AF34" s="7691"/>
      <c r="AG34" s="7691"/>
      <c r="AH34" s="7691"/>
      <c r="AI34" s="7691"/>
      <c r="AJ34" s="7691"/>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7681" t="s">
        <v>600</v>
      </c>
      <c r="T35" s="7681"/>
      <c r="U35" s="1293"/>
      <c r="V35" s="7682" t="str">
        <f>IF(TITLE_NUMBER_PR_CHANGE="",IF(TITLE_NUMBER_PR="","",TITLE_NUMBER_PR),TITLE_NUMBER_PR_CHANGE)</f>
        <v>79/2</v>
      </c>
      <c r="W35" s="7682"/>
      <c r="X35" s="7682"/>
      <c r="Y35" s="7682"/>
      <c r="Z35" s="7682"/>
      <c r="AA35" s="7682"/>
      <c r="AB35" s="7682"/>
      <c r="AC35" s="248"/>
      <c r="AD35" s="7682" t="str">
        <f>IF(TITLE_NUMBER_PR_CHANGE="",IF(TITLE_NUMBER_PR="","",TITLE_NUMBER_PR),TITLE_NUMBER_PR_CHANGE)</f>
        <v>79/2</v>
      </c>
      <c r="AE35" s="7682"/>
      <c r="AF35" s="7682"/>
      <c r="AG35" s="7682"/>
      <c r="AH35" s="7682"/>
      <c r="AI35" s="7682"/>
      <c r="AJ35" s="7682"/>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129"/>
      <c r="V36" s="248"/>
      <c r="W36" s="248"/>
      <c r="X36" s="248"/>
      <c r="Y36" s="248"/>
      <c r="Z36" s="248"/>
      <c r="AA36" s="248"/>
      <c r="AB36" s="248"/>
      <c r="AC36" s="194" t="s">
        <v>601</v>
      </c>
      <c r="AD36" s="248"/>
      <c r="AE36" s="248"/>
      <c r="AF36" s="248"/>
      <c r="AG36" s="248"/>
      <c r="AH36" s="248"/>
      <c r="AI36" s="248"/>
      <c r="AJ36" s="248"/>
      <c r="AK36" s="194" t="s">
        <v>601</v>
      </c>
      <c r="AN36" s="292"/>
      <c r="AO36" s="292"/>
      <c r="AP36" s="292"/>
      <c r="AQ36" s="292"/>
      <c r="AR36" s="292"/>
    </row>
    <row r="37" spans="1:44" ht="14.25" customHeight="1">
      <c r="Q37" s="300"/>
      <c r="R37" s="300"/>
      <c r="S37" s="1200"/>
      <c r="T37" s="286"/>
      <c r="U37" s="1158"/>
      <c r="V37" s="7683"/>
      <c r="W37" s="7683"/>
      <c r="X37" s="7683"/>
      <c r="Y37" s="7683"/>
      <c r="Z37" s="7683"/>
      <c r="AA37" s="7683"/>
      <c r="AB37" s="7683"/>
      <c r="AC37" s="7683"/>
      <c r="AD37" s="7683"/>
      <c r="AE37" s="7683"/>
      <c r="AF37" s="7683"/>
      <c r="AG37" s="7683"/>
      <c r="AH37" s="7683"/>
      <c r="AI37" s="7683"/>
      <c r="AJ37" s="7683"/>
      <c r="AK37" s="7683"/>
    </row>
    <row r="38" spans="1:44" ht="14.25" customHeight="1">
      <c r="Q38" s="300"/>
      <c r="R38" s="300"/>
      <c r="S38" s="7559" t="s">
        <v>474</v>
      </c>
      <c r="T38" s="7559"/>
      <c r="U38" s="7559"/>
      <c r="V38" s="7559"/>
      <c r="W38" s="7559"/>
      <c r="X38" s="7559"/>
      <c r="Y38" s="7559"/>
      <c r="Z38" s="7559"/>
      <c r="AA38" s="7559"/>
      <c r="AB38" s="7559"/>
      <c r="AC38" s="7559"/>
      <c r="AD38" s="7559"/>
      <c r="AE38" s="7559"/>
      <c r="AF38" s="7559"/>
      <c r="AG38" s="7559"/>
      <c r="AH38" s="7559"/>
      <c r="AI38" s="7559"/>
      <c r="AJ38" s="7559"/>
      <c r="AK38" s="7559"/>
      <c r="AL38" s="7559"/>
      <c r="AM38" s="7559" t="s">
        <v>475</v>
      </c>
    </row>
    <row r="39" spans="1:44" ht="14.25" customHeight="1">
      <c r="Q39" s="300"/>
      <c r="R39" s="300"/>
      <c r="S39" s="7697" t="s">
        <v>86</v>
      </c>
      <c r="T39" s="7649" t="s">
        <v>602</v>
      </c>
      <c r="U39" s="215"/>
      <c r="V39" s="7698" t="s">
        <v>603</v>
      </c>
      <c r="W39" s="7699"/>
      <c r="X39" s="7699"/>
      <c r="Y39" s="7699"/>
      <c r="Z39" s="7699"/>
      <c r="AA39" s="7699"/>
      <c r="AB39" s="7700"/>
      <c r="AC39" s="7701" t="s">
        <v>604</v>
      </c>
      <c r="AD39" s="7698" t="s">
        <v>603</v>
      </c>
      <c r="AE39" s="7699"/>
      <c r="AF39" s="7699"/>
      <c r="AG39" s="7699"/>
      <c r="AH39" s="7699"/>
      <c r="AI39" s="7699"/>
      <c r="AJ39" s="7700"/>
      <c r="AK39" s="7701" t="s">
        <v>605</v>
      </c>
      <c r="AL39" s="7704" t="s">
        <v>606</v>
      </c>
      <c r="AM39" s="7559"/>
    </row>
    <row r="40" spans="1:44" ht="33.75" customHeight="1">
      <c r="Q40" s="300"/>
      <c r="R40" s="300"/>
      <c r="S40" s="7697"/>
      <c r="T40" s="7649"/>
      <c r="U40" s="942"/>
      <c r="V40" s="7619" t="s">
        <v>607</v>
      </c>
      <c r="W40" s="7707" t="s">
        <v>608</v>
      </c>
      <c r="X40" s="7530" t="s">
        <v>609</v>
      </c>
      <c r="Y40" s="7529"/>
      <c r="Z40" s="7530" t="s">
        <v>610</v>
      </c>
      <c r="AA40" s="7536"/>
      <c r="AB40" s="7529"/>
      <c r="AC40" s="7702"/>
      <c r="AD40" s="7619" t="s">
        <v>607</v>
      </c>
      <c r="AE40" s="7707" t="s">
        <v>608</v>
      </c>
      <c r="AF40" s="7530" t="s">
        <v>609</v>
      </c>
      <c r="AG40" s="7529"/>
      <c r="AH40" s="7530" t="s">
        <v>610</v>
      </c>
      <c r="AI40" s="7536"/>
      <c r="AJ40" s="7529"/>
      <c r="AK40" s="7702"/>
      <c r="AL40" s="7705"/>
      <c r="AM40" s="7559"/>
    </row>
    <row r="41" spans="1:44" ht="33.75" customHeight="1">
      <c r="A41" s="1291"/>
      <c r="B41" s="1291" t="s">
        <v>249</v>
      </c>
      <c r="C41" s="1291" t="s">
        <v>250</v>
      </c>
      <c r="D41" s="1291" t="s">
        <v>251</v>
      </c>
      <c r="E41" s="1285" t="s">
        <v>611</v>
      </c>
      <c r="F41" s="1285" t="s">
        <v>612</v>
      </c>
      <c r="G41" s="1285" t="s">
        <v>613</v>
      </c>
      <c r="H41" s="1285" t="s">
        <v>614</v>
      </c>
      <c r="I41" s="1285" t="s">
        <v>615</v>
      </c>
      <c r="J41" s="1285" t="s">
        <v>616</v>
      </c>
      <c r="K41" s="1285" t="s">
        <v>617</v>
      </c>
      <c r="L41" s="1285" t="s">
        <v>592</v>
      </c>
      <c r="Q41" s="300"/>
      <c r="R41" s="300"/>
      <c r="S41" s="7697"/>
      <c r="T41" s="7649"/>
      <c r="U41" s="216"/>
      <c r="V41" s="7668"/>
      <c r="W41" s="7708"/>
      <c r="X41" s="1133" t="s">
        <v>618</v>
      </c>
      <c r="Y41" s="1133" t="s">
        <v>619</v>
      </c>
      <c r="Z41" s="1132" t="s">
        <v>620</v>
      </c>
      <c r="AA41" s="7657" t="s">
        <v>621</v>
      </c>
      <c r="AB41" s="7659"/>
      <c r="AC41" s="7703"/>
      <c r="AD41" s="7668"/>
      <c r="AE41" s="7708"/>
      <c r="AF41" s="1133" t="s">
        <v>618</v>
      </c>
      <c r="AG41" s="1133" t="s">
        <v>619</v>
      </c>
      <c r="AH41" s="1236" t="s">
        <v>620</v>
      </c>
      <c r="AI41" s="7657" t="s">
        <v>621</v>
      </c>
      <c r="AJ41" s="7659"/>
      <c r="AK41" s="7703"/>
      <c r="AL41" s="7706"/>
      <c r="AM41" s="7559"/>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100</v>
      </c>
      <c r="U42" s="1159" t="str">
        <f ca="1">OFFSET(U42,0,-1)</f>
        <v>2</v>
      </c>
      <c r="V42" s="1178">
        <f ca="1">OFFSET(V42,0,-1)+1</f>
        <v>3</v>
      </c>
      <c r="W42" s="1178"/>
      <c r="X42" s="1178">
        <f ca="1">OFFSET(X42,0,-1)+1</f>
        <v>1</v>
      </c>
      <c r="Y42" s="1178">
        <f ca="1">OFFSET(Y42,0,-1)+1</f>
        <v>2</v>
      </c>
      <c r="Z42" s="1178">
        <f ca="1">OFFSET(Z42,0,-1)+1</f>
        <v>3</v>
      </c>
      <c r="AA42" s="7696">
        <f ca="1">OFFSET(AA42,0,-1)+1</f>
        <v>4</v>
      </c>
      <c r="AB42" s="7696"/>
      <c r="AC42" s="1178">
        <f ca="1">OFFSET(AC42,0,-2)+1</f>
        <v>5</v>
      </c>
      <c r="AD42" s="1235">
        <f ca="1">OFFSET(AD42,0,-1)+1</f>
        <v>6</v>
      </c>
      <c r="AE42" s="1235"/>
      <c r="AF42" s="1235">
        <f ca="1">OFFSET(AF42,0,-1)+1</f>
        <v>1</v>
      </c>
      <c r="AG42" s="1235">
        <f ca="1">OFFSET(AG42,0,-1)+1</f>
        <v>2</v>
      </c>
      <c r="AH42" s="1235">
        <f ca="1">OFFSET(AH42,0,-1)+1</f>
        <v>3</v>
      </c>
      <c r="AI42" s="7696">
        <f ca="1">OFFSET(AI42,0,-1)+1</f>
        <v>4</v>
      </c>
      <c r="AJ42" s="7696"/>
      <c r="AK42" s="1235">
        <f ca="1">OFFSET(AK42,0,-2)+1</f>
        <v>5</v>
      </c>
      <c r="AL42" s="1159">
        <f ca="1">OFFSET(AL42,0,-1)</f>
        <v>5</v>
      </c>
      <c r="AM42" s="1178">
        <f ca="1">OFFSET(AM42,0,-1)+1</f>
        <v>6</v>
      </c>
      <c r="AN42" s="435"/>
      <c r="AO42" s="435"/>
      <c r="AP42" s="435"/>
      <c r="AQ42" s="435"/>
      <c r="AR42" s="435"/>
    </row>
    <row r="43" spans="1:44" ht="23.25" customHeight="1">
      <c r="A43" s="1284" t="s">
        <v>264</v>
      </c>
      <c r="B43" s="1284"/>
      <c r="C43" s="1284"/>
      <c r="D43" s="1284"/>
      <c r="E43" s="7689">
        <v>1</v>
      </c>
      <c r="F43" s="1284"/>
      <c r="G43" s="1284"/>
      <c r="H43" s="1284"/>
      <c r="I43" s="1284"/>
      <c r="J43" s="1284"/>
      <c r="K43" s="1284"/>
      <c r="L43" s="1285"/>
      <c r="M43" s="1286"/>
      <c r="N43" s="1286"/>
      <c r="O43" s="1286"/>
      <c r="P43" s="282"/>
      <c r="Q43" s="281"/>
      <c r="R43" s="276"/>
      <c r="S43" s="1137">
        <f>INDEX(PT_DIFFERENTIATION_NUM_NTAR,MATCH(A43,PT_DIFFERENTIATION_NTAR_ID,0))</f>
        <v>0</v>
      </c>
      <c r="T43" s="212" t="s">
        <v>237</v>
      </c>
      <c r="U43" s="214"/>
      <c r="V43" s="7675"/>
      <c r="W43" s="7676"/>
      <c r="X43" s="7676"/>
      <c r="Y43" s="7676"/>
      <c r="Z43" s="7676"/>
      <c r="AA43" s="7676"/>
      <c r="AB43" s="7676"/>
      <c r="AC43" s="7677"/>
      <c r="AD43" s="7675" t="str">
        <f>INDEX(PT_DIFFERENTIATION_NTAR,MATCH(A43,PT_DIFFERENTIATION_NTAR_ID,0))</f>
        <v/>
      </c>
      <c r="AE43" s="7676"/>
      <c r="AF43" s="7676"/>
      <c r="AG43" s="7676"/>
      <c r="AH43" s="7676"/>
      <c r="AI43" s="7676"/>
      <c r="AJ43" s="7676"/>
      <c r="AK43" s="7676"/>
      <c r="AL43" s="7677"/>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3.25" customHeight="1">
      <c r="A44" s="1284" t="s">
        <v>264</v>
      </c>
      <c r="B44" s="1284" t="s">
        <v>265</v>
      </c>
      <c r="C44" s="1284"/>
      <c r="D44" s="1284"/>
      <c r="E44" s="7690"/>
      <c r="F44" s="7689">
        <v>1</v>
      </c>
      <c r="G44" s="1284"/>
      <c r="H44" s="1284"/>
      <c r="I44" s="1284"/>
      <c r="J44" s="1284"/>
      <c r="K44" s="1284"/>
      <c r="L44" s="1285"/>
      <c r="M44" s="1286"/>
      <c r="N44" s="1286"/>
      <c r="O44" s="1286"/>
      <c r="P44" s="446"/>
      <c r="Q44" s="273"/>
      <c r="R44" s="274"/>
      <c r="S44" s="1137" t="str">
        <f>INDEX(PT_DIFFERENTIATION_NUM_TER,MATCH(B44,PT_DIFFERENTIATION_TER_ID,0))</f>
        <v>.</v>
      </c>
      <c r="T44" s="224" t="s">
        <v>573</v>
      </c>
      <c r="U44" s="214"/>
      <c r="V44" s="7675"/>
      <c r="W44" s="7676"/>
      <c r="X44" s="7676"/>
      <c r="Y44" s="7676"/>
      <c r="Z44" s="7676"/>
      <c r="AA44" s="7676"/>
      <c r="AB44" s="7676"/>
      <c r="AC44" s="7677"/>
      <c r="AD44" s="7675" t="str">
        <f>INDEX(PT_DIFFERENTIATION_TER,MATCH(B44,PT_DIFFERENTIATION_TER_ID,0))</f>
        <v/>
      </c>
      <c r="AE44" s="7676"/>
      <c r="AF44" s="7676"/>
      <c r="AG44" s="7676"/>
      <c r="AH44" s="7676"/>
      <c r="AI44" s="7676"/>
      <c r="AJ44" s="7676"/>
      <c r="AK44" s="7676"/>
      <c r="AL44" s="7677"/>
      <c r="AM44" s="1182" t="s">
        <v>574</v>
      </c>
      <c r="AO44" s="424"/>
      <c r="AP44" s="424" t="str">
        <f t="shared" si="1"/>
        <v>Территория действия тарифа</v>
      </c>
      <c r="AQ44" s="424"/>
      <c r="AR44" s="424"/>
    </row>
    <row r="45" spans="1:44" ht="23.25" customHeight="1">
      <c r="A45" s="1284" t="s">
        <v>264</v>
      </c>
      <c r="B45" s="1284" t="s">
        <v>265</v>
      </c>
      <c r="C45" s="1284" t="s">
        <v>266</v>
      </c>
      <c r="D45" s="1284"/>
      <c r="E45" s="7690"/>
      <c r="F45" s="7690"/>
      <c r="G45" s="7689">
        <v>1</v>
      </c>
      <c r="H45" s="1284"/>
      <c r="I45" s="1284"/>
      <c r="J45" s="1284"/>
      <c r="K45" s="1284"/>
      <c r="L45" s="1285"/>
      <c r="M45" s="1286"/>
      <c r="N45" s="1286"/>
      <c r="O45" s="1286"/>
      <c r="P45" s="275"/>
      <c r="Q45" s="273"/>
      <c r="R45" s="274"/>
      <c r="S45" s="1137" t="str">
        <f>INDEX(PT_DIFFERENTIATION_NUM_CS,MATCH(C45,PT_DIFFERENTIATION_CS_ID,0))</f>
        <v>..</v>
      </c>
      <c r="T45" s="225" t="s">
        <v>575</v>
      </c>
      <c r="U45" s="214"/>
      <c r="V45" s="7675"/>
      <c r="W45" s="7676"/>
      <c r="X45" s="7676"/>
      <c r="Y45" s="7676"/>
      <c r="Z45" s="7676"/>
      <c r="AA45" s="7676"/>
      <c r="AB45" s="7676"/>
      <c r="AC45" s="7677"/>
      <c r="AD45" s="7675" t="str">
        <f>INDEX(PT_DIFFERENTIATION_CS,MATCH(C45,PT_DIFFERENTIATION_CS_ID,0))</f>
        <v/>
      </c>
      <c r="AE45" s="7676"/>
      <c r="AF45" s="7676"/>
      <c r="AG45" s="7676"/>
      <c r="AH45" s="7676"/>
      <c r="AI45" s="7676"/>
      <c r="AJ45" s="7676"/>
      <c r="AK45" s="7676"/>
      <c r="AL45" s="7677"/>
      <c r="AM45" s="1182" t="s">
        <v>576</v>
      </c>
      <c r="AO45" s="424"/>
      <c r="AP45" s="424" t="str">
        <f t="shared" si="1"/>
        <v xml:space="preserve">Наименование системы теплоснабжения </v>
      </c>
      <c r="AQ45" s="424"/>
      <c r="AR45" s="424"/>
    </row>
    <row r="46" spans="1:44" ht="23.25" customHeight="1">
      <c r="A46" s="1284" t="s">
        <v>264</v>
      </c>
      <c r="B46" s="1284" t="s">
        <v>265</v>
      </c>
      <c r="C46" s="1284" t="s">
        <v>266</v>
      </c>
      <c r="D46" s="1284" t="s">
        <v>267</v>
      </c>
      <c r="E46" s="7690"/>
      <c r="F46" s="7690"/>
      <c r="G46" s="7690"/>
      <c r="H46" s="7689">
        <v>1</v>
      </c>
      <c r="I46" s="1284"/>
      <c r="J46" s="1284"/>
      <c r="K46" s="1284"/>
      <c r="L46" s="1285"/>
      <c r="M46" s="1286"/>
      <c r="N46" s="1286"/>
      <c r="O46" s="1286"/>
      <c r="P46" s="275"/>
      <c r="Q46" s="273"/>
      <c r="R46" s="274"/>
      <c r="S46" s="1137" t="str">
        <f>INDEX(PT_DIFFERENTIATION_NUM_IST_TE,MATCH(D46,PT_DIFFERENTIATION_IST_TE_ID,0))</f>
        <v>...</v>
      </c>
      <c r="T46" s="226" t="s">
        <v>577</v>
      </c>
      <c r="U46" s="214"/>
      <c r="V46" s="7675"/>
      <c r="W46" s="7676"/>
      <c r="X46" s="7676"/>
      <c r="Y46" s="7676"/>
      <c r="Z46" s="7676"/>
      <c r="AA46" s="7676"/>
      <c r="AB46" s="7676"/>
      <c r="AC46" s="7677"/>
      <c r="AD46" s="7675" t="str">
        <f>INDEX(PT_DIFFERENTIATION_IST_TE,MATCH(D46,PT_DIFFERENTIATION_IST_TE_ID,0))</f>
        <v/>
      </c>
      <c r="AE46" s="7676"/>
      <c r="AF46" s="7676"/>
      <c r="AG46" s="7676"/>
      <c r="AH46" s="7676"/>
      <c r="AI46" s="7676"/>
      <c r="AJ46" s="7676"/>
      <c r="AK46" s="7676"/>
      <c r="AL46" s="7677"/>
      <c r="AM46" s="1182" t="s">
        <v>578</v>
      </c>
      <c r="AO46" s="424"/>
      <c r="AP46" s="424" t="str">
        <f t="shared" si="1"/>
        <v xml:space="preserve">Источник тепловой энергии  </v>
      </c>
      <c r="AQ46" s="424"/>
      <c r="AR46" s="424"/>
    </row>
    <row r="47" spans="1:44" ht="47.25" customHeight="1">
      <c r="A47" s="1284" t="s">
        <v>264</v>
      </c>
      <c r="B47" s="1284" t="s">
        <v>265</v>
      </c>
      <c r="C47" s="1284" t="s">
        <v>266</v>
      </c>
      <c r="D47" s="1284" t="s">
        <v>267</v>
      </c>
      <c r="E47" s="7690"/>
      <c r="F47" s="7690"/>
      <c r="G47" s="7690"/>
      <c r="H47" s="7690"/>
      <c r="I47" s="7687" t="str">
        <f>S46&amp;".1"</f>
        <v>....1</v>
      </c>
      <c r="J47" s="1284"/>
      <c r="K47" s="1284"/>
      <c r="L47" s="1285" t="s">
        <v>579</v>
      </c>
      <c r="P47" s="7688">
        <v>1</v>
      </c>
      <c r="Q47" s="1131"/>
      <c r="R47" s="277"/>
      <c r="S47" s="1137" t="str">
        <f>$I47</f>
        <v>....1</v>
      </c>
      <c r="T47" s="200" t="s">
        <v>580</v>
      </c>
      <c r="U47" s="214"/>
      <c r="V47" s="7678"/>
      <c r="W47" s="7679"/>
      <c r="X47" s="7679"/>
      <c r="Y47" s="7679"/>
      <c r="Z47" s="7679"/>
      <c r="AA47" s="7679"/>
      <c r="AB47" s="7679"/>
      <c r="AC47" s="7680"/>
      <c r="AD47" s="7678"/>
      <c r="AE47" s="7679"/>
      <c r="AF47" s="7679"/>
      <c r="AG47" s="7679"/>
      <c r="AH47" s="7679"/>
      <c r="AI47" s="7679"/>
      <c r="AJ47" s="7679"/>
      <c r="AK47" s="7679"/>
      <c r="AL47" s="7680"/>
      <c r="AM47" s="1182" t="s">
        <v>581</v>
      </c>
      <c r="AO47" s="424"/>
      <c r="AP47" s="424" t="str">
        <f t="shared" si="1"/>
        <v>Схема подключения теплопотребляющей установки к коллектору источника тепловой энергии</v>
      </c>
      <c r="AQ47" s="424"/>
      <c r="AR47" s="424"/>
    </row>
    <row r="48" spans="1:44" ht="23.25" customHeight="1">
      <c r="A48" s="1284" t="s">
        <v>264</v>
      </c>
      <c r="B48" s="1284" t="s">
        <v>265</v>
      </c>
      <c r="C48" s="1284" t="s">
        <v>266</v>
      </c>
      <c r="D48" s="1284" t="s">
        <v>267</v>
      </c>
      <c r="E48" s="7690"/>
      <c r="F48" s="7690"/>
      <c r="G48" s="7690"/>
      <c r="H48" s="7690"/>
      <c r="I48" s="7710"/>
      <c r="J48" s="7687" t="str">
        <f>I47&amp;".1"</f>
        <v>....1.1</v>
      </c>
      <c r="K48" s="1284"/>
      <c r="L48" s="1285" t="s">
        <v>582</v>
      </c>
      <c r="P48" s="7688"/>
      <c r="Q48" s="7688">
        <v>1</v>
      </c>
      <c r="R48" s="278"/>
      <c r="S48" s="1137" t="str">
        <f>$J48</f>
        <v>....1.1</v>
      </c>
      <c r="T48" s="201" t="s">
        <v>583</v>
      </c>
      <c r="U48" s="214"/>
      <c r="V48" s="7678"/>
      <c r="W48" s="7679"/>
      <c r="X48" s="7679"/>
      <c r="Y48" s="7679"/>
      <c r="Z48" s="7679"/>
      <c r="AA48" s="7679"/>
      <c r="AB48" s="7679"/>
      <c r="AC48" s="7680"/>
      <c r="AD48" s="7678"/>
      <c r="AE48" s="7679"/>
      <c r="AF48" s="7679"/>
      <c r="AG48" s="7679"/>
      <c r="AH48" s="7679"/>
      <c r="AI48" s="7679"/>
      <c r="AJ48" s="7679"/>
      <c r="AK48" s="7679"/>
      <c r="AL48" s="7680"/>
      <c r="AM48" s="1182" t="s">
        <v>584</v>
      </c>
      <c r="AO48" s="424"/>
      <c r="AP48" s="424" t="str">
        <f t="shared" si="1"/>
        <v>Группа потребителей</v>
      </c>
      <c r="AQ48" s="424"/>
      <c r="AR48" s="424"/>
    </row>
    <row r="49" spans="1:44" ht="23.25" customHeight="1">
      <c r="A49" s="1284" t="s">
        <v>264</v>
      </c>
      <c r="B49" s="1284" t="s">
        <v>265</v>
      </c>
      <c r="C49" s="1284" t="s">
        <v>266</v>
      </c>
      <c r="D49" s="1284" t="s">
        <v>267</v>
      </c>
      <c r="E49" s="7690"/>
      <c r="F49" s="7690"/>
      <c r="G49" s="7690"/>
      <c r="H49" s="7690"/>
      <c r="I49" s="7710"/>
      <c r="J49" s="7710"/>
      <c r="K49" s="7687" t="str">
        <f>J48&amp;".1"</f>
        <v>....1.1.1</v>
      </c>
      <c r="L49" s="1285" t="s">
        <v>585</v>
      </c>
      <c r="P49" s="7688"/>
      <c r="Q49" s="7688"/>
      <c r="R49" s="278">
        <v>1</v>
      </c>
      <c r="S49" s="1137" t="str">
        <f>$K49</f>
        <v>....1.1.1</v>
      </c>
      <c r="T49" s="1269"/>
      <c r="U49" s="214"/>
      <c r="V49" s="666"/>
      <c r="W49" s="246"/>
      <c r="X49" s="666"/>
      <c r="Y49" s="1181"/>
      <c r="Z49" s="7692"/>
      <c r="AA49" s="7540" t="s">
        <v>60</v>
      </c>
      <c r="AB49" s="7692"/>
      <c r="AC49" s="7540" t="s">
        <v>60</v>
      </c>
      <c r="AD49" s="666"/>
      <c r="AE49" s="246"/>
      <c r="AF49" s="666"/>
      <c r="AG49" s="1181"/>
      <c r="AH49" s="7692"/>
      <c r="AI49" s="7540" t="s">
        <v>60</v>
      </c>
      <c r="AJ49" s="7711"/>
      <c r="AK49" s="7540" t="s">
        <v>60</v>
      </c>
      <c r="AL49" s="1270"/>
      <c r="AM49" s="7684" t="s">
        <v>586</v>
      </c>
      <c r="AN49" s="435" t="e">
        <f ca="1">STRCHECKDATE(V50:AL50)</f>
        <v>#NAME?</v>
      </c>
      <c r="AO49" s="424"/>
      <c r="AP49" s="424" t="str">
        <f t="shared" si="1"/>
        <v/>
      </c>
      <c r="AQ49" s="424"/>
      <c r="AR49" s="424"/>
    </row>
    <row r="50" spans="1:44" ht="0.75" customHeight="1">
      <c r="A50" s="1284" t="s">
        <v>264</v>
      </c>
      <c r="B50" s="1284" t="s">
        <v>265</v>
      </c>
      <c r="C50" s="1284" t="s">
        <v>266</v>
      </c>
      <c r="D50" s="1284" t="s">
        <v>267</v>
      </c>
      <c r="E50" s="7690"/>
      <c r="F50" s="7690"/>
      <c r="G50" s="7690"/>
      <c r="H50" s="7690"/>
      <c r="I50" s="7710"/>
      <c r="J50" s="7710"/>
      <c r="K50" s="7687"/>
      <c r="L50" s="1285"/>
      <c r="P50" s="7688"/>
      <c r="Q50" s="7688"/>
      <c r="R50" s="278"/>
      <c r="S50" s="1135"/>
      <c r="T50" s="214"/>
      <c r="U50" s="214"/>
      <c r="V50" s="246"/>
      <c r="W50" s="246"/>
      <c r="X50" s="246"/>
      <c r="Y50" s="250" t="str">
        <f>Z49&amp;"-"&amp;AB49</f>
        <v>-</v>
      </c>
      <c r="Z50" s="7693"/>
      <c r="AA50" s="7540"/>
      <c r="AB50" s="7693"/>
      <c r="AC50" s="7540"/>
      <c r="AD50" s="246"/>
      <c r="AE50" s="246"/>
      <c r="AF50" s="246"/>
      <c r="AG50" s="250" t="str">
        <f>AH49&amp;"-"&amp;AJ49</f>
        <v>-</v>
      </c>
      <c r="AH50" s="7693"/>
      <c r="AI50" s="7540"/>
      <c r="AJ50" s="7712"/>
      <c r="AK50" s="7540"/>
      <c r="AL50" s="1271"/>
      <c r="AM50" s="7685"/>
      <c r="AO50" s="424"/>
      <c r="AP50" s="424" t="str">
        <f t="shared" si="1"/>
        <v/>
      </c>
      <c r="AQ50" s="424"/>
      <c r="AR50" s="424"/>
    </row>
    <row r="51" spans="1:44" ht="11.25" customHeight="1">
      <c r="A51" s="1284" t="s">
        <v>264</v>
      </c>
      <c r="B51" s="1284" t="s">
        <v>265</v>
      </c>
      <c r="C51" s="1284" t="s">
        <v>266</v>
      </c>
      <c r="D51" s="1284" t="s">
        <v>267</v>
      </c>
      <c r="E51" s="7690"/>
      <c r="F51" s="7690"/>
      <c r="G51" s="7690"/>
      <c r="H51" s="7690"/>
      <c r="I51" s="7710"/>
      <c r="J51" s="7687"/>
      <c r="K51" s="1284"/>
      <c r="L51" s="1285"/>
      <c r="P51" s="7688"/>
      <c r="Q51" s="7688"/>
      <c r="R51" s="277"/>
      <c r="S51" s="1203"/>
      <c r="T51" s="203" t="s">
        <v>587</v>
      </c>
      <c r="U51" s="291"/>
      <c r="V51" s="291"/>
      <c r="W51" s="291"/>
      <c r="X51" s="291"/>
      <c r="Y51" s="291"/>
      <c r="Z51" s="291"/>
      <c r="AA51" s="291"/>
      <c r="AB51" s="291"/>
      <c r="AC51" s="291"/>
      <c r="AD51" s="291"/>
      <c r="AE51" s="291"/>
      <c r="AF51" s="291"/>
      <c r="AG51" s="291"/>
      <c r="AH51" s="291"/>
      <c r="AI51" s="291"/>
      <c r="AJ51" s="291"/>
      <c r="AK51" s="291"/>
      <c r="AL51" s="245"/>
      <c r="AM51" s="7686"/>
      <c r="AO51" s="424"/>
      <c r="AP51" s="424" t="str">
        <f t="shared" si="1"/>
        <v>Добавить вид теплоносителя (параметры теплоносителя)</v>
      </c>
      <c r="AQ51" s="424"/>
      <c r="AR51" s="424"/>
    </row>
    <row r="52" spans="1:44" ht="11.25" customHeight="1">
      <c r="A52" s="1284" t="s">
        <v>264</v>
      </c>
      <c r="B52" s="1284" t="s">
        <v>265</v>
      </c>
      <c r="C52" s="1284" t="s">
        <v>266</v>
      </c>
      <c r="D52" s="1284" t="s">
        <v>267</v>
      </c>
      <c r="E52" s="7690"/>
      <c r="F52" s="7690"/>
      <c r="G52" s="7690"/>
      <c r="H52" s="7690"/>
      <c r="I52" s="7687"/>
      <c r="J52" s="1284"/>
      <c r="K52" s="1284"/>
      <c r="L52" s="1285"/>
      <c r="P52" s="7688"/>
      <c r="Q52" s="1131"/>
      <c r="R52" s="277"/>
      <c r="S52" s="1203"/>
      <c r="T52" s="202" t="s">
        <v>588</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264</v>
      </c>
      <c r="B53" s="1284" t="s">
        <v>265</v>
      </c>
      <c r="C53" s="1284" t="s">
        <v>266</v>
      </c>
      <c r="D53" s="1284" t="s">
        <v>267</v>
      </c>
      <c r="E53" s="7690"/>
      <c r="F53" s="7690"/>
      <c r="G53" s="7690"/>
      <c r="H53" s="7689"/>
      <c r="I53" s="1284"/>
      <c r="J53" s="1284"/>
      <c r="K53" s="1284"/>
      <c r="L53" s="1285"/>
      <c r="M53" s="1286"/>
      <c r="N53" s="1286"/>
      <c r="O53" s="460"/>
      <c r="P53" s="281"/>
      <c r="Q53" s="299"/>
      <c r="R53" s="276"/>
      <c r="S53" s="1203"/>
      <c r="T53" s="288" t="s">
        <v>589</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264</v>
      </c>
      <c r="B54" s="1265" t="s">
        <v>265</v>
      </c>
      <c r="C54" s="1265" t="s">
        <v>266</v>
      </c>
      <c r="D54" s="1237"/>
      <c r="E54" s="7690"/>
      <c r="F54" s="7690"/>
      <c r="G54" s="7689"/>
      <c r="H54" s="1237"/>
      <c r="I54" s="1237"/>
      <c r="J54" s="1237"/>
      <c r="K54" s="1237"/>
      <c r="L54" s="1261"/>
      <c r="M54" s="1238"/>
      <c r="N54" s="1238"/>
      <c r="P54" s="1239"/>
      <c r="Q54" s="1240"/>
      <c r="R54" s="1239"/>
      <c r="S54" s="1245"/>
      <c r="T54" s="1248" t="s">
        <v>590</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264</v>
      </c>
      <c r="B55" s="1265" t="s">
        <v>265</v>
      </c>
      <c r="C55" s="1237"/>
      <c r="D55" s="1237"/>
      <c r="E55" s="7690"/>
      <c r="F55" s="7689"/>
      <c r="G55" s="1237"/>
      <c r="H55" s="1237"/>
      <c r="I55" s="1237"/>
      <c r="J55" s="1237"/>
      <c r="K55" s="1237"/>
      <c r="L55" s="1261"/>
      <c r="M55" s="1244"/>
      <c r="N55" s="1244"/>
      <c r="P55" s="1239"/>
      <c r="Q55" s="1240"/>
      <c r="R55" s="1239"/>
      <c r="S55" s="1245"/>
      <c r="T55" s="1248" t="s">
        <v>325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264</v>
      </c>
      <c r="B56" s="1265"/>
      <c r="C56" s="1265"/>
      <c r="D56" s="1265"/>
      <c r="E56" s="7689"/>
      <c r="F56" s="1265"/>
      <c r="G56" s="1265"/>
      <c r="H56" s="1265"/>
      <c r="I56" s="1265"/>
      <c r="J56" s="1265"/>
      <c r="K56" s="1265"/>
      <c r="L56" s="1268"/>
      <c r="M56" s="1244"/>
      <c r="N56" s="1244"/>
      <c r="O56" s="442"/>
      <c r="P56" s="308"/>
      <c r="Q56" s="1266"/>
      <c r="R56" s="308"/>
      <c r="S56" s="1245"/>
      <c r="T56" s="1248" t="s">
        <v>326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402</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7709"/>
      <c r="U59" s="7709"/>
      <c r="V59" s="7709"/>
      <c r="W59" s="7709"/>
      <c r="X59" s="7709"/>
      <c r="Y59" s="7709"/>
      <c r="Z59" s="7709"/>
      <c r="AA59" s="7709"/>
      <c r="AB59" s="7709"/>
      <c r="AC59" s="7709"/>
      <c r="AD59" s="7709"/>
      <c r="AE59" s="7709"/>
      <c r="AF59" s="7709"/>
      <c r="AG59" s="7709"/>
      <c r="AH59" s="7709"/>
      <c r="AI59" s="7709"/>
      <c r="AJ59" s="7709"/>
      <c r="AK59" s="7709"/>
      <c r="AL59" s="7709"/>
      <c r="AM59" s="7709"/>
    </row>
    <row r="60" spans="1:44" ht="64.5" customHeight="1">
      <c r="O60" s="460"/>
      <c r="P60" s="1227"/>
      <c r="T60" s="7709"/>
      <c r="U60" s="7709"/>
      <c r="V60" s="7709"/>
      <c r="W60" s="7709"/>
      <c r="X60" s="7709"/>
      <c r="Y60" s="7709"/>
      <c r="Z60" s="7709"/>
      <c r="AA60" s="7709"/>
      <c r="AB60" s="7709"/>
      <c r="AC60" s="7709"/>
      <c r="AD60" s="7709"/>
      <c r="AE60" s="7709"/>
      <c r="AF60" s="7709"/>
      <c r="AG60" s="7709"/>
      <c r="AH60" s="7709"/>
      <c r="AI60" s="7709"/>
      <c r="AJ60" s="7709"/>
      <c r="AK60" s="7709"/>
      <c r="AL60" s="7709"/>
      <c r="AM60" s="7709"/>
    </row>
    <row r="61" spans="1:44" ht="14.25" customHeight="1">
      <c r="O61" s="460"/>
    </row>
    <row r="62" spans="1:44" ht="18" customHeight="1">
      <c r="O62" s="460"/>
      <c r="P62" s="1250"/>
      <c r="S62" s="1169"/>
      <c r="T62" s="7709"/>
      <c r="U62" s="7709"/>
      <c r="V62" s="7709"/>
      <c r="W62" s="7709"/>
      <c r="X62" s="7709"/>
      <c r="Y62" s="7709"/>
      <c r="Z62" s="7709"/>
      <c r="AA62" s="7709"/>
      <c r="AB62" s="7709"/>
      <c r="AC62" s="7709"/>
      <c r="AD62" s="7709"/>
      <c r="AE62" s="7709"/>
      <c r="AF62" s="7709"/>
      <c r="AG62" s="7709"/>
      <c r="AH62" s="7709"/>
      <c r="AI62" s="7709"/>
      <c r="AJ62" s="7709"/>
      <c r="AK62" s="7709"/>
      <c r="AL62" s="7709"/>
      <c r="AM62" s="7709"/>
    </row>
    <row r="63" spans="1:44" ht="18" customHeight="1">
      <c r="O63" s="460"/>
      <c r="P63" s="1250"/>
      <c r="T63" s="7709"/>
      <c r="U63" s="7709"/>
      <c r="V63" s="7709"/>
      <c r="W63" s="7709"/>
      <c r="X63" s="7709"/>
      <c r="Y63" s="7709"/>
      <c r="Z63" s="7709"/>
      <c r="AA63" s="7709"/>
      <c r="AB63" s="7709"/>
      <c r="AC63" s="7709"/>
      <c r="AD63" s="7709"/>
      <c r="AE63" s="7709"/>
      <c r="AF63" s="7709"/>
      <c r="AG63" s="7709"/>
      <c r="AH63" s="7709"/>
      <c r="AI63" s="7709"/>
      <c r="AJ63" s="7709"/>
      <c r="AK63" s="7709"/>
      <c r="AL63" s="7709"/>
      <c r="AM63" s="7709"/>
    </row>
    <row r="64" spans="1:44" ht="27.75" customHeight="1">
      <c r="O64" s="460"/>
      <c r="P64" s="1250"/>
      <c r="S64" s="1169"/>
      <c r="T64" s="7709"/>
      <c r="U64" s="7709"/>
      <c r="V64" s="7709"/>
      <c r="W64" s="7709"/>
      <c r="X64" s="7709"/>
      <c r="Y64" s="7709"/>
      <c r="Z64" s="7709"/>
      <c r="AA64" s="7709"/>
      <c r="AB64" s="7709"/>
      <c r="AC64" s="7709"/>
      <c r="AD64" s="7709"/>
      <c r="AE64" s="7709"/>
      <c r="AF64" s="7709"/>
      <c r="AG64" s="7709"/>
      <c r="AH64" s="7709"/>
      <c r="AI64" s="7709"/>
      <c r="AJ64" s="7709"/>
      <c r="AK64" s="7709"/>
      <c r="AL64" s="7709"/>
      <c r="AM64" s="7709"/>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5" hidden="1" customWidth="1"/>
    <col min="13" max="14" width="12.28515625" style="1696" hidden="1" customWidth="1"/>
    <col min="15" max="15" width="23.42578125" style="1696" hidden="1" customWidth="1"/>
    <col min="16" max="16" width="3.7109375" style="1817" customWidth="1"/>
    <col min="17" max="18" width="3.7109375" style="265" customWidth="1"/>
    <col min="19" max="19" width="12.7109375" style="1820"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7689">
        <v>1</v>
      </c>
      <c r="F2" s="1284"/>
      <c r="G2" s="1284"/>
      <c r="H2" s="1284"/>
      <c r="I2" s="1284"/>
      <c r="J2" s="1284"/>
      <c r="K2" s="1284"/>
      <c r="L2" s="1285"/>
      <c r="M2" s="1286"/>
      <c r="N2" s="1286"/>
      <c r="O2" s="1286"/>
      <c r="P2" s="282"/>
      <c r="Q2" s="281"/>
      <c r="R2" s="276"/>
      <c r="S2" s="1258" t="e">
        <f>INDEX(PT_DIFFERENTIATION_NUM_NTAR,MATCH(A2,PT_DIFFERENTIATION_NTAR_ID,0))</f>
        <v>#N/A</v>
      </c>
      <c r="T2" s="212" t="s">
        <v>237</v>
      </c>
      <c r="U2" s="214"/>
      <c r="V2" s="7675"/>
      <c r="W2" s="7676"/>
      <c r="X2" s="7676"/>
      <c r="Y2" s="7676"/>
      <c r="Z2" s="7676"/>
      <c r="AA2" s="7676"/>
      <c r="AB2" s="7676"/>
      <c r="AC2" s="7677"/>
      <c r="AD2" s="7675" t="e">
        <f>INDEX(PT_DIFFERENTIATION_NTAR,MATCH(A2,PT_DIFFERENTIATION_NTAR_ID,0))</f>
        <v>#N/A</v>
      </c>
      <c r="AE2" s="7676"/>
      <c r="AF2" s="7676"/>
      <c r="AG2" s="7676"/>
      <c r="AH2" s="7676"/>
      <c r="AI2" s="7676"/>
      <c r="AJ2" s="7676"/>
      <c r="AK2" s="7676"/>
      <c r="AL2" s="7677"/>
      <c r="AM2" s="1182" t="s">
        <v>572</v>
      </c>
      <c r="AO2" s="424"/>
      <c r="AP2" s="424" t="str">
        <f t="shared" ref="AP2:AP15" si="0">IF(T2="","",T2)</f>
        <v>Наименование тарифа</v>
      </c>
      <c r="AQ2" s="424"/>
      <c r="AR2" s="424"/>
    </row>
    <row r="3" spans="1:44" ht="21" hidden="1" customHeight="1">
      <c r="A3" s="1284"/>
      <c r="B3" s="1284"/>
      <c r="C3" s="1284"/>
      <c r="D3" s="1284"/>
      <c r="E3" s="7690"/>
      <c r="F3" s="7689">
        <v>1</v>
      </c>
      <c r="G3" s="1284"/>
      <c r="H3" s="1284"/>
      <c r="I3" s="1284"/>
      <c r="J3" s="1284"/>
      <c r="K3" s="1284"/>
      <c r="L3" s="1285"/>
      <c r="M3" s="1286"/>
      <c r="N3" s="1286"/>
      <c r="O3" s="1286"/>
      <c r="P3" s="1254"/>
      <c r="Q3" s="273"/>
      <c r="R3" s="274"/>
      <c r="S3" s="1258" t="e">
        <f>INDEX(PT_DIFFERENTIATION_NUM_TER,MATCH(B3,PT_DIFFERENTIATION_TER_ID,0))</f>
        <v>#N/A</v>
      </c>
      <c r="T3" s="224" t="s">
        <v>573</v>
      </c>
      <c r="U3" s="214"/>
      <c r="V3" s="7675"/>
      <c r="W3" s="7676"/>
      <c r="X3" s="7676"/>
      <c r="Y3" s="7676"/>
      <c r="Z3" s="7676"/>
      <c r="AA3" s="7676"/>
      <c r="AB3" s="7676"/>
      <c r="AC3" s="7677"/>
      <c r="AD3" s="7675" t="e">
        <f>INDEX(PT_DIFFERENTIATION_TER,MATCH(B3,PT_DIFFERENTIATION_TER_ID,0))</f>
        <v>#N/A</v>
      </c>
      <c r="AE3" s="7676"/>
      <c r="AF3" s="7676"/>
      <c r="AG3" s="7676"/>
      <c r="AH3" s="7676"/>
      <c r="AI3" s="7676"/>
      <c r="AJ3" s="7676"/>
      <c r="AK3" s="7676"/>
      <c r="AL3" s="7677"/>
      <c r="AM3" s="1182" t="s">
        <v>574</v>
      </c>
      <c r="AO3" s="424"/>
      <c r="AP3" s="424" t="str">
        <f t="shared" si="0"/>
        <v>Территория действия тарифа</v>
      </c>
      <c r="AQ3" s="424"/>
      <c r="AR3" s="424"/>
    </row>
    <row r="4" spans="1:44" ht="23.25" hidden="1" customHeight="1">
      <c r="A4" s="1284"/>
      <c r="B4" s="1284"/>
      <c r="C4" s="1284"/>
      <c r="D4" s="1284"/>
      <c r="E4" s="7690"/>
      <c r="F4" s="7690"/>
      <c r="G4" s="7689">
        <v>1</v>
      </c>
      <c r="H4" s="1284"/>
      <c r="I4" s="1284"/>
      <c r="J4" s="1284"/>
      <c r="K4" s="1284"/>
      <c r="L4" s="1285"/>
      <c r="M4" s="1286"/>
      <c r="N4" s="1286"/>
      <c r="O4" s="1286"/>
      <c r="P4" s="275"/>
      <c r="Q4" s="273"/>
      <c r="R4" s="274"/>
      <c r="S4" s="1258" t="e">
        <f>INDEX(PT_DIFFERENTIATION_NUM_CS,MATCH(C4,PT_DIFFERENTIATION_CS_ID,0))</f>
        <v>#N/A</v>
      </c>
      <c r="T4" s="225" t="s">
        <v>575</v>
      </c>
      <c r="U4" s="214"/>
      <c r="V4" s="7675"/>
      <c r="W4" s="7676"/>
      <c r="X4" s="7676"/>
      <c r="Y4" s="7676"/>
      <c r="Z4" s="7676"/>
      <c r="AA4" s="7676"/>
      <c r="AB4" s="7676"/>
      <c r="AC4" s="7677"/>
      <c r="AD4" s="7675" t="e">
        <f>INDEX(PT_DIFFERENTIATION_CS,MATCH(C4,PT_DIFFERENTIATION_CS_ID,0))</f>
        <v>#N/A</v>
      </c>
      <c r="AE4" s="7676"/>
      <c r="AF4" s="7676"/>
      <c r="AG4" s="7676"/>
      <c r="AH4" s="7676"/>
      <c r="AI4" s="7676"/>
      <c r="AJ4" s="7676"/>
      <c r="AK4" s="7676"/>
      <c r="AL4" s="7677"/>
      <c r="AM4" s="1182" t="s">
        <v>576</v>
      </c>
      <c r="AO4" s="424"/>
      <c r="AP4" s="424" t="str">
        <f t="shared" si="0"/>
        <v xml:space="preserve">Наименование системы теплоснабжения </v>
      </c>
      <c r="AQ4" s="424"/>
      <c r="AR4" s="424"/>
    </row>
    <row r="5" spans="1:44" ht="21" hidden="1" customHeight="1">
      <c r="A5" s="1284"/>
      <c r="B5" s="1284"/>
      <c r="C5" s="1284"/>
      <c r="D5" s="1284"/>
      <c r="E5" s="7690"/>
      <c r="F5" s="7690"/>
      <c r="G5" s="7690"/>
      <c r="H5" s="7689">
        <v>1</v>
      </c>
      <c r="I5" s="1284"/>
      <c r="J5" s="1284"/>
      <c r="K5" s="1284"/>
      <c r="L5" s="1285"/>
      <c r="M5" s="1286"/>
      <c r="N5" s="1286"/>
      <c r="O5" s="1286"/>
      <c r="P5" s="275"/>
      <c r="Q5" s="273"/>
      <c r="R5" s="274"/>
      <c r="S5" s="1258" t="e">
        <f>INDEX(PT_DIFFERENTIATION_NUM_IST_TE,MATCH(D5,PT_DIFFERENTIATION_IST_TE_ID,0))</f>
        <v>#N/A</v>
      </c>
      <c r="T5" s="226" t="s">
        <v>577</v>
      </c>
      <c r="U5" s="214"/>
      <c r="V5" s="7675"/>
      <c r="W5" s="7676"/>
      <c r="X5" s="7676"/>
      <c r="Y5" s="7676"/>
      <c r="Z5" s="7676"/>
      <c r="AA5" s="7676"/>
      <c r="AB5" s="7676"/>
      <c r="AC5" s="7677"/>
      <c r="AD5" s="7675" t="e">
        <f>INDEX(PT_DIFFERENTIATION_IST_TE,MATCH(D5,PT_DIFFERENTIATION_IST_TE_ID,0))</f>
        <v>#N/A</v>
      </c>
      <c r="AE5" s="7676"/>
      <c r="AF5" s="7676"/>
      <c r="AG5" s="7676"/>
      <c r="AH5" s="7676"/>
      <c r="AI5" s="7676"/>
      <c r="AJ5" s="7676"/>
      <c r="AK5" s="7676"/>
      <c r="AL5" s="7677"/>
      <c r="AM5" s="1182" t="s">
        <v>578</v>
      </c>
      <c r="AO5" s="424"/>
      <c r="AP5" s="424" t="str">
        <f t="shared" si="0"/>
        <v xml:space="preserve">Источник тепловой энергии  </v>
      </c>
      <c r="AQ5" s="424"/>
      <c r="AR5" s="424"/>
    </row>
    <row r="6" spans="1:44" ht="47.25" hidden="1" customHeight="1">
      <c r="A6" s="1284"/>
      <c r="B6" s="1284"/>
      <c r="C6" s="1284"/>
      <c r="D6" s="1284"/>
      <c r="E6" s="7690"/>
      <c r="F6" s="7690"/>
      <c r="G6" s="7690"/>
      <c r="H6" s="7690"/>
      <c r="I6" s="7687" t="e">
        <f>S5&amp;".1"</f>
        <v>#N/A</v>
      </c>
      <c r="J6" s="1284"/>
      <c r="K6" s="1284"/>
      <c r="L6" s="1285" t="s">
        <v>579</v>
      </c>
      <c r="M6" s="460"/>
      <c r="P6" s="7688">
        <v>1</v>
      </c>
      <c r="Q6" s="1253"/>
      <c r="R6" s="277"/>
      <c r="S6" s="1258" t="e">
        <f>$I6</f>
        <v>#N/A</v>
      </c>
      <c r="T6" s="200" t="s">
        <v>580</v>
      </c>
      <c r="U6" s="214"/>
      <c r="V6" s="7678"/>
      <c r="W6" s="7679"/>
      <c r="X6" s="7679"/>
      <c r="Y6" s="7679"/>
      <c r="Z6" s="7679"/>
      <c r="AA6" s="7679"/>
      <c r="AB6" s="7679"/>
      <c r="AC6" s="7680"/>
      <c r="AD6" s="7678"/>
      <c r="AE6" s="7679"/>
      <c r="AF6" s="7679"/>
      <c r="AG6" s="7679"/>
      <c r="AH6" s="7679"/>
      <c r="AI6" s="7679"/>
      <c r="AJ6" s="7679"/>
      <c r="AK6" s="7679"/>
      <c r="AL6" s="7680"/>
      <c r="AM6" s="1182" t="s">
        <v>581</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7690"/>
      <c r="F7" s="7690"/>
      <c r="G7" s="7690"/>
      <c r="H7" s="7690"/>
      <c r="I7" s="7710"/>
      <c r="J7" s="7687" t="e">
        <f>I6&amp;".1"</f>
        <v>#N/A</v>
      </c>
      <c r="K7" s="1284"/>
      <c r="L7" s="1285" t="s">
        <v>582</v>
      </c>
      <c r="M7" s="460"/>
      <c r="N7" s="1287"/>
      <c r="P7" s="7688"/>
      <c r="Q7" s="7688">
        <v>1</v>
      </c>
      <c r="R7" s="278"/>
      <c r="S7" s="1258" t="e">
        <f>$J7</f>
        <v>#N/A</v>
      </c>
      <c r="T7" s="201" t="s">
        <v>583</v>
      </c>
      <c r="U7" s="214"/>
      <c r="V7" s="7678"/>
      <c r="W7" s="7679"/>
      <c r="X7" s="7679"/>
      <c r="Y7" s="7679"/>
      <c r="Z7" s="7679"/>
      <c r="AA7" s="7679"/>
      <c r="AB7" s="7679"/>
      <c r="AC7" s="7680"/>
      <c r="AD7" s="7678"/>
      <c r="AE7" s="7679"/>
      <c r="AF7" s="7679"/>
      <c r="AG7" s="7679"/>
      <c r="AH7" s="7679"/>
      <c r="AI7" s="7679"/>
      <c r="AJ7" s="7679"/>
      <c r="AK7" s="7679"/>
      <c r="AL7" s="7680"/>
      <c r="AM7" s="1182" t="s">
        <v>584</v>
      </c>
      <c r="AO7" s="424"/>
      <c r="AP7" s="424" t="str">
        <f t="shared" si="0"/>
        <v>Группа потребителей</v>
      </c>
      <c r="AQ7" s="424"/>
      <c r="AR7" s="424"/>
    </row>
    <row r="8" spans="1:44" ht="21" hidden="1" customHeight="1">
      <c r="A8" s="1284"/>
      <c r="B8" s="1284"/>
      <c r="C8" s="1284"/>
      <c r="D8" s="1284"/>
      <c r="E8" s="7690"/>
      <c r="F8" s="7690"/>
      <c r="G8" s="7690"/>
      <c r="H8" s="7690"/>
      <c r="I8" s="7710"/>
      <c r="J8" s="7710"/>
      <c r="K8" s="7687" t="e">
        <f>J7&amp;".1"</f>
        <v>#N/A</v>
      </c>
      <c r="L8" s="1285" t="s">
        <v>585</v>
      </c>
      <c r="M8" s="460"/>
      <c r="N8" s="1287"/>
      <c r="O8" s="1287"/>
      <c r="P8" s="7688"/>
      <c r="Q8" s="7688"/>
      <c r="R8" s="278">
        <v>1</v>
      </c>
      <c r="S8" s="1258" t="e">
        <f>$K8</f>
        <v>#N/A</v>
      </c>
      <c r="T8" s="1269"/>
      <c r="U8" s="214"/>
      <c r="V8" s="666"/>
      <c r="W8" s="246"/>
      <c r="X8" s="666"/>
      <c r="Y8" s="1181"/>
      <c r="Z8" s="7692"/>
      <c r="AA8" s="7540" t="s">
        <v>60</v>
      </c>
      <c r="AB8" s="7692"/>
      <c r="AC8" s="7540" t="s">
        <v>60</v>
      </c>
      <c r="AD8" s="666"/>
      <c r="AE8" s="246"/>
      <c r="AF8" s="666"/>
      <c r="AG8" s="1181"/>
      <c r="AH8" s="7692"/>
      <c r="AI8" s="7540" t="s">
        <v>60</v>
      </c>
      <c r="AJ8" s="7692"/>
      <c r="AK8" s="7540" t="s">
        <v>60</v>
      </c>
      <c r="AL8" s="246"/>
      <c r="AM8" s="7684" t="s">
        <v>586</v>
      </c>
      <c r="AN8" s="435" t="e">
        <f ca="1">STRCHECKDATE(V9:AL9)</f>
        <v>#NAME?</v>
      </c>
      <c r="AO8" s="424"/>
      <c r="AP8" s="424" t="str">
        <f t="shared" si="0"/>
        <v/>
      </c>
      <c r="AQ8" s="424"/>
      <c r="AR8" s="424"/>
    </row>
    <row r="9" spans="1:44" ht="0.75" hidden="1" customHeight="1">
      <c r="A9" s="1284"/>
      <c r="B9" s="1284"/>
      <c r="C9" s="1284"/>
      <c r="D9" s="1284"/>
      <c r="E9" s="7690"/>
      <c r="F9" s="7690"/>
      <c r="G9" s="7690"/>
      <c r="H9" s="7690"/>
      <c r="I9" s="7710"/>
      <c r="J9" s="7710"/>
      <c r="K9" s="7687"/>
      <c r="L9" s="1285"/>
      <c r="M9" s="460"/>
      <c r="N9" s="1287"/>
      <c r="O9" s="1287"/>
      <c r="P9" s="7688"/>
      <c r="Q9" s="7688"/>
      <c r="R9" s="278"/>
      <c r="S9" s="1264"/>
      <c r="T9" s="214"/>
      <c r="U9" s="214"/>
      <c r="V9" s="246"/>
      <c r="W9" s="246"/>
      <c r="X9" s="246"/>
      <c r="Y9" s="250" t="str">
        <f>Z8&amp;"-"&amp;AB8</f>
        <v>-</v>
      </c>
      <c r="Z9" s="7693"/>
      <c r="AA9" s="7540"/>
      <c r="AB9" s="7693"/>
      <c r="AC9" s="7540"/>
      <c r="AD9" s="246"/>
      <c r="AE9" s="246"/>
      <c r="AF9" s="246"/>
      <c r="AG9" s="250" t="str">
        <f>AH8&amp;"-"&amp;AJ8</f>
        <v>-</v>
      </c>
      <c r="AH9" s="7693"/>
      <c r="AI9" s="7540"/>
      <c r="AJ9" s="7693"/>
      <c r="AK9" s="7540"/>
      <c r="AL9" s="246"/>
      <c r="AM9" s="7685"/>
      <c r="AO9" s="424"/>
      <c r="AP9" s="424" t="str">
        <f t="shared" si="0"/>
        <v/>
      </c>
      <c r="AQ9" s="424"/>
      <c r="AR9" s="424"/>
    </row>
    <row r="10" spans="1:44" ht="15" hidden="1" customHeight="1">
      <c r="A10" s="1284"/>
      <c r="B10" s="1284"/>
      <c r="C10" s="1284"/>
      <c r="D10" s="1284"/>
      <c r="E10" s="7690"/>
      <c r="F10" s="7690"/>
      <c r="G10" s="7690"/>
      <c r="H10" s="7690"/>
      <c r="I10" s="7710"/>
      <c r="J10" s="7687"/>
      <c r="K10" s="1284"/>
      <c r="L10" s="1285"/>
      <c r="M10" s="460"/>
      <c r="N10" s="1287"/>
      <c r="P10" s="7688"/>
      <c r="Q10" s="7688"/>
      <c r="R10" s="277"/>
      <c r="S10" s="1203"/>
      <c r="T10" s="203" t="s">
        <v>587</v>
      </c>
      <c r="U10" s="291"/>
      <c r="V10" s="291"/>
      <c r="W10" s="291"/>
      <c r="X10" s="291"/>
      <c r="Y10" s="291"/>
      <c r="Z10" s="291"/>
      <c r="AA10" s="291"/>
      <c r="AB10" s="291"/>
      <c r="AC10" s="291"/>
      <c r="AD10" s="291"/>
      <c r="AE10" s="291"/>
      <c r="AF10" s="291"/>
      <c r="AG10" s="291"/>
      <c r="AH10" s="291"/>
      <c r="AI10" s="291"/>
      <c r="AJ10" s="291"/>
      <c r="AK10" s="291"/>
      <c r="AL10" s="245"/>
      <c r="AM10" s="7686"/>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7690"/>
      <c r="F11" s="7690"/>
      <c r="G11" s="7690"/>
      <c r="H11" s="7690"/>
      <c r="I11" s="7687"/>
      <c r="J11" s="1284"/>
      <c r="K11" s="1284"/>
      <c r="L11" s="1285"/>
      <c r="M11" s="460"/>
      <c r="P11" s="7688"/>
      <c r="Q11" s="1253"/>
      <c r="R11" s="277"/>
      <c r="S11" s="1203"/>
      <c r="T11" s="202" t="s">
        <v>588</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7690"/>
      <c r="F12" s="7690"/>
      <c r="G12" s="7690"/>
      <c r="H12" s="7689"/>
      <c r="I12" s="1284"/>
      <c r="J12" s="1284"/>
      <c r="K12" s="1284"/>
      <c r="L12" s="1285"/>
      <c r="M12" s="1286"/>
      <c r="N12" s="1286"/>
      <c r="O12" s="460"/>
      <c r="P12" s="281"/>
      <c r="Q12" s="299"/>
      <c r="R12" s="276"/>
      <c r="S12" s="1203"/>
      <c r="T12" s="288" t="s">
        <v>589</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7690"/>
      <c r="F13" s="7690"/>
      <c r="G13" s="7689"/>
      <c r="H13" s="1237"/>
      <c r="I13" s="1237"/>
      <c r="J13" s="1237"/>
      <c r="K13" s="1237"/>
      <c r="L13" s="1261"/>
      <c r="M13" s="1238"/>
      <c r="N13" s="1238"/>
      <c r="P13" s="1239"/>
      <c r="Q13" s="1240"/>
      <c r="R13" s="1239"/>
      <c r="S13" s="1241"/>
      <c r="T13" s="1242" t="s">
        <v>590</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7690"/>
      <c r="F14" s="7689"/>
      <c r="G14" s="1237"/>
      <c r="H14" s="1237"/>
      <c r="I14" s="1237"/>
      <c r="J14" s="1237"/>
      <c r="K14" s="1237"/>
      <c r="L14" s="1261"/>
      <c r="M14" s="1244"/>
      <c r="N14" s="1244"/>
      <c r="P14" s="1239"/>
      <c r="Q14" s="1240"/>
      <c r="R14" s="1239"/>
      <c r="S14" s="1245"/>
      <c r="T14" s="1246" t="s">
        <v>325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7689"/>
      <c r="F15" s="1237"/>
      <c r="G15" s="1237"/>
      <c r="H15" s="1237"/>
      <c r="I15" s="1237"/>
      <c r="J15" s="1237"/>
      <c r="K15" s="1237"/>
      <c r="L15" s="1261"/>
      <c r="M15" s="1244"/>
      <c r="N15" s="1244"/>
      <c r="P15" s="1239"/>
      <c r="Q15" s="1240"/>
      <c r="R15" s="1239"/>
      <c r="S15" s="1245"/>
      <c r="T15" s="1248" t="s">
        <v>326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7694"/>
      <c r="AI17" s="7695" t="s">
        <v>60</v>
      </c>
      <c r="AJ17" s="7694"/>
      <c r="AK17" s="7695" t="s">
        <v>60</v>
      </c>
    </row>
    <row r="18" spans="1:44" ht="14.25" hidden="1" customHeight="1">
      <c r="AD18" s="1281"/>
      <c r="AE18" s="1281"/>
      <c r="AF18" s="1281"/>
      <c r="AG18" s="250" t="str">
        <f>AH17&amp;"-"&amp;AJ17</f>
        <v>-</v>
      </c>
      <c r="AH18" s="7695"/>
      <c r="AI18" s="7695"/>
      <c r="AJ18" s="7695"/>
      <c r="AK18" s="7695"/>
    </row>
    <row r="19" spans="1:44" ht="14.25" hidden="1" customHeight="1">
      <c r="AK19" s="249"/>
    </row>
    <row r="20" spans="1:44" s="1287" customFormat="1" ht="22.5" hidden="1" customHeight="1">
      <c r="L20" s="1251"/>
      <c r="M20" s="1283"/>
      <c r="N20" s="1283"/>
      <c r="O20" s="1288" t="s">
        <v>591</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592</v>
      </c>
      <c r="P22" s="1283"/>
      <c r="Q22" s="1292"/>
      <c r="R22" s="1292"/>
      <c r="S22" s="646"/>
      <c r="T22" s="1065" t="s">
        <v>593</v>
      </c>
      <c r="AA22" s="104" t="s">
        <v>594</v>
      </c>
      <c r="AC22" s="104" t="s">
        <v>595</v>
      </c>
      <c r="AD22" s="1065" t="s">
        <v>593</v>
      </c>
      <c r="AI22" s="104" t="s">
        <v>596</v>
      </c>
      <c r="AK22" s="104" t="s">
        <v>595</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14.25" customHeight="1">
      <c r="Q26" s="300"/>
      <c r="R26" s="300"/>
      <c r="S26" s="767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673"/>
      <c r="U26" s="7673"/>
      <c r="V26" s="7673"/>
      <c r="W26" s="7673"/>
      <c r="X26" s="7673"/>
      <c r="Y26" s="7673"/>
      <c r="Z26" s="7673"/>
      <c r="AA26" s="7673"/>
      <c r="AB26" s="7673"/>
      <c r="AC26" s="7673"/>
      <c r="AD26" s="7673"/>
      <c r="AE26" s="7673"/>
      <c r="AF26" s="7673"/>
      <c r="AG26" s="7673"/>
      <c r="AH26" s="7673"/>
      <c r="AI26" s="7673"/>
      <c r="AJ26" s="7673"/>
      <c r="AK26" s="1157"/>
    </row>
    <row r="27" spans="1:44" ht="14.25" customHeight="1">
      <c r="Q27" s="300"/>
      <c r="R27" s="300"/>
      <c r="S27" s="7620" t="str">
        <f>IF(org=0,"Не определено",org)</f>
        <v>ГУП СК "Ставрополькрайводоканал"</v>
      </c>
      <c r="T27" s="7620"/>
      <c r="U27" s="7620"/>
      <c r="V27" s="7620"/>
      <c r="W27" s="7620"/>
      <c r="X27" s="7620"/>
      <c r="Y27" s="7620"/>
      <c r="Z27" s="7620"/>
      <c r="AA27" s="7620"/>
      <c r="AB27" s="7620"/>
      <c r="AC27" s="7620"/>
      <c r="AD27" s="7620"/>
      <c r="AE27" s="7620"/>
      <c r="AF27" s="7620"/>
      <c r="AG27" s="7620"/>
      <c r="AH27" s="7620"/>
      <c r="AI27" s="7620"/>
      <c r="AJ27" s="7620"/>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7681" t="s">
        <v>38</v>
      </c>
      <c r="T29" s="7681"/>
      <c r="U29" s="1293"/>
      <c r="V29" s="7682" t="str">
        <f>IF(TITLE_NAME_OR_PR_CHANGE="",IF(TITLE_NAME_OR_PR="","",TITLE_NAME_OR_PR),TITLE_NAME_OR_PR_CHANGE)</f>
        <v>Региональная тарифная комиссия Ставропольского края</v>
      </c>
      <c r="W29" s="7682"/>
      <c r="X29" s="7682"/>
      <c r="Y29" s="7682"/>
      <c r="Z29" s="7682"/>
      <c r="AA29" s="7682"/>
      <c r="AB29" s="7682"/>
      <c r="AC29" s="248"/>
      <c r="AD29" s="7682" t="str">
        <f>IF(TITLE_NAME_OR_PR_CHANGE="",IF(TITLE_NAME_OR_PR="","",TITLE_NAME_OR_PR),TITLE_NAME_OR_PR_CHANGE)</f>
        <v>Региональная тарифная комиссия Ставропольского края</v>
      </c>
      <c r="AE29" s="7682"/>
      <c r="AF29" s="7682"/>
      <c r="AG29" s="7682"/>
      <c r="AH29" s="7682"/>
      <c r="AI29" s="7682"/>
      <c r="AJ29" s="7682"/>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7681" t="s">
        <v>597</v>
      </c>
      <c r="T30" s="7681"/>
      <c r="U30" s="1293"/>
      <c r="V30" s="7691">
        <f>IF(TITLE_DATE_PR_CHANGE="",IF(TITLE_DATE_PR="","",TITLE_DATE_PR),TITLE_DATE_PR_CHANGE)</f>
        <v>45278</v>
      </c>
      <c r="W30" s="7691"/>
      <c r="X30" s="7691"/>
      <c r="Y30" s="7691"/>
      <c r="Z30" s="7691"/>
      <c r="AA30" s="7691"/>
      <c r="AB30" s="7691"/>
      <c r="AC30" s="248"/>
      <c r="AD30" s="7691">
        <f>IF(TITLE_DATE_PR_CHANGE="",IF(TITLE_DATE_PR="","",TITLE_DATE_PR),TITLE_DATE_PR_CHANGE)</f>
        <v>45278</v>
      </c>
      <c r="AE30" s="7691"/>
      <c r="AF30" s="7691"/>
      <c r="AG30" s="7691"/>
      <c r="AH30" s="7691"/>
      <c r="AI30" s="7691"/>
      <c r="AJ30" s="7691"/>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7681" t="s">
        <v>598</v>
      </c>
      <c r="T31" s="7681"/>
      <c r="U31" s="1293"/>
      <c r="V31" s="7682" t="str">
        <f>IF(TITLE_NUMBER_PR_CHANGE="",IF(TITLE_NUMBER_PR="","",TITLE_NUMBER_PR),TITLE_NUMBER_PR_CHANGE)</f>
        <v>79/2</v>
      </c>
      <c r="W31" s="7682"/>
      <c r="X31" s="7682"/>
      <c r="Y31" s="7682"/>
      <c r="Z31" s="7682"/>
      <c r="AA31" s="7682"/>
      <c r="AB31" s="7682"/>
      <c r="AC31" s="248"/>
      <c r="AD31" s="7682" t="str">
        <f>IF(TITLE_NUMBER_PR_CHANGE="",IF(TITLE_NUMBER_PR="","",TITLE_NUMBER_PR),TITLE_NUMBER_PR_CHANGE)</f>
        <v>79/2</v>
      </c>
      <c r="AE31" s="7682"/>
      <c r="AF31" s="7682"/>
      <c r="AG31" s="7682"/>
      <c r="AH31" s="7682"/>
      <c r="AI31" s="7682"/>
      <c r="AJ31" s="7682"/>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7681" t="s">
        <v>40</v>
      </c>
      <c r="T32" s="7681"/>
      <c r="U32" s="1293"/>
      <c r="V32" s="7682" t="str">
        <f>IF(TITLE_IST_PUB_CHANGE="",IF(TITLE_IST_PUB="","",TITLE_IST_PUB),TITLE_IST_PUB_CHANGE)</f>
        <v>http://pravo.stavregion.ru/</v>
      </c>
      <c r="W32" s="7682"/>
      <c r="X32" s="7682"/>
      <c r="Y32" s="7682"/>
      <c r="Z32" s="7682"/>
      <c r="AA32" s="7682"/>
      <c r="AB32" s="7682"/>
      <c r="AC32" s="248"/>
      <c r="AD32" s="7682" t="str">
        <f>IF(TITLE_IST_PUB_CHANGE="",IF(TITLE_IST_PUB="","",TITLE_IST_PUB),TITLE_IST_PUB_CHANGE)</f>
        <v>http://pravo.stavregion.ru/</v>
      </c>
      <c r="AE32" s="7682"/>
      <c r="AF32" s="7682"/>
      <c r="AG32" s="7682"/>
      <c r="AH32" s="7682"/>
      <c r="AI32" s="7682"/>
      <c r="AJ32" s="7682"/>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7681" t="s">
        <v>599</v>
      </c>
      <c r="T34" s="7681"/>
      <c r="U34" s="1293"/>
      <c r="V34" s="7691">
        <f>IF(TITLE_DATE_PR_CHANGE="",IF(TITLE_DATE_PR="","",TITLE_DATE_PR),TITLE_DATE_PR_CHANGE)</f>
        <v>45278</v>
      </c>
      <c r="W34" s="7691"/>
      <c r="X34" s="7691"/>
      <c r="Y34" s="7691"/>
      <c r="Z34" s="7691"/>
      <c r="AA34" s="7691"/>
      <c r="AB34" s="7691"/>
      <c r="AC34" s="248"/>
      <c r="AD34" s="7691">
        <f>IF(TITLE_DATE_PR_CHANGE="",IF(TITLE_DATE_PR="","",TITLE_DATE_PR),TITLE_DATE_PR_CHANGE)</f>
        <v>45278</v>
      </c>
      <c r="AE34" s="7691"/>
      <c r="AF34" s="7691"/>
      <c r="AG34" s="7691"/>
      <c r="AH34" s="7691"/>
      <c r="AI34" s="7691"/>
      <c r="AJ34" s="7691"/>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7681" t="s">
        <v>600</v>
      </c>
      <c r="T35" s="7681"/>
      <c r="U35" s="1293"/>
      <c r="V35" s="7682" t="str">
        <f>IF(TITLE_NUMBER_PR_CHANGE="",IF(TITLE_NUMBER_PR="","",TITLE_NUMBER_PR),TITLE_NUMBER_PR_CHANGE)</f>
        <v>79/2</v>
      </c>
      <c r="W35" s="7682"/>
      <c r="X35" s="7682"/>
      <c r="Y35" s="7682"/>
      <c r="Z35" s="7682"/>
      <c r="AA35" s="7682"/>
      <c r="AB35" s="7682"/>
      <c r="AC35" s="248"/>
      <c r="AD35" s="7682" t="str">
        <f>IF(TITLE_NUMBER_PR_CHANGE="",IF(TITLE_NUMBER_PR="","",TITLE_NUMBER_PR),TITLE_NUMBER_PR_CHANGE)</f>
        <v>79/2</v>
      </c>
      <c r="AE35" s="7682"/>
      <c r="AF35" s="7682"/>
      <c r="AG35" s="7682"/>
      <c r="AH35" s="7682"/>
      <c r="AI35" s="7682"/>
      <c r="AJ35" s="7682"/>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601</v>
      </c>
      <c r="AD36" s="248"/>
      <c r="AE36" s="248"/>
      <c r="AF36" s="248"/>
      <c r="AG36" s="248"/>
      <c r="AH36" s="248"/>
      <c r="AI36" s="248"/>
      <c r="AJ36" s="248"/>
      <c r="AK36" s="194" t="s">
        <v>601</v>
      </c>
      <c r="AN36" s="292"/>
      <c r="AO36" s="292"/>
      <c r="AP36" s="292"/>
      <c r="AQ36" s="292"/>
      <c r="AR36" s="292"/>
    </row>
    <row r="37" spans="1:44" ht="14.25" customHeight="1">
      <c r="Q37" s="300"/>
      <c r="R37" s="300"/>
      <c r="S37" s="1200"/>
      <c r="T37" s="286"/>
      <c r="U37" s="1158"/>
      <c r="V37" s="7683"/>
      <c r="W37" s="7683"/>
      <c r="X37" s="7683"/>
      <c r="Y37" s="7683"/>
      <c r="Z37" s="7683"/>
      <c r="AA37" s="7683"/>
      <c r="AB37" s="7683"/>
      <c r="AC37" s="7683"/>
      <c r="AD37" s="7683"/>
      <c r="AE37" s="7683"/>
      <c r="AF37" s="7683"/>
      <c r="AG37" s="7683"/>
      <c r="AH37" s="7683"/>
      <c r="AI37" s="7683"/>
      <c r="AJ37" s="7683"/>
      <c r="AK37" s="7683"/>
    </row>
    <row r="38" spans="1:44" ht="14.25" customHeight="1">
      <c r="Q38" s="300"/>
      <c r="R38" s="300"/>
      <c r="S38" s="7559" t="s">
        <v>474</v>
      </c>
      <c r="T38" s="7559"/>
      <c r="U38" s="7559"/>
      <c r="V38" s="7559"/>
      <c r="W38" s="7559"/>
      <c r="X38" s="7559"/>
      <c r="Y38" s="7559"/>
      <c r="Z38" s="7559"/>
      <c r="AA38" s="7559"/>
      <c r="AB38" s="7559"/>
      <c r="AC38" s="7559"/>
      <c r="AD38" s="7559"/>
      <c r="AE38" s="7559"/>
      <c r="AF38" s="7559"/>
      <c r="AG38" s="7559"/>
      <c r="AH38" s="7559"/>
      <c r="AI38" s="7559"/>
      <c r="AJ38" s="7559"/>
      <c r="AK38" s="7559"/>
      <c r="AL38" s="7559"/>
      <c r="AM38" s="7559" t="s">
        <v>475</v>
      </c>
    </row>
    <row r="39" spans="1:44" ht="14.25" customHeight="1">
      <c r="Q39" s="300"/>
      <c r="R39" s="300"/>
      <c r="S39" s="7697" t="s">
        <v>86</v>
      </c>
      <c r="T39" s="7649" t="s">
        <v>602</v>
      </c>
      <c r="U39" s="215"/>
      <c r="V39" s="7698" t="s">
        <v>603</v>
      </c>
      <c r="W39" s="7699"/>
      <c r="X39" s="7699"/>
      <c r="Y39" s="7699"/>
      <c r="Z39" s="7699"/>
      <c r="AA39" s="7699"/>
      <c r="AB39" s="7700"/>
      <c r="AC39" s="7701" t="s">
        <v>604</v>
      </c>
      <c r="AD39" s="7698" t="s">
        <v>603</v>
      </c>
      <c r="AE39" s="7699"/>
      <c r="AF39" s="7699"/>
      <c r="AG39" s="7699"/>
      <c r="AH39" s="7699"/>
      <c r="AI39" s="7699"/>
      <c r="AJ39" s="7700"/>
      <c r="AK39" s="7701" t="s">
        <v>605</v>
      </c>
      <c r="AL39" s="7704" t="s">
        <v>606</v>
      </c>
      <c r="AM39" s="7559"/>
    </row>
    <row r="40" spans="1:44" ht="33.75" customHeight="1">
      <c r="Q40" s="300"/>
      <c r="R40" s="300"/>
      <c r="S40" s="7697"/>
      <c r="T40" s="7649"/>
      <c r="U40" s="942"/>
      <c r="V40" s="7619" t="s">
        <v>607</v>
      </c>
      <c r="W40" s="7707" t="s">
        <v>608</v>
      </c>
      <c r="X40" s="7530" t="s">
        <v>609</v>
      </c>
      <c r="Y40" s="7529"/>
      <c r="Z40" s="7530" t="s">
        <v>622</v>
      </c>
      <c r="AA40" s="7536"/>
      <c r="AB40" s="7529"/>
      <c r="AC40" s="7702"/>
      <c r="AD40" s="7619" t="s">
        <v>607</v>
      </c>
      <c r="AE40" s="7707" t="s">
        <v>608</v>
      </c>
      <c r="AF40" s="7530" t="s">
        <v>609</v>
      </c>
      <c r="AG40" s="7529"/>
      <c r="AH40" s="7530" t="s">
        <v>610</v>
      </c>
      <c r="AI40" s="7536"/>
      <c r="AJ40" s="7529"/>
      <c r="AK40" s="7702"/>
      <c r="AL40" s="7705"/>
      <c r="AM40" s="7559"/>
    </row>
    <row r="41" spans="1:44" ht="33.75" customHeight="1">
      <c r="A41" s="1291"/>
      <c r="B41" s="1291" t="s">
        <v>249</v>
      </c>
      <c r="C41" s="1291" t="s">
        <v>250</v>
      </c>
      <c r="D41" s="1291" t="s">
        <v>251</v>
      </c>
      <c r="E41" s="1285" t="s">
        <v>611</v>
      </c>
      <c r="F41" s="1285" t="s">
        <v>612</v>
      </c>
      <c r="G41" s="1285" t="s">
        <v>613</v>
      </c>
      <c r="H41" s="1285" t="s">
        <v>614</v>
      </c>
      <c r="I41" s="1285" t="s">
        <v>615</v>
      </c>
      <c r="J41" s="1285" t="s">
        <v>616</v>
      </c>
      <c r="K41" s="1285" t="s">
        <v>617</v>
      </c>
      <c r="L41" s="1285" t="s">
        <v>592</v>
      </c>
      <c r="Q41" s="300"/>
      <c r="R41" s="300"/>
      <c r="S41" s="7697"/>
      <c r="T41" s="7649"/>
      <c r="U41" s="216"/>
      <c r="V41" s="7668"/>
      <c r="W41" s="7708"/>
      <c r="X41" s="1133" t="s">
        <v>618</v>
      </c>
      <c r="Y41" s="1133" t="s">
        <v>619</v>
      </c>
      <c r="Z41" s="1260" t="s">
        <v>620</v>
      </c>
      <c r="AA41" s="7657" t="s">
        <v>621</v>
      </c>
      <c r="AB41" s="7659"/>
      <c r="AC41" s="7703"/>
      <c r="AD41" s="7668"/>
      <c r="AE41" s="7708"/>
      <c r="AF41" s="1133" t="s">
        <v>618</v>
      </c>
      <c r="AG41" s="1133" t="s">
        <v>619</v>
      </c>
      <c r="AH41" s="1260" t="s">
        <v>620</v>
      </c>
      <c r="AI41" s="7657" t="s">
        <v>621</v>
      </c>
      <c r="AJ41" s="7659"/>
      <c r="AK41" s="7703"/>
      <c r="AL41" s="7706"/>
      <c r="AM41" s="7559"/>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100</v>
      </c>
      <c r="U42" s="1159" t="str">
        <f ca="1">OFFSET(U42,0,-1)</f>
        <v>2</v>
      </c>
      <c r="V42" s="1257">
        <f ca="1">OFFSET(V42,0,-1)+1</f>
        <v>3</v>
      </c>
      <c r="W42" s="1257"/>
      <c r="X42" s="1257">
        <f ca="1">OFFSET(X42,0,-1)+1</f>
        <v>1</v>
      </c>
      <c r="Y42" s="1257">
        <f ca="1">OFFSET(Y42,0,-1)+1</f>
        <v>2</v>
      </c>
      <c r="Z42" s="1257">
        <f ca="1">OFFSET(Z42,0,-1)+1</f>
        <v>3</v>
      </c>
      <c r="AA42" s="7696">
        <f ca="1">OFFSET(AA42,0,-1)+1</f>
        <v>4</v>
      </c>
      <c r="AB42" s="7696"/>
      <c r="AC42" s="1257">
        <f ca="1">OFFSET(AC42,0,-2)+1</f>
        <v>5</v>
      </c>
      <c r="AD42" s="1257">
        <f ca="1">OFFSET(AD42,0,-1)+1</f>
        <v>6</v>
      </c>
      <c r="AE42" s="1257"/>
      <c r="AF42" s="1257">
        <f ca="1">OFFSET(AF42,0,-1)+1</f>
        <v>1</v>
      </c>
      <c r="AG42" s="1257">
        <f ca="1">OFFSET(AG42,0,-1)+1</f>
        <v>2</v>
      </c>
      <c r="AH42" s="1257">
        <f ca="1">OFFSET(AH42,0,-1)+1</f>
        <v>3</v>
      </c>
      <c r="AI42" s="7696">
        <f ca="1">OFFSET(AI42,0,-1)+1</f>
        <v>4</v>
      </c>
      <c r="AJ42" s="7696"/>
      <c r="AK42" s="1257">
        <f ca="1">OFFSET(AK42,0,-2)+1</f>
        <v>5</v>
      </c>
      <c r="AL42" s="1159">
        <f ca="1">OFFSET(AL42,0,-1)</f>
        <v>5</v>
      </c>
      <c r="AM42" s="1257">
        <f ca="1">OFFSET(AM42,0,-1)+1</f>
        <v>6</v>
      </c>
      <c r="AN42" s="435"/>
      <c r="AO42" s="435"/>
      <c r="AP42" s="435"/>
      <c r="AQ42" s="435"/>
      <c r="AR42" s="435"/>
    </row>
    <row r="43" spans="1:44" ht="21" customHeight="1">
      <c r="A43" s="1284" t="s">
        <v>270</v>
      </c>
      <c r="B43" s="1284"/>
      <c r="C43" s="1284"/>
      <c r="D43" s="1284"/>
      <c r="E43" s="7689">
        <v>1</v>
      </c>
      <c r="F43" s="1284"/>
      <c r="G43" s="1284"/>
      <c r="H43" s="1284"/>
      <c r="I43" s="1284"/>
      <c r="J43" s="1284"/>
      <c r="K43" s="1284"/>
      <c r="L43" s="1285"/>
      <c r="M43" s="1286"/>
      <c r="N43" s="1286"/>
      <c r="O43" s="1286"/>
      <c r="P43" s="282"/>
      <c r="Q43" s="281"/>
      <c r="R43" s="276"/>
      <c r="S43" s="1258">
        <f>INDEX(PT_DIFFERENTIATION_NUM_NTAR,MATCH(A43,PT_DIFFERENTIATION_NTAR_ID,0))</f>
        <v>0</v>
      </c>
      <c r="T43" s="212" t="s">
        <v>237</v>
      </c>
      <c r="U43" s="214"/>
      <c r="V43" s="7675"/>
      <c r="W43" s="7676"/>
      <c r="X43" s="7676"/>
      <c r="Y43" s="7676"/>
      <c r="Z43" s="7676"/>
      <c r="AA43" s="7676"/>
      <c r="AB43" s="7676"/>
      <c r="AC43" s="7677"/>
      <c r="AD43" s="7675" t="str">
        <f>INDEX(PT_DIFFERENTIATION_NTAR,MATCH(A43,PT_DIFFERENTIATION_NTAR_ID,0))</f>
        <v/>
      </c>
      <c r="AE43" s="7676"/>
      <c r="AF43" s="7676"/>
      <c r="AG43" s="7676"/>
      <c r="AH43" s="7676"/>
      <c r="AI43" s="7676"/>
      <c r="AJ43" s="7676"/>
      <c r="AK43" s="7676"/>
      <c r="AL43" s="7677"/>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270</v>
      </c>
      <c r="B44" s="1284" t="s">
        <v>271</v>
      </c>
      <c r="C44" s="1284"/>
      <c r="D44" s="1284"/>
      <c r="E44" s="7690"/>
      <c r="F44" s="7689">
        <v>1</v>
      </c>
      <c r="G44" s="1284"/>
      <c r="H44" s="1284"/>
      <c r="I44" s="1284"/>
      <c r="J44" s="1284"/>
      <c r="K44" s="1284"/>
      <c r="L44" s="1285"/>
      <c r="M44" s="1286"/>
      <c r="N44" s="1286"/>
      <c r="O44" s="1286"/>
      <c r="P44" s="1254"/>
      <c r="Q44" s="273"/>
      <c r="R44" s="274"/>
      <c r="S44" s="1258" t="str">
        <f>INDEX(PT_DIFFERENTIATION_NUM_TER,MATCH(B44,PT_DIFFERENTIATION_TER_ID,0))</f>
        <v>.</v>
      </c>
      <c r="T44" s="224" t="s">
        <v>573</v>
      </c>
      <c r="U44" s="214"/>
      <c r="V44" s="7675"/>
      <c r="W44" s="7676"/>
      <c r="X44" s="7676"/>
      <c r="Y44" s="7676"/>
      <c r="Z44" s="7676"/>
      <c r="AA44" s="7676"/>
      <c r="AB44" s="7676"/>
      <c r="AC44" s="7677"/>
      <c r="AD44" s="7675" t="str">
        <f>INDEX(PT_DIFFERENTIATION_TER,MATCH(B44,PT_DIFFERENTIATION_TER_ID,0))</f>
        <v/>
      </c>
      <c r="AE44" s="7676"/>
      <c r="AF44" s="7676"/>
      <c r="AG44" s="7676"/>
      <c r="AH44" s="7676"/>
      <c r="AI44" s="7676"/>
      <c r="AJ44" s="7676"/>
      <c r="AK44" s="7676"/>
      <c r="AL44" s="7677"/>
      <c r="AM44" s="1182" t="s">
        <v>574</v>
      </c>
      <c r="AO44" s="424"/>
      <c r="AP44" s="424" t="str">
        <f t="shared" si="1"/>
        <v>Территория действия тарифа</v>
      </c>
      <c r="AQ44" s="424"/>
      <c r="AR44" s="424"/>
    </row>
    <row r="45" spans="1:44" ht="23.25" customHeight="1">
      <c r="A45" s="1284" t="s">
        <v>270</v>
      </c>
      <c r="B45" s="1284" t="s">
        <v>271</v>
      </c>
      <c r="C45" s="1284" t="s">
        <v>272</v>
      </c>
      <c r="D45" s="1284"/>
      <c r="E45" s="7690"/>
      <c r="F45" s="7690"/>
      <c r="G45" s="7689">
        <v>1</v>
      </c>
      <c r="H45" s="1284"/>
      <c r="I45" s="1284"/>
      <c r="J45" s="1284"/>
      <c r="K45" s="1284"/>
      <c r="L45" s="1285"/>
      <c r="M45" s="1286"/>
      <c r="N45" s="1286"/>
      <c r="O45" s="1286"/>
      <c r="P45" s="275"/>
      <c r="Q45" s="273"/>
      <c r="R45" s="274"/>
      <c r="S45" s="1258" t="str">
        <f>INDEX(PT_DIFFERENTIATION_NUM_CS,MATCH(C45,PT_DIFFERENTIATION_CS_ID,0))</f>
        <v>..</v>
      </c>
      <c r="T45" s="225" t="s">
        <v>575</v>
      </c>
      <c r="U45" s="214"/>
      <c r="V45" s="7675"/>
      <c r="W45" s="7676"/>
      <c r="X45" s="7676"/>
      <c r="Y45" s="7676"/>
      <c r="Z45" s="7676"/>
      <c r="AA45" s="7676"/>
      <c r="AB45" s="7676"/>
      <c r="AC45" s="7677"/>
      <c r="AD45" s="7675" t="str">
        <f>INDEX(PT_DIFFERENTIATION_CS,MATCH(C45,PT_DIFFERENTIATION_CS_ID,0))</f>
        <v/>
      </c>
      <c r="AE45" s="7676"/>
      <c r="AF45" s="7676"/>
      <c r="AG45" s="7676"/>
      <c r="AH45" s="7676"/>
      <c r="AI45" s="7676"/>
      <c r="AJ45" s="7676"/>
      <c r="AK45" s="7676"/>
      <c r="AL45" s="7677"/>
      <c r="AM45" s="1182" t="s">
        <v>576</v>
      </c>
      <c r="AO45" s="424"/>
      <c r="AP45" s="424" t="str">
        <f t="shared" si="1"/>
        <v xml:space="preserve">Наименование системы теплоснабжения </v>
      </c>
      <c r="AQ45" s="424"/>
      <c r="AR45" s="424"/>
    </row>
    <row r="46" spans="1:44" ht="21" customHeight="1">
      <c r="A46" s="1284" t="s">
        <v>270</v>
      </c>
      <c r="B46" s="1284" t="s">
        <v>271</v>
      </c>
      <c r="C46" s="1284" t="s">
        <v>272</v>
      </c>
      <c r="D46" s="1284" t="s">
        <v>273</v>
      </c>
      <c r="E46" s="7690"/>
      <c r="F46" s="7690"/>
      <c r="G46" s="7690"/>
      <c r="H46" s="7689">
        <v>1</v>
      </c>
      <c r="I46" s="1284"/>
      <c r="J46" s="1284"/>
      <c r="K46" s="1284"/>
      <c r="L46" s="1285"/>
      <c r="M46" s="1286"/>
      <c r="N46" s="1286"/>
      <c r="O46" s="1286"/>
      <c r="P46" s="275"/>
      <c r="Q46" s="273"/>
      <c r="R46" s="274"/>
      <c r="S46" s="1258" t="str">
        <f>INDEX(PT_DIFFERENTIATION_NUM_IST_TE,MATCH(D46,PT_DIFFERENTIATION_IST_TE_ID,0))</f>
        <v>...</v>
      </c>
      <c r="T46" s="226" t="s">
        <v>577</v>
      </c>
      <c r="U46" s="214"/>
      <c r="V46" s="7675"/>
      <c r="W46" s="7676"/>
      <c r="X46" s="7676"/>
      <c r="Y46" s="7676"/>
      <c r="Z46" s="7676"/>
      <c r="AA46" s="7676"/>
      <c r="AB46" s="7676"/>
      <c r="AC46" s="7677"/>
      <c r="AD46" s="7675" t="str">
        <f>INDEX(PT_DIFFERENTIATION_IST_TE,MATCH(D46,PT_DIFFERENTIATION_IST_TE_ID,0))</f>
        <v/>
      </c>
      <c r="AE46" s="7676"/>
      <c r="AF46" s="7676"/>
      <c r="AG46" s="7676"/>
      <c r="AH46" s="7676"/>
      <c r="AI46" s="7676"/>
      <c r="AJ46" s="7676"/>
      <c r="AK46" s="7676"/>
      <c r="AL46" s="7677"/>
      <c r="AM46" s="1182" t="s">
        <v>578</v>
      </c>
      <c r="AO46" s="424"/>
      <c r="AP46" s="424" t="str">
        <f t="shared" si="1"/>
        <v xml:space="preserve">Источник тепловой энергии  </v>
      </c>
      <c r="AQ46" s="424"/>
      <c r="AR46" s="424"/>
    </row>
    <row r="47" spans="1:44" ht="47.25" customHeight="1">
      <c r="A47" s="1284" t="s">
        <v>270</v>
      </c>
      <c r="B47" s="1284" t="s">
        <v>271</v>
      </c>
      <c r="C47" s="1284" t="s">
        <v>272</v>
      </c>
      <c r="D47" s="1284" t="s">
        <v>273</v>
      </c>
      <c r="E47" s="7690"/>
      <c r="F47" s="7690"/>
      <c r="G47" s="7690"/>
      <c r="H47" s="7690"/>
      <c r="I47" s="7687" t="str">
        <f>S46&amp;".1"</f>
        <v>....1</v>
      </c>
      <c r="J47" s="1284"/>
      <c r="K47" s="1284"/>
      <c r="L47" s="1285" t="s">
        <v>579</v>
      </c>
      <c r="P47" s="7688">
        <v>1</v>
      </c>
      <c r="Q47" s="1253"/>
      <c r="R47" s="277"/>
      <c r="S47" s="1258" t="str">
        <f>$I47</f>
        <v>....1</v>
      </c>
      <c r="T47" s="200" t="s">
        <v>580</v>
      </c>
      <c r="U47" s="214"/>
      <c r="V47" s="7678"/>
      <c r="W47" s="7679"/>
      <c r="X47" s="7679"/>
      <c r="Y47" s="7679"/>
      <c r="Z47" s="7679"/>
      <c r="AA47" s="7679"/>
      <c r="AB47" s="7679"/>
      <c r="AC47" s="7680"/>
      <c r="AD47" s="7678"/>
      <c r="AE47" s="7679"/>
      <c r="AF47" s="7679"/>
      <c r="AG47" s="7679"/>
      <c r="AH47" s="7679"/>
      <c r="AI47" s="7679"/>
      <c r="AJ47" s="7679"/>
      <c r="AK47" s="7679"/>
      <c r="AL47" s="7680"/>
      <c r="AM47" s="1182" t="s">
        <v>581</v>
      </c>
      <c r="AO47" s="424"/>
      <c r="AP47" s="424" t="str">
        <f t="shared" si="1"/>
        <v>Схема подключения теплопотребляющей установки к коллектору источника тепловой энергии</v>
      </c>
      <c r="AQ47" s="424"/>
      <c r="AR47" s="424"/>
    </row>
    <row r="48" spans="1:44" ht="21" customHeight="1">
      <c r="A48" s="1284" t="s">
        <v>270</v>
      </c>
      <c r="B48" s="1284" t="s">
        <v>271</v>
      </c>
      <c r="C48" s="1284" t="s">
        <v>272</v>
      </c>
      <c r="D48" s="1284" t="s">
        <v>273</v>
      </c>
      <c r="E48" s="7690"/>
      <c r="F48" s="7690"/>
      <c r="G48" s="7690"/>
      <c r="H48" s="7690"/>
      <c r="I48" s="7710"/>
      <c r="J48" s="7687" t="str">
        <f>I47&amp;".1"</f>
        <v>....1.1</v>
      </c>
      <c r="K48" s="1284"/>
      <c r="L48" s="1285" t="s">
        <v>582</v>
      </c>
      <c r="P48" s="7688"/>
      <c r="Q48" s="7688">
        <v>1</v>
      </c>
      <c r="R48" s="278"/>
      <c r="S48" s="1258" t="str">
        <f>$J48</f>
        <v>....1.1</v>
      </c>
      <c r="T48" s="201" t="s">
        <v>583</v>
      </c>
      <c r="U48" s="214"/>
      <c r="V48" s="7678"/>
      <c r="W48" s="7679"/>
      <c r="X48" s="7679"/>
      <c r="Y48" s="7679"/>
      <c r="Z48" s="7679"/>
      <c r="AA48" s="7679"/>
      <c r="AB48" s="7679"/>
      <c r="AC48" s="7680"/>
      <c r="AD48" s="7678"/>
      <c r="AE48" s="7679"/>
      <c r="AF48" s="7679"/>
      <c r="AG48" s="7679"/>
      <c r="AH48" s="7679"/>
      <c r="AI48" s="7679"/>
      <c r="AJ48" s="7679"/>
      <c r="AK48" s="7679"/>
      <c r="AL48" s="7680"/>
      <c r="AM48" s="1182" t="s">
        <v>584</v>
      </c>
      <c r="AO48" s="424"/>
      <c r="AP48" s="424" t="str">
        <f t="shared" si="1"/>
        <v>Группа потребителей</v>
      </c>
      <c r="AQ48" s="424"/>
      <c r="AR48" s="424"/>
    </row>
    <row r="49" spans="1:44" ht="21" customHeight="1">
      <c r="A49" s="1284" t="s">
        <v>270</v>
      </c>
      <c r="B49" s="1284" t="s">
        <v>271</v>
      </c>
      <c r="C49" s="1284" t="s">
        <v>272</v>
      </c>
      <c r="D49" s="1284" t="s">
        <v>273</v>
      </c>
      <c r="E49" s="7690"/>
      <c r="F49" s="7690"/>
      <c r="G49" s="7690"/>
      <c r="H49" s="7690"/>
      <c r="I49" s="7710"/>
      <c r="J49" s="7710"/>
      <c r="K49" s="7687" t="str">
        <f>J48&amp;".1"</f>
        <v>....1.1.1</v>
      </c>
      <c r="L49" s="1285" t="s">
        <v>585</v>
      </c>
      <c r="P49" s="7688"/>
      <c r="Q49" s="7688"/>
      <c r="R49" s="278">
        <v>1</v>
      </c>
      <c r="S49" s="1258" t="str">
        <f>$K49</f>
        <v>....1.1.1</v>
      </c>
      <c r="T49" s="1269"/>
      <c r="U49" s="214"/>
      <c r="V49" s="666"/>
      <c r="W49" s="246"/>
      <c r="X49" s="666"/>
      <c r="Y49" s="1181"/>
      <c r="Z49" s="7692"/>
      <c r="AA49" s="7540" t="s">
        <v>60</v>
      </c>
      <c r="AB49" s="7692"/>
      <c r="AC49" s="7540" t="s">
        <v>60</v>
      </c>
      <c r="AD49" s="666"/>
      <c r="AE49" s="246"/>
      <c r="AF49" s="666"/>
      <c r="AG49" s="1181"/>
      <c r="AH49" s="7692"/>
      <c r="AI49" s="7540" t="s">
        <v>60</v>
      </c>
      <c r="AJ49" s="7711"/>
      <c r="AK49" s="7540" t="s">
        <v>60</v>
      </c>
      <c r="AL49" s="1270"/>
      <c r="AM49" s="7684" t="s">
        <v>586</v>
      </c>
      <c r="AN49" s="435" t="e">
        <f ca="1">STRCHECKDATE(V50:AL50)</f>
        <v>#NAME?</v>
      </c>
      <c r="AO49" s="424"/>
      <c r="AP49" s="424" t="str">
        <f t="shared" si="1"/>
        <v/>
      </c>
      <c r="AQ49" s="424"/>
      <c r="AR49" s="424"/>
    </row>
    <row r="50" spans="1:44" ht="0.75" customHeight="1">
      <c r="A50" s="1284" t="s">
        <v>270</v>
      </c>
      <c r="B50" s="1284" t="s">
        <v>271</v>
      </c>
      <c r="C50" s="1284" t="s">
        <v>272</v>
      </c>
      <c r="D50" s="1284" t="s">
        <v>273</v>
      </c>
      <c r="E50" s="7690"/>
      <c r="F50" s="7690"/>
      <c r="G50" s="7690"/>
      <c r="H50" s="7690"/>
      <c r="I50" s="7710"/>
      <c r="J50" s="7710"/>
      <c r="K50" s="7687"/>
      <c r="L50" s="1285"/>
      <c r="P50" s="7688"/>
      <c r="Q50" s="7688"/>
      <c r="R50" s="278"/>
      <c r="S50" s="1264"/>
      <c r="T50" s="214"/>
      <c r="U50" s="214"/>
      <c r="V50" s="246"/>
      <c r="W50" s="246"/>
      <c r="X50" s="246"/>
      <c r="Y50" s="250" t="str">
        <f>Z49&amp;"-"&amp;AB49</f>
        <v>-</v>
      </c>
      <c r="Z50" s="7693"/>
      <c r="AA50" s="7540"/>
      <c r="AB50" s="7693"/>
      <c r="AC50" s="7540"/>
      <c r="AD50" s="246"/>
      <c r="AE50" s="246"/>
      <c r="AF50" s="246"/>
      <c r="AG50" s="250" t="str">
        <f>AH49&amp;"-"&amp;AJ49</f>
        <v>-</v>
      </c>
      <c r="AH50" s="7693"/>
      <c r="AI50" s="7540"/>
      <c r="AJ50" s="7712"/>
      <c r="AK50" s="7540"/>
      <c r="AL50" s="1271"/>
      <c r="AM50" s="7685"/>
      <c r="AO50" s="424"/>
      <c r="AP50" s="424" t="str">
        <f t="shared" si="1"/>
        <v/>
      </c>
      <c r="AQ50" s="424"/>
      <c r="AR50" s="424"/>
    </row>
    <row r="51" spans="1:44" ht="11.25" customHeight="1">
      <c r="A51" s="1284" t="s">
        <v>270</v>
      </c>
      <c r="B51" s="1284" t="s">
        <v>271</v>
      </c>
      <c r="C51" s="1284" t="s">
        <v>272</v>
      </c>
      <c r="D51" s="1284" t="s">
        <v>273</v>
      </c>
      <c r="E51" s="7690"/>
      <c r="F51" s="7690"/>
      <c r="G51" s="7690"/>
      <c r="H51" s="7690"/>
      <c r="I51" s="7710"/>
      <c r="J51" s="7687"/>
      <c r="K51" s="1284"/>
      <c r="L51" s="1285"/>
      <c r="P51" s="7688"/>
      <c r="Q51" s="7688"/>
      <c r="R51" s="277"/>
      <c r="S51" s="1203"/>
      <c r="T51" s="203" t="s">
        <v>587</v>
      </c>
      <c r="U51" s="291"/>
      <c r="V51" s="291"/>
      <c r="W51" s="291"/>
      <c r="X51" s="291"/>
      <c r="Y51" s="291"/>
      <c r="Z51" s="291"/>
      <c r="AA51" s="291"/>
      <c r="AB51" s="291"/>
      <c r="AC51" s="291"/>
      <c r="AD51" s="291"/>
      <c r="AE51" s="291"/>
      <c r="AF51" s="291"/>
      <c r="AG51" s="291"/>
      <c r="AH51" s="291"/>
      <c r="AI51" s="291"/>
      <c r="AJ51" s="291"/>
      <c r="AK51" s="291"/>
      <c r="AL51" s="245"/>
      <c r="AM51" s="7686"/>
      <c r="AO51" s="424"/>
      <c r="AP51" s="424" t="str">
        <f t="shared" si="1"/>
        <v>Добавить вид теплоносителя (параметры теплоносителя)</v>
      </c>
      <c r="AQ51" s="424"/>
      <c r="AR51" s="424"/>
    </row>
    <row r="52" spans="1:44" ht="11.25" customHeight="1">
      <c r="A52" s="1284" t="s">
        <v>270</v>
      </c>
      <c r="B52" s="1284" t="s">
        <v>271</v>
      </c>
      <c r="C52" s="1284" t="s">
        <v>272</v>
      </c>
      <c r="D52" s="1284" t="s">
        <v>273</v>
      </c>
      <c r="E52" s="7690"/>
      <c r="F52" s="7690"/>
      <c r="G52" s="7690"/>
      <c r="H52" s="7690"/>
      <c r="I52" s="7687"/>
      <c r="J52" s="1284"/>
      <c r="K52" s="1284"/>
      <c r="L52" s="1285"/>
      <c r="P52" s="7688"/>
      <c r="Q52" s="1253"/>
      <c r="R52" s="277"/>
      <c r="S52" s="1203"/>
      <c r="T52" s="202" t="s">
        <v>588</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270</v>
      </c>
      <c r="B53" s="1284" t="s">
        <v>271</v>
      </c>
      <c r="C53" s="1284" t="s">
        <v>272</v>
      </c>
      <c r="D53" s="1284" t="s">
        <v>273</v>
      </c>
      <c r="E53" s="7690"/>
      <c r="F53" s="7690"/>
      <c r="G53" s="7690"/>
      <c r="H53" s="7689"/>
      <c r="I53" s="1284"/>
      <c r="J53" s="1284"/>
      <c r="K53" s="1284"/>
      <c r="L53" s="1285"/>
      <c r="M53" s="1286"/>
      <c r="N53" s="1286"/>
      <c r="O53" s="460"/>
      <c r="P53" s="281"/>
      <c r="Q53" s="299"/>
      <c r="R53" s="276"/>
      <c r="S53" s="1203"/>
      <c r="T53" s="288" t="s">
        <v>589</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270</v>
      </c>
      <c r="B54" s="1265" t="s">
        <v>271</v>
      </c>
      <c r="C54" s="1265" t="s">
        <v>272</v>
      </c>
      <c r="D54" s="1237"/>
      <c r="E54" s="7690"/>
      <c r="F54" s="7690"/>
      <c r="G54" s="7689"/>
      <c r="H54" s="1237"/>
      <c r="I54" s="1237"/>
      <c r="J54" s="1237"/>
      <c r="K54" s="1237"/>
      <c r="L54" s="1261"/>
      <c r="M54" s="1238"/>
      <c r="N54" s="1238"/>
      <c r="P54" s="1239"/>
      <c r="Q54" s="1240"/>
      <c r="R54" s="1239"/>
      <c r="S54" s="1245"/>
      <c r="T54" s="1248" t="s">
        <v>590</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270</v>
      </c>
      <c r="B55" s="1265" t="s">
        <v>271</v>
      </c>
      <c r="C55" s="1237"/>
      <c r="D55" s="1237"/>
      <c r="E55" s="7690"/>
      <c r="F55" s="7689"/>
      <c r="G55" s="1237"/>
      <c r="H55" s="1237"/>
      <c r="I55" s="1237"/>
      <c r="J55" s="1237"/>
      <c r="K55" s="1237"/>
      <c r="L55" s="1261"/>
      <c r="M55" s="1244"/>
      <c r="N55" s="1244"/>
      <c r="P55" s="1239"/>
      <c r="Q55" s="1240"/>
      <c r="R55" s="1239"/>
      <c r="S55" s="1245"/>
      <c r="T55" s="1248" t="s">
        <v>325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270</v>
      </c>
      <c r="B56" s="1265"/>
      <c r="C56" s="1265"/>
      <c r="D56" s="1265"/>
      <c r="E56" s="7689"/>
      <c r="F56" s="1265"/>
      <c r="G56" s="1265"/>
      <c r="H56" s="1265"/>
      <c r="I56" s="1265"/>
      <c r="J56" s="1265"/>
      <c r="K56" s="1265"/>
      <c r="L56" s="1268"/>
      <c r="M56" s="1244"/>
      <c r="N56" s="1244"/>
      <c r="O56" s="442"/>
      <c r="P56" s="308"/>
      <c r="Q56" s="1266"/>
      <c r="R56" s="308"/>
      <c r="S56" s="1245"/>
      <c r="T56" s="1248" t="s">
        <v>326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402</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7709"/>
      <c r="U59" s="7709"/>
      <c r="V59" s="7709"/>
      <c r="W59" s="7709"/>
      <c r="X59" s="7709"/>
      <c r="Y59" s="7709"/>
      <c r="Z59" s="7709"/>
      <c r="AA59" s="7709"/>
      <c r="AB59" s="7709"/>
      <c r="AC59" s="7709"/>
      <c r="AD59" s="7709"/>
      <c r="AE59" s="7709"/>
      <c r="AF59" s="7709"/>
      <c r="AG59" s="7709"/>
      <c r="AH59" s="7709"/>
      <c r="AI59" s="7709"/>
      <c r="AJ59" s="7709"/>
      <c r="AK59" s="7709"/>
      <c r="AL59" s="7709"/>
      <c r="AM59" s="7709"/>
    </row>
    <row r="60" spans="1:44" ht="62.25" customHeight="1">
      <c r="O60" s="460"/>
      <c r="T60" s="7709"/>
      <c r="U60" s="7709"/>
      <c r="V60" s="7709"/>
      <c r="W60" s="7709"/>
      <c r="X60" s="7709"/>
      <c r="Y60" s="7709"/>
      <c r="Z60" s="7709"/>
      <c r="AA60" s="7709"/>
      <c r="AB60" s="7709"/>
      <c r="AC60" s="7709"/>
      <c r="AD60" s="7709"/>
      <c r="AE60" s="7709"/>
      <c r="AF60" s="7709"/>
      <c r="AG60" s="7709"/>
      <c r="AH60" s="7709"/>
      <c r="AI60" s="7709"/>
      <c r="AJ60" s="7709"/>
      <c r="AK60" s="7709"/>
      <c r="AL60" s="7709"/>
      <c r="AM60" s="7709"/>
    </row>
    <row r="61" spans="1:44" ht="14.25" customHeight="1">
      <c r="O61" s="460"/>
    </row>
    <row r="62" spans="1:44" ht="18" customHeight="1">
      <c r="O62" s="460"/>
      <c r="S62" s="1169"/>
      <c r="T62" s="7709"/>
      <c r="U62" s="7709"/>
      <c r="V62" s="7709"/>
      <c r="W62" s="7709"/>
      <c r="X62" s="7709"/>
      <c r="Y62" s="7709"/>
      <c r="Z62" s="7709"/>
      <c r="AA62" s="7709"/>
      <c r="AB62" s="7709"/>
      <c r="AC62" s="7709"/>
      <c r="AD62" s="7709"/>
      <c r="AE62" s="7709"/>
      <c r="AF62" s="7709"/>
      <c r="AG62" s="7709"/>
      <c r="AH62" s="7709"/>
      <c r="AI62" s="7709"/>
      <c r="AJ62" s="7709"/>
      <c r="AK62" s="7709"/>
      <c r="AL62" s="7709"/>
      <c r="AM62" s="7709"/>
    </row>
    <row r="63" spans="1:44" ht="18" customHeight="1">
      <c r="O63" s="460"/>
      <c r="T63" s="7709"/>
      <c r="U63" s="7709"/>
      <c r="V63" s="7709"/>
      <c r="W63" s="7709"/>
      <c r="X63" s="7709"/>
      <c r="Y63" s="7709"/>
      <c r="Z63" s="7709"/>
      <c r="AA63" s="7709"/>
      <c r="AB63" s="7709"/>
      <c r="AC63" s="7709"/>
      <c r="AD63" s="7709"/>
      <c r="AE63" s="7709"/>
      <c r="AF63" s="7709"/>
      <c r="AG63" s="7709"/>
      <c r="AH63" s="7709"/>
      <c r="AI63" s="7709"/>
      <c r="AJ63" s="7709"/>
      <c r="AK63" s="7709"/>
      <c r="AL63" s="7709"/>
      <c r="AM63" s="7709"/>
    </row>
    <row r="64" spans="1:44" ht="27.75" customHeight="1">
      <c r="O64" s="460"/>
      <c r="S64" s="1169"/>
      <c r="T64" s="7709"/>
      <c r="U64" s="7709"/>
      <c r="V64" s="7709"/>
      <c r="W64" s="7709"/>
      <c r="X64" s="7709"/>
      <c r="Y64" s="7709"/>
      <c r="Z64" s="7709"/>
      <c r="AA64" s="7709"/>
      <c r="AB64" s="7709"/>
      <c r="AC64" s="7709"/>
      <c r="AD64" s="7709"/>
      <c r="AE64" s="7709"/>
      <c r="AF64" s="7709"/>
      <c r="AG64" s="7709"/>
      <c r="AH64" s="7709"/>
      <c r="AI64" s="7709"/>
      <c r="AJ64" s="7709"/>
      <c r="AK64" s="7709"/>
      <c r="AL64" s="7709"/>
      <c r="AM64" s="7709"/>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5" hidden="1" customWidth="1"/>
    <col min="13" max="14" width="12.28515625" style="1696" hidden="1" customWidth="1"/>
    <col min="15" max="15" width="23.42578125" style="1696" hidden="1" customWidth="1"/>
    <col min="16" max="16" width="3.7109375" style="1817" customWidth="1"/>
    <col min="17" max="18" width="3.7109375" style="265" customWidth="1"/>
    <col min="19" max="19" width="12.7109375" style="1820" customWidth="1"/>
    <col min="20" max="20" width="32" style="1555" customWidth="1"/>
    <col min="21" max="21" width="0.7109375" style="1555" hidden="1" customWidth="1"/>
    <col min="22" max="22" width="1.7109375" style="1555" hidden="1" customWidth="1"/>
    <col min="23" max="23" width="24.7109375" style="1555" hidden="1" customWidth="1"/>
    <col min="24" max="25" width="0.14062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0.140625" style="1555" customWidth="1"/>
    <col min="31" max="31" width="24.7109375" style="1555" customWidth="1"/>
    <col min="32" max="33" width="0.14062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7689">
        <v>1</v>
      </c>
      <c r="F2" s="1284"/>
      <c r="G2" s="1284"/>
      <c r="H2" s="1284"/>
      <c r="I2" s="1284"/>
      <c r="J2" s="1284"/>
      <c r="K2" s="1284"/>
      <c r="L2" s="1285"/>
      <c r="M2" s="1286"/>
      <c r="N2" s="1286"/>
      <c r="O2" s="1286"/>
      <c r="P2" s="282"/>
      <c r="Q2" s="281"/>
      <c r="R2" s="276"/>
      <c r="S2" s="1258" t="e">
        <f>INDEX(PT_DIFFERENTIATION_NUM_NTAR,MATCH(A2,PT_DIFFERENTIATION_NTAR_ID,0))</f>
        <v>#N/A</v>
      </c>
      <c r="T2" s="212" t="s">
        <v>237</v>
      </c>
      <c r="U2" s="214"/>
      <c r="V2" s="7675"/>
      <c r="W2" s="7676"/>
      <c r="X2" s="7676"/>
      <c r="Y2" s="7676"/>
      <c r="Z2" s="7676"/>
      <c r="AA2" s="7676"/>
      <c r="AB2" s="7676"/>
      <c r="AC2" s="7677"/>
      <c r="AD2" s="7675" t="e">
        <f>INDEX(PT_DIFFERENTIATION_NTAR,MATCH(A2,PT_DIFFERENTIATION_NTAR_ID,0))</f>
        <v>#N/A</v>
      </c>
      <c r="AE2" s="7676"/>
      <c r="AF2" s="7676"/>
      <c r="AG2" s="7676"/>
      <c r="AH2" s="7676"/>
      <c r="AI2" s="7676"/>
      <c r="AJ2" s="7676"/>
      <c r="AK2" s="7676"/>
      <c r="AL2" s="7677"/>
      <c r="AM2" s="1182" t="s">
        <v>572</v>
      </c>
      <c r="AO2" s="424"/>
      <c r="AP2" s="424" t="str">
        <f t="shared" ref="AP2:AP15" si="0">IF(T2="","",T2)</f>
        <v>Наименование тарифа</v>
      </c>
      <c r="AQ2" s="424"/>
      <c r="AR2" s="424"/>
    </row>
    <row r="3" spans="1:44" ht="21" hidden="1" customHeight="1">
      <c r="A3" s="1284"/>
      <c r="B3" s="1284"/>
      <c r="C3" s="1284"/>
      <c r="D3" s="1284"/>
      <c r="E3" s="7690"/>
      <c r="F3" s="7689">
        <v>1</v>
      </c>
      <c r="G3" s="1284"/>
      <c r="H3" s="1284"/>
      <c r="I3" s="1284"/>
      <c r="J3" s="1284"/>
      <c r="K3" s="1284"/>
      <c r="L3" s="1285"/>
      <c r="M3" s="1286"/>
      <c r="N3" s="1286"/>
      <c r="O3" s="1286"/>
      <c r="P3" s="1254"/>
      <c r="Q3" s="273"/>
      <c r="R3" s="274"/>
      <c r="S3" s="1258" t="e">
        <f>INDEX(PT_DIFFERENTIATION_NUM_TER,MATCH(B3,PT_DIFFERENTIATION_TER_ID,0))</f>
        <v>#N/A</v>
      </c>
      <c r="T3" s="224" t="s">
        <v>573</v>
      </c>
      <c r="U3" s="214"/>
      <c r="V3" s="7675"/>
      <c r="W3" s="7676"/>
      <c r="X3" s="7676"/>
      <c r="Y3" s="7676"/>
      <c r="Z3" s="7676"/>
      <c r="AA3" s="7676"/>
      <c r="AB3" s="7676"/>
      <c r="AC3" s="7677"/>
      <c r="AD3" s="7675" t="e">
        <f>INDEX(PT_DIFFERENTIATION_TER,MATCH(B3,PT_DIFFERENTIATION_TER_ID,0))</f>
        <v>#N/A</v>
      </c>
      <c r="AE3" s="7676"/>
      <c r="AF3" s="7676"/>
      <c r="AG3" s="7676"/>
      <c r="AH3" s="7676"/>
      <c r="AI3" s="7676"/>
      <c r="AJ3" s="7676"/>
      <c r="AK3" s="7676"/>
      <c r="AL3" s="7677"/>
      <c r="AM3" s="1182" t="s">
        <v>574</v>
      </c>
      <c r="AO3" s="424"/>
      <c r="AP3" s="424" t="str">
        <f t="shared" si="0"/>
        <v>Территория действия тарифа</v>
      </c>
      <c r="AQ3" s="424"/>
      <c r="AR3" s="424"/>
    </row>
    <row r="4" spans="1:44" ht="23.25" hidden="1" customHeight="1">
      <c r="A4" s="1284"/>
      <c r="B4" s="1284"/>
      <c r="C4" s="1284"/>
      <c r="D4" s="1284"/>
      <c r="E4" s="7690"/>
      <c r="F4" s="7690"/>
      <c r="G4" s="7689">
        <v>1</v>
      </c>
      <c r="H4" s="1284"/>
      <c r="I4" s="1284"/>
      <c r="J4" s="1284"/>
      <c r="K4" s="1284"/>
      <c r="L4" s="1285"/>
      <c r="M4" s="1286"/>
      <c r="N4" s="1286"/>
      <c r="O4" s="1286"/>
      <c r="P4" s="275"/>
      <c r="Q4" s="273"/>
      <c r="R4" s="274"/>
      <c r="S4" s="1258" t="e">
        <f>INDEX(PT_DIFFERENTIATION_NUM_CS,MATCH(C4,PT_DIFFERENTIATION_CS_ID,0))</f>
        <v>#N/A</v>
      </c>
      <c r="T4" s="225" t="s">
        <v>575</v>
      </c>
      <c r="U4" s="214"/>
      <c r="V4" s="7675"/>
      <c r="W4" s="7676"/>
      <c r="X4" s="7676"/>
      <c r="Y4" s="7676"/>
      <c r="Z4" s="7676"/>
      <c r="AA4" s="7676"/>
      <c r="AB4" s="7676"/>
      <c r="AC4" s="7677"/>
      <c r="AD4" s="7675" t="e">
        <f>INDEX(PT_DIFFERENTIATION_CS,MATCH(C4,PT_DIFFERENTIATION_CS_ID,0))</f>
        <v>#N/A</v>
      </c>
      <c r="AE4" s="7676"/>
      <c r="AF4" s="7676"/>
      <c r="AG4" s="7676"/>
      <c r="AH4" s="7676"/>
      <c r="AI4" s="7676"/>
      <c r="AJ4" s="7676"/>
      <c r="AK4" s="7676"/>
      <c r="AL4" s="7677"/>
      <c r="AM4" s="1182" t="s">
        <v>576</v>
      </c>
      <c r="AO4" s="424"/>
      <c r="AP4" s="424" t="str">
        <f t="shared" si="0"/>
        <v xml:space="preserve">Наименование системы теплоснабжения </v>
      </c>
      <c r="AQ4" s="424"/>
      <c r="AR4" s="424"/>
    </row>
    <row r="5" spans="1:44" ht="21" hidden="1" customHeight="1">
      <c r="A5" s="1284"/>
      <c r="B5" s="1284"/>
      <c r="C5" s="1284"/>
      <c r="D5" s="1284"/>
      <c r="E5" s="7690"/>
      <c r="F5" s="7690"/>
      <c r="G5" s="7690"/>
      <c r="H5" s="7689">
        <v>1</v>
      </c>
      <c r="I5" s="1284"/>
      <c r="J5" s="1284"/>
      <c r="K5" s="1284"/>
      <c r="L5" s="1285"/>
      <c r="M5" s="1286"/>
      <c r="N5" s="1286"/>
      <c r="O5" s="1286"/>
      <c r="P5" s="275"/>
      <c r="Q5" s="273"/>
      <c r="R5" s="274"/>
      <c r="S5" s="1258" t="e">
        <f>INDEX(PT_DIFFERENTIATION_NUM_IST_TE,MATCH(D5,PT_DIFFERENTIATION_IST_TE_ID,0))</f>
        <v>#N/A</v>
      </c>
      <c r="T5" s="226" t="s">
        <v>577</v>
      </c>
      <c r="U5" s="214"/>
      <c r="V5" s="7675"/>
      <c r="W5" s="7676"/>
      <c r="X5" s="7676"/>
      <c r="Y5" s="7676"/>
      <c r="Z5" s="7676"/>
      <c r="AA5" s="7676"/>
      <c r="AB5" s="7676"/>
      <c r="AC5" s="7677"/>
      <c r="AD5" s="7675" t="e">
        <f>INDEX(PT_DIFFERENTIATION_IST_TE,MATCH(D5,PT_DIFFERENTIATION_IST_TE_ID,0))</f>
        <v>#N/A</v>
      </c>
      <c r="AE5" s="7676"/>
      <c r="AF5" s="7676"/>
      <c r="AG5" s="7676"/>
      <c r="AH5" s="7676"/>
      <c r="AI5" s="7676"/>
      <c r="AJ5" s="7676"/>
      <c r="AK5" s="7676"/>
      <c r="AL5" s="7677"/>
      <c r="AM5" s="1182" t="s">
        <v>578</v>
      </c>
      <c r="AO5" s="424"/>
      <c r="AP5" s="424" t="str">
        <f t="shared" si="0"/>
        <v xml:space="preserve">Источник тепловой энергии  </v>
      </c>
      <c r="AQ5" s="424"/>
      <c r="AR5" s="424"/>
    </row>
    <row r="6" spans="1:44" ht="47.25" hidden="1" customHeight="1">
      <c r="A6" s="1284"/>
      <c r="B6" s="1284"/>
      <c r="C6" s="1284"/>
      <c r="D6" s="1284"/>
      <c r="E6" s="7690"/>
      <c r="F6" s="7690"/>
      <c r="G6" s="7690"/>
      <c r="H6" s="7690"/>
      <c r="I6" s="7687" t="e">
        <f>S5&amp;".1"</f>
        <v>#N/A</v>
      </c>
      <c r="J6" s="1284"/>
      <c r="K6" s="1284"/>
      <c r="L6" s="1285" t="s">
        <v>579</v>
      </c>
      <c r="M6" s="460"/>
      <c r="P6" s="7688">
        <v>1</v>
      </c>
      <c r="Q6" s="1253"/>
      <c r="R6" s="277"/>
      <c r="S6" s="1258" t="e">
        <f>$I6</f>
        <v>#N/A</v>
      </c>
      <c r="T6" s="200" t="s">
        <v>580</v>
      </c>
      <c r="U6" s="214"/>
      <c r="V6" s="7678"/>
      <c r="W6" s="7679"/>
      <c r="X6" s="7679"/>
      <c r="Y6" s="7679"/>
      <c r="Z6" s="7679"/>
      <c r="AA6" s="7679"/>
      <c r="AB6" s="7679"/>
      <c r="AC6" s="7680"/>
      <c r="AD6" s="7678"/>
      <c r="AE6" s="7679"/>
      <c r="AF6" s="7679"/>
      <c r="AG6" s="7679"/>
      <c r="AH6" s="7679"/>
      <c r="AI6" s="7679"/>
      <c r="AJ6" s="7679"/>
      <c r="AK6" s="7679"/>
      <c r="AL6" s="7680"/>
      <c r="AM6" s="1182" t="s">
        <v>581</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7690"/>
      <c r="F7" s="7690"/>
      <c r="G7" s="7690"/>
      <c r="H7" s="7690"/>
      <c r="I7" s="7710"/>
      <c r="J7" s="7687" t="e">
        <f>I6&amp;".1"</f>
        <v>#N/A</v>
      </c>
      <c r="K7" s="1284"/>
      <c r="L7" s="1285" t="s">
        <v>582</v>
      </c>
      <c r="M7" s="460"/>
      <c r="N7" s="1287"/>
      <c r="P7" s="7688"/>
      <c r="Q7" s="7688">
        <v>1</v>
      </c>
      <c r="R7" s="278"/>
      <c r="S7" s="1258" t="e">
        <f>$J7</f>
        <v>#N/A</v>
      </c>
      <c r="T7" s="201" t="s">
        <v>583</v>
      </c>
      <c r="U7" s="214"/>
      <c r="V7" s="7678"/>
      <c r="W7" s="7679"/>
      <c r="X7" s="7679"/>
      <c r="Y7" s="7679"/>
      <c r="Z7" s="7679"/>
      <c r="AA7" s="7679"/>
      <c r="AB7" s="7679"/>
      <c r="AC7" s="7680"/>
      <c r="AD7" s="7678"/>
      <c r="AE7" s="7679"/>
      <c r="AF7" s="7679"/>
      <c r="AG7" s="7679"/>
      <c r="AH7" s="7679"/>
      <c r="AI7" s="7679"/>
      <c r="AJ7" s="7679"/>
      <c r="AK7" s="7679"/>
      <c r="AL7" s="7680"/>
      <c r="AM7" s="1182" t="s">
        <v>584</v>
      </c>
      <c r="AO7" s="424"/>
      <c r="AP7" s="424" t="str">
        <f t="shared" si="0"/>
        <v>Группа потребителей</v>
      </c>
      <c r="AQ7" s="424"/>
      <c r="AR7" s="424"/>
    </row>
    <row r="8" spans="1:44" ht="21" hidden="1" customHeight="1">
      <c r="A8" s="1284"/>
      <c r="B8" s="1284"/>
      <c r="C8" s="1284"/>
      <c r="D8" s="1284"/>
      <c r="E8" s="7690"/>
      <c r="F8" s="7690"/>
      <c r="G8" s="7690"/>
      <c r="H8" s="7690"/>
      <c r="I8" s="7710"/>
      <c r="J8" s="7710"/>
      <c r="K8" s="7687" t="e">
        <f>J7&amp;".1"</f>
        <v>#N/A</v>
      </c>
      <c r="L8" s="1285" t="s">
        <v>585</v>
      </c>
      <c r="M8" s="460"/>
      <c r="N8" s="1287"/>
      <c r="O8" s="1287"/>
      <c r="P8" s="7688"/>
      <c r="Q8" s="7688"/>
      <c r="R8" s="278">
        <v>1</v>
      </c>
      <c r="S8" s="1258" t="e">
        <f>$K8</f>
        <v>#N/A</v>
      </c>
      <c r="T8" s="1269"/>
      <c r="U8" s="214"/>
      <c r="V8" s="246"/>
      <c r="W8" s="666"/>
      <c r="X8" s="246"/>
      <c r="Y8" s="313"/>
      <c r="Z8" s="7692"/>
      <c r="AA8" s="7540" t="s">
        <v>60</v>
      </c>
      <c r="AB8" s="7692"/>
      <c r="AC8" s="7540" t="s">
        <v>60</v>
      </c>
      <c r="AD8" s="246"/>
      <c r="AE8" s="666"/>
      <c r="AF8" s="246"/>
      <c r="AG8" s="313"/>
      <c r="AH8" s="7692"/>
      <c r="AI8" s="7540" t="s">
        <v>60</v>
      </c>
      <c r="AJ8" s="7692"/>
      <c r="AK8" s="7540" t="s">
        <v>60</v>
      </c>
      <c r="AL8" s="246"/>
      <c r="AM8" s="7684" t="s">
        <v>586</v>
      </c>
      <c r="AN8" s="435" t="e">
        <f ca="1">STRCHECKDATE(V9:AL9)</f>
        <v>#NAME?</v>
      </c>
      <c r="AO8" s="424"/>
      <c r="AP8" s="424" t="str">
        <f t="shared" si="0"/>
        <v/>
      </c>
      <c r="AQ8" s="424"/>
      <c r="AR8" s="424"/>
    </row>
    <row r="9" spans="1:44" ht="0.75" hidden="1" customHeight="1">
      <c r="A9" s="1284"/>
      <c r="B9" s="1284"/>
      <c r="C9" s="1284"/>
      <c r="D9" s="1284"/>
      <c r="E9" s="7690"/>
      <c r="F9" s="7690"/>
      <c r="G9" s="7690"/>
      <c r="H9" s="7690"/>
      <c r="I9" s="7710"/>
      <c r="J9" s="7710"/>
      <c r="K9" s="7687"/>
      <c r="L9" s="1285"/>
      <c r="M9" s="460"/>
      <c r="N9" s="1287"/>
      <c r="O9" s="1287"/>
      <c r="P9" s="7688"/>
      <c r="Q9" s="7688"/>
      <c r="R9" s="278"/>
      <c r="S9" s="1264"/>
      <c r="T9" s="214"/>
      <c r="U9" s="214"/>
      <c r="V9" s="246"/>
      <c r="W9" s="246"/>
      <c r="X9" s="246"/>
      <c r="Y9" s="250" t="str">
        <f>Z8&amp;"-"&amp;AB8</f>
        <v>-</v>
      </c>
      <c r="Z9" s="7693"/>
      <c r="AA9" s="7540"/>
      <c r="AB9" s="7693"/>
      <c r="AC9" s="7540"/>
      <c r="AD9" s="246"/>
      <c r="AE9" s="246"/>
      <c r="AF9" s="246"/>
      <c r="AG9" s="250" t="str">
        <f>AH8&amp;"-"&amp;AJ8</f>
        <v>-</v>
      </c>
      <c r="AH9" s="7693"/>
      <c r="AI9" s="7540"/>
      <c r="AJ9" s="7693"/>
      <c r="AK9" s="7540"/>
      <c r="AL9" s="246"/>
      <c r="AM9" s="7685"/>
      <c r="AO9" s="424"/>
      <c r="AP9" s="424" t="str">
        <f t="shared" si="0"/>
        <v/>
      </c>
      <c r="AQ9" s="424"/>
      <c r="AR9" s="424"/>
    </row>
    <row r="10" spans="1:44" ht="15" hidden="1" customHeight="1">
      <c r="A10" s="1284"/>
      <c r="B10" s="1284"/>
      <c r="C10" s="1284"/>
      <c r="D10" s="1284"/>
      <c r="E10" s="7690"/>
      <c r="F10" s="7690"/>
      <c r="G10" s="7690"/>
      <c r="H10" s="7690"/>
      <c r="I10" s="7710"/>
      <c r="J10" s="7687"/>
      <c r="K10" s="1284"/>
      <c r="L10" s="1285"/>
      <c r="M10" s="460"/>
      <c r="N10" s="1287"/>
      <c r="P10" s="7688"/>
      <c r="Q10" s="7688"/>
      <c r="R10" s="277"/>
      <c r="S10" s="1203"/>
      <c r="T10" s="203" t="s">
        <v>587</v>
      </c>
      <c r="U10" s="291"/>
      <c r="V10" s="291"/>
      <c r="W10" s="291"/>
      <c r="X10" s="291"/>
      <c r="Y10" s="291"/>
      <c r="Z10" s="291"/>
      <c r="AA10" s="291"/>
      <c r="AB10" s="291"/>
      <c r="AC10" s="291"/>
      <c r="AD10" s="291"/>
      <c r="AE10" s="291"/>
      <c r="AF10" s="291"/>
      <c r="AG10" s="291"/>
      <c r="AH10" s="291"/>
      <c r="AI10" s="291"/>
      <c r="AJ10" s="291"/>
      <c r="AK10" s="291"/>
      <c r="AL10" s="245"/>
      <c r="AM10" s="7686"/>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7690"/>
      <c r="F11" s="7690"/>
      <c r="G11" s="7690"/>
      <c r="H11" s="7690"/>
      <c r="I11" s="7687"/>
      <c r="J11" s="1284"/>
      <c r="K11" s="1284"/>
      <c r="L11" s="1285"/>
      <c r="M11" s="460"/>
      <c r="P11" s="7688"/>
      <c r="Q11" s="1253"/>
      <c r="R11" s="277"/>
      <c r="S11" s="1203"/>
      <c r="T11" s="202" t="s">
        <v>588</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7690"/>
      <c r="F12" s="7690"/>
      <c r="G12" s="7690"/>
      <c r="H12" s="7689"/>
      <c r="I12" s="1284"/>
      <c r="J12" s="1284"/>
      <c r="K12" s="1284"/>
      <c r="L12" s="1285"/>
      <c r="M12" s="1286"/>
      <c r="N12" s="1286"/>
      <c r="O12" s="460"/>
      <c r="P12" s="281"/>
      <c r="Q12" s="299"/>
      <c r="R12" s="276"/>
      <c r="S12" s="1203"/>
      <c r="T12" s="288" t="s">
        <v>589</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7690"/>
      <c r="F13" s="7690"/>
      <c r="G13" s="7689"/>
      <c r="H13" s="1237"/>
      <c r="I13" s="1237"/>
      <c r="J13" s="1237"/>
      <c r="K13" s="1237"/>
      <c r="L13" s="1261"/>
      <c r="M13" s="1238"/>
      <c r="N13" s="1238"/>
      <c r="P13" s="1239"/>
      <c r="Q13" s="1240"/>
      <c r="R13" s="1239"/>
      <c r="S13" s="1241"/>
      <c r="T13" s="1242" t="s">
        <v>590</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7690"/>
      <c r="F14" s="7689"/>
      <c r="G14" s="1237"/>
      <c r="H14" s="1237"/>
      <c r="I14" s="1237"/>
      <c r="J14" s="1237"/>
      <c r="K14" s="1237"/>
      <c r="L14" s="1261"/>
      <c r="M14" s="1244"/>
      <c r="N14" s="1244"/>
      <c r="P14" s="1239"/>
      <c r="Q14" s="1240"/>
      <c r="R14" s="1239"/>
      <c r="S14" s="1245"/>
      <c r="T14" s="1246" t="s">
        <v>325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7689"/>
      <c r="F15" s="1237"/>
      <c r="G15" s="1237"/>
      <c r="H15" s="1237"/>
      <c r="I15" s="1237"/>
      <c r="J15" s="1237"/>
      <c r="K15" s="1237"/>
      <c r="L15" s="1261"/>
      <c r="M15" s="1244"/>
      <c r="N15" s="1244"/>
      <c r="P15" s="1239"/>
      <c r="Q15" s="1240"/>
      <c r="R15" s="1239"/>
      <c r="S15" s="1245"/>
      <c r="T15" s="1248" t="s">
        <v>326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7694"/>
      <c r="AI17" s="7695" t="s">
        <v>60</v>
      </c>
      <c r="AJ17" s="7694"/>
      <c r="AK17" s="7695" t="s">
        <v>60</v>
      </c>
    </row>
    <row r="18" spans="1:44" ht="14.25" hidden="1" customHeight="1">
      <c r="AD18" s="1281"/>
      <c r="AE18" s="1281"/>
      <c r="AF18" s="1281"/>
      <c r="AG18" s="250" t="str">
        <f>AH17&amp;"-"&amp;AJ17</f>
        <v>-</v>
      </c>
      <c r="AH18" s="7695"/>
      <c r="AI18" s="7695"/>
      <c r="AJ18" s="7695"/>
      <c r="AK18" s="7695"/>
    </row>
    <row r="19" spans="1:44" ht="14.25" hidden="1" customHeight="1">
      <c r="AK19" s="249"/>
    </row>
    <row r="20" spans="1:44" s="1287" customFormat="1" ht="22.5" hidden="1" customHeight="1">
      <c r="L20" s="1251"/>
      <c r="M20" s="1283"/>
      <c r="N20" s="1283"/>
      <c r="O20" s="1288" t="s">
        <v>591</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33.75" hidden="1" customHeight="1">
      <c r="L22" s="1251"/>
      <c r="M22" s="1283"/>
      <c r="N22" s="1283"/>
      <c r="O22" s="1285" t="s">
        <v>592</v>
      </c>
      <c r="P22" s="1283"/>
      <c r="Q22" s="1292"/>
      <c r="R22" s="1292"/>
      <c r="S22" s="646"/>
      <c r="T22" s="1065" t="s">
        <v>593</v>
      </c>
      <c r="AA22" s="104" t="s">
        <v>594</v>
      </c>
      <c r="AC22" s="104" t="s">
        <v>595</v>
      </c>
      <c r="AD22" s="1065" t="s">
        <v>593</v>
      </c>
      <c r="AI22" s="104" t="s">
        <v>596</v>
      </c>
      <c r="AK22" s="104" t="s">
        <v>595</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27.75" customHeight="1">
      <c r="Q26" s="300"/>
      <c r="R26" s="300"/>
      <c r="S26" s="767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7673"/>
      <c r="U26" s="7673"/>
      <c r="V26" s="7673"/>
      <c r="W26" s="7673"/>
      <c r="X26" s="7673"/>
      <c r="Y26" s="7673"/>
      <c r="Z26" s="7673"/>
      <c r="AA26" s="7673"/>
      <c r="AB26" s="7673"/>
      <c r="AC26" s="7673"/>
      <c r="AD26" s="7673"/>
      <c r="AE26" s="7673"/>
      <c r="AF26" s="7673"/>
      <c r="AG26" s="7673"/>
      <c r="AH26" s="7673"/>
      <c r="AI26" s="7673"/>
      <c r="AJ26" s="7673"/>
      <c r="AK26" s="1157"/>
    </row>
    <row r="27" spans="1:44" ht="14.25" customHeight="1">
      <c r="Q27" s="300"/>
      <c r="R27" s="300"/>
      <c r="S27" s="7620" t="str">
        <f>IF(org=0,"Не определено",org)</f>
        <v>ГУП СК "Ставрополькрайводоканал"</v>
      </c>
      <c r="T27" s="7620"/>
      <c r="U27" s="7620"/>
      <c r="V27" s="7620"/>
      <c r="W27" s="7620"/>
      <c r="X27" s="7620"/>
      <c r="Y27" s="7620"/>
      <c r="Z27" s="7620"/>
      <c r="AA27" s="7620"/>
      <c r="AB27" s="7620"/>
      <c r="AC27" s="7620"/>
      <c r="AD27" s="7620"/>
      <c r="AE27" s="7620"/>
      <c r="AF27" s="7620"/>
      <c r="AG27" s="7620"/>
      <c r="AH27" s="7620"/>
      <c r="AI27" s="7620"/>
      <c r="AJ27" s="7620"/>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7681" t="s">
        <v>38</v>
      </c>
      <c r="T29" s="7681"/>
      <c r="U29" s="1293"/>
      <c r="V29" s="7682" t="str">
        <f>IF(TITLE_NAME_OR_PR_CHANGE="",IF(TITLE_NAME_OR_PR="","",TITLE_NAME_OR_PR),TITLE_NAME_OR_PR_CHANGE)</f>
        <v>Региональная тарифная комиссия Ставропольского края</v>
      </c>
      <c r="W29" s="7682"/>
      <c r="X29" s="7682"/>
      <c r="Y29" s="7682"/>
      <c r="Z29" s="7682"/>
      <c r="AA29" s="7682"/>
      <c r="AB29" s="7682"/>
      <c r="AC29" s="248"/>
      <c r="AD29" s="7682" t="str">
        <f>IF(TITLE_NAME_OR_PR_CHANGE="",IF(TITLE_NAME_OR_PR="","",TITLE_NAME_OR_PR),TITLE_NAME_OR_PR_CHANGE)</f>
        <v>Региональная тарифная комиссия Ставропольского края</v>
      </c>
      <c r="AE29" s="7682"/>
      <c r="AF29" s="7682"/>
      <c r="AG29" s="7682"/>
      <c r="AH29" s="7682"/>
      <c r="AI29" s="7682"/>
      <c r="AJ29" s="7682"/>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7681" t="s">
        <v>597</v>
      </c>
      <c r="T30" s="7681"/>
      <c r="U30" s="1293"/>
      <c r="V30" s="7691">
        <f>IF(TITLE_DATE_PR_CHANGE="",IF(TITLE_DATE_PR="","",TITLE_DATE_PR),TITLE_DATE_PR_CHANGE)</f>
        <v>45278</v>
      </c>
      <c r="W30" s="7691"/>
      <c r="X30" s="7691"/>
      <c r="Y30" s="7691"/>
      <c r="Z30" s="7691"/>
      <c r="AA30" s="7691"/>
      <c r="AB30" s="7691"/>
      <c r="AC30" s="248"/>
      <c r="AD30" s="7691">
        <f>IF(TITLE_DATE_PR_CHANGE="",IF(TITLE_DATE_PR="","",TITLE_DATE_PR),TITLE_DATE_PR_CHANGE)</f>
        <v>45278</v>
      </c>
      <c r="AE30" s="7691"/>
      <c r="AF30" s="7691"/>
      <c r="AG30" s="7691"/>
      <c r="AH30" s="7691"/>
      <c r="AI30" s="7691"/>
      <c r="AJ30" s="7691"/>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7681" t="s">
        <v>598</v>
      </c>
      <c r="T31" s="7681"/>
      <c r="U31" s="1293"/>
      <c r="V31" s="7682" t="str">
        <f>IF(TITLE_NUMBER_PR_CHANGE="",IF(TITLE_NUMBER_PR="","",TITLE_NUMBER_PR),TITLE_NUMBER_PR_CHANGE)</f>
        <v>79/2</v>
      </c>
      <c r="W31" s="7682"/>
      <c r="X31" s="7682"/>
      <c r="Y31" s="7682"/>
      <c r="Z31" s="7682"/>
      <c r="AA31" s="7682"/>
      <c r="AB31" s="7682"/>
      <c r="AC31" s="248"/>
      <c r="AD31" s="7682" t="str">
        <f>IF(TITLE_NUMBER_PR_CHANGE="",IF(TITLE_NUMBER_PR="","",TITLE_NUMBER_PR),TITLE_NUMBER_PR_CHANGE)</f>
        <v>79/2</v>
      </c>
      <c r="AE31" s="7682"/>
      <c r="AF31" s="7682"/>
      <c r="AG31" s="7682"/>
      <c r="AH31" s="7682"/>
      <c r="AI31" s="7682"/>
      <c r="AJ31" s="7682"/>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7681" t="s">
        <v>40</v>
      </c>
      <c r="T32" s="7681"/>
      <c r="U32" s="1293"/>
      <c r="V32" s="7682" t="str">
        <f>IF(TITLE_IST_PUB_CHANGE="",IF(TITLE_IST_PUB="","",TITLE_IST_PUB),TITLE_IST_PUB_CHANGE)</f>
        <v>http://pravo.stavregion.ru/</v>
      </c>
      <c r="W32" s="7682"/>
      <c r="X32" s="7682"/>
      <c r="Y32" s="7682"/>
      <c r="Z32" s="7682"/>
      <c r="AA32" s="7682"/>
      <c r="AB32" s="7682"/>
      <c r="AC32" s="248"/>
      <c r="AD32" s="7682" t="str">
        <f>IF(TITLE_IST_PUB_CHANGE="",IF(TITLE_IST_PUB="","",TITLE_IST_PUB),TITLE_IST_PUB_CHANGE)</f>
        <v>http://pravo.stavregion.ru/</v>
      </c>
      <c r="AE32" s="7682"/>
      <c r="AF32" s="7682"/>
      <c r="AG32" s="7682"/>
      <c r="AH32" s="7682"/>
      <c r="AI32" s="7682"/>
      <c r="AJ32" s="7682"/>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7681" t="s">
        <v>599</v>
      </c>
      <c r="T34" s="7681"/>
      <c r="U34" s="1293"/>
      <c r="V34" s="7691">
        <f>IF(TITLE_DATE_PR_CHANGE="",IF(TITLE_DATE_PR="","",TITLE_DATE_PR),TITLE_DATE_PR_CHANGE)</f>
        <v>45278</v>
      </c>
      <c r="W34" s="7691"/>
      <c r="X34" s="7691"/>
      <c r="Y34" s="7691"/>
      <c r="Z34" s="7691"/>
      <c r="AA34" s="7691"/>
      <c r="AB34" s="7691"/>
      <c r="AC34" s="248"/>
      <c r="AD34" s="7691">
        <f>IF(TITLE_DATE_PR_CHANGE="",IF(TITLE_DATE_PR="","",TITLE_DATE_PR),TITLE_DATE_PR_CHANGE)</f>
        <v>45278</v>
      </c>
      <c r="AE34" s="7691"/>
      <c r="AF34" s="7691"/>
      <c r="AG34" s="7691"/>
      <c r="AH34" s="7691"/>
      <c r="AI34" s="7691"/>
      <c r="AJ34" s="7691"/>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7681" t="s">
        <v>600</v>
      </c>
      <c r="T35" s="7681"/>
      <c r="U35" s="1293"/>
      <c r="V35" s="7682" t="str">
        <f>IF(TITLE_NUMBER_PR_CHANGE="",IF(TITLE_NUMBER_PR="","",TITLE_NUMBER_PR),TITLE_NUMBER_PR_CHANGE)</f>
        <v>79/2</v>
      </c>
      <c r="W35" s="7682"/>
      <c r="X35" s="7682"/>
      <c r="Y35" s="7682"/>
      <c r="Z35" s="7682"/>
      <c r="AA35" s="7682"/>
      <c r="AB35" s="7682"/>
      <c r="AC35" s="248"/>
      <c r="AD35" s="7682" t="str">
        <f>IF(TITLE_NUMBER_PR_CHANGE="",IF(TITLE_NUMBER_PR="","",TITLE_NUMBER_PR),TITLE_NUMBER_PR_CHANGE)</f>
        <v>79/2</v>
      </c>
      <c r="AE35" s="7682"/>
      <c r="AF35" s="7682"/>
      <c r="AG35" s="7682"/>
      <c r="AH35" s="7682"/>
      <c r="AI35" s="7682"/>
      <c r="AJ35" s="7682"/>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601</v>
      </c>
      <c r="AD36" s="248"/>
      <c r="AE36" s="248"/>
      <c r="AF36" s="248"/>
      <c r="AG36" s="248"/>
      <c r="AH36" s="248"/>
      <c r="AI36" s="248"/>
      <c r="AJ36" s="248"/>
      <c r="AK36" s="194" t="s">
        <v>601</v>
      </c>
      <c r="AN36" s="292"/>
      <c r="AO36" s="292"/>
      <c r="AP36" s="292"/>
      <c r="AQ36" s="292"/>
      <c r="AR36" s="292"/>
    </row>
    <row r="37" spans="1:44" ht="14.25" customHeight="1">
      <c r="Q37" s="300"/>
      <c r="R37" s="300"/>
      <c r="S37" s="1200"/>
      <c r="T37" s="286"/>
      <c r="U37" s="1158"/>
      <c r="V37" s="7683"/>
      <c r="W37" s="7683"/>
      <c r="X37" s="7683"/>
      <c r="Y37" s="7683"/>
      <c r="Z37" s="7683"/>
      <c r="AA37" s="7683"/>
      <c r="AB37" s="7683"/>
      <c r="AC37" s="7683"/>
      <c r="AD37" s="7683"/>
      <c r="AE37" s="7683"/>
      <c r="AF37" s="7683"/>
      <c r="AG37" s="7683"/>
      <c r="AH37" s="7683"/>
      <c r="AI37" s="7683"/>
      <c r="AJ37" s="7683"/>
      <c r="AK37" s="7683"/>
    </row>
    <row r="38" spans="1:44" ht="14.25" customHeight="1">
      <c r="Q38" s="300"/>
      <c r="R38" s="300"/>
      <c r="S38" s="7559" t="s">
        <v>474</v>
      </c>
      <c r="T38" s="7559"/>
      <c r="U38" s="7559"/>
      <c r="V38" s="7559"/>
      <c r="W38" s="7559"/>
      <c r="X38" s="7559"/>
      <c r="Y38" s="7559"/>
      <c r="Z38" s="7559"/>
      <c r="AA38" s="7559"/>
      <c r="AB38" s="7559"/>
      <c r="AC38" s="7559"/>
      <c r="AD38" s="7559"/>
      <c r="AE38" s="7559"/>
      <c r="AF38" s="7559"/>
      <c r="AG38" s="7559"/>
      <c r="AH38" s="7559"/>
      <c r="AI38" s="7559"/>
      <c r="AJ38" s="7559"/>
      <c r="AK38" s="7559"/>
      <c r="AL38" s="7559"/>
      <c r="AM38" s="7559" t="s">
        <v>475</v>
      </c>
    </row>
    <row r="39" spans="1:44" ht="14.25" customHeight="1">
      <c r="Q39" s="300"/>
      <c r="R39" s="300"/>
      <c r="S39" s="7697" t="s">
        <v>86</v>
      </c>
      <c r="T39" s="7649" t="s">
        <v>602</v>
      </c>
      <c r="U39" s="215"/>
      <c r="V39" s="7698" t="s">
        <v>603</v>
      </c>
      <c r="W39" s="7699"/>
      <c r="X39" s="7713"/>
      <c r="Y39" s="7713"/>
      <c r="Z39" s="7699"/>
      <c r="AA39" s="7699"/>
      <c r="AB39" s="7700"/>
      <c r="AC39" s="7701" t="s">
        <v>604</v>
      </c>
      <c r="AD39" s="7698" t="s">
        <v>603</v>
      </c>
      <c r="AE39" s="7699"/>
      <c r="AF39" s="7713"/>
      <c r="AG39" s="7713"/>
      <c r="AH39" s="7699"/>
      <c r="AI39" s="7699"/>
      <c r="AJ39" s="7700"/>
      <c r="AK39" s="7701" t="s">
        <v>605</v>
      </c>
      <c r="AL39" s="7704" t="s">
        <v>606</v>
      </c>
      <c r="AM39" s="7559"/>
    </row>
    <row r="40" spans="1:44" ht="23.25" customHeight="1">
      <c r="Q40" s="300"/>
      <c r="R40" s="300"/>
      <c r="S40" s="7697"/>
      <c r="T40" s="7649"/>
      <c r="U40" s="942"/>
      <c r="V40" s="7714" t="s">
        <v>607</v>
      </c>
      <c r="W40" s="7634" t="s">
        <v>608</v>
      </c>
      <c r="X40" s="1297" t="s">
        <v>609</v>
      </c>
      <c r="Y40" s="1297"/>
      <c r="Z40" s="7536" t="s">
        <v>610</v>
      </c>
      <c r="AA40" s="7536"/>
      <c r="AB40" s="7529"/>
      <c r="AC40" s="7702"/>
      <c r="AD40" s="7714" t="s">
        <v>607</v>
      </c>
      <c r="AE40" s="7634" t="s">
        <v>608</v>
      </c>
      <c r="AF40" s="1297" t="s">
        <v>609</v>
      </c>
      <c r="AG40" s="1297"/>
      <c r="AH40" s="7536" t="s">
        <v>610</v>
      </c>
      <c r="AI40" s="7536"/>
      <c r="AJ40" s="7529"/>
      <c r="AK40" s="7702"/>
      <c r="AL40" s="7705"/>
      <c r="AM40" s="7559"/>
    </row>
    <row r="41" spans="1:44" s="1190" customFormat="1" ht="23.25" customHeight="1">
      <c r="A41" s="1291"/>
      <c r="B41" s="1291" t="s">
        <v>249</v>
      </c>
      <c r="C41" s="1291" t="s">
        <v>250</v>
      </c>
      <c r="D41" s="1291" t="s">
        <v>251</v>
      </c>
      <c r="E41" s="1285" t="s">
        <v>611</v>
      </c>
      <c r="F41" s="1285" t="s">
        <v>612</v>
      </c>
      <c r="G41" s="1285" t="s">
        <v>613</v>
      </c>
      <c r="H41" s="1285" t="s">
        <v>614</v>
      </c>
      <c r="I41" s="1285" t="s">
        <v>615</v>
      </c>
      <c r="J41" s="1285" t="s">
        <v>616</v>
      </c>
      <c r="K41" s="1285" t="s">
        <v>617</v>
      </c>
      <c r="L41" s="1285" t="s">
        <v>592</v>
      </c>
      <c r="M41" s="1283"/>
      <c r="N41" s="1283"/>
      <c r="O41" s="1283"/>
      <c r="P41" s="1250"/>
      <c r="Q41" s="300"/>
      <c r="R41" s="300"/>
      <c r="S41" s="7697"/>
      <c r="T41" s="7649"/>
      <c r="U41" s="216"/>
      <c r="V41" s="7715"/>
      <c r="W41" s="7639"/>
      <c r="X41" s="1294" t="s">
        <v>618</v>
      </c>
      <c r="Y41" s="1294" t="s">
        <v>619</v>
      </c>
      <c r="Z41" s="1256" t="s">
        <v>620</v>
      </c>
      <c r="AA41" s="7657" t="s">
        <v>621</v>
      </c>
      <c r="AB41" s="7659"/>
      <c r="AC41" s="7703"/>
      <c r="AD41" s="7715"/>
      <c r="AE41" s="7639"/>
      <c r="AF41" s="1294" t="s">
        <v>618</v>
      </c>
      <c r="AG41" s="1294" t="s">
        <v>619</v>
      </c>
      <c r="AH41" s="1256" t="s">
        <v>620</v>
      </c>
      <c r="AI41" s="7657" t="s">
        <v>621</v>
      </c>
      <c r="AJ41" s="7659"/>
      <c r="AK41" s="7703"/>
      <c r="AL41" s="7706"/>
      <c r="AM41" s="7559"/>
      <c r="AN41" s="435"/>
      <c r="AO41" s="424"/>
      <c r="AP41" s="424"/>
      <c r="AQ41" s="424"/>
      <c r="AR41" s="424"/>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100</v>
      </c>
      <c r="U42" s="1159" t="str">
        <f ca="1">OFFSET(U42,0,-1)</f>
        <v>2</v>
      </c>
      <c r="V42" s="1257">
        <f ca="1">OFFSET(V42,0,-1)+1</f>
        <v>3</v>
      </c>
      <c r="W42" s="1257"/>
      <c r="X42" s="1263">
        <f ca="1">OFFSET(X42,0,-1)+1</f>
        <v>1</v>
      </c>
      <c r="Y42" s="1263">
        <f ca="1">OFFSET(Y42,0,-1)+1</f>
        <v>2</v>
      </c>
      <c r="Z42" s="1257">
        <f ca="1">OFFSET(Z42,0,-1)+1</f>
        <v>3</v>
      </c>
      <c r="AA42" s="7696">
        <f ca="1">OFFSET(AA42,0,-1)+1</f>
        <v>4</v>
      </c>
      <c r="AB42" s="7696"/>
      <c r="AC42" s="1257">
        <f ca="1">OFFSET(AC42,0,-2)+1</f>
        <v>5</v>
      </c>
      <c r="AD42" s="1257">
        <f ca="1">OFFSET(AD42,0,-1)+1</f>
        <v>6</v>
      </c>
      <c r="AE42" s="1257"/>
      <c r="AF42" s="1263">
        <f ca="1">OFFSET(AF42,0,-1)+1</f>
        <v>1</v>
      </c>
      <c r="AG42" s="1263">
        <f ca="1">OFFSET(AG42,0,-1)+1</f>
        <v>2</v>
      </c>
      <c r="AH42" s="1257">
        <f ca="1">OFFSET(AH42,0,-1)+1</f>
        <v>3</v>
      </c>
      <c r="AI42" s="7696">
        <f ca="1">OFFSET(AI42,0,-1)+1</f>
        <v>4</v>
      </c>
      <c r="AJ42" s="7696"/>
      <c r="AK42" s="1257">
        <f ca="1">OFFSET(AK42,0,-2)+1</f>
        <v>5</v>
      </c>
      <c r="AL42" s="1159">
        <f ca="1">OFFSET(AL42,0,-1)</f>
        <v>5</v>
      </c>
      <c r="AM42" s="1257">
        <f ca="1">OFFSET(AM42,0,-1)+1</f>
        <v>6</v>
      </c>
      <c r="AN42" s="435"/>
      <c r="AO42" s="435"/>
      <c r="AP42" s="435"/>
      <c r="AQ42" s="435"/>
      <c r="AR42" s="435"/>
    </row>
    <row r="43" spans="1:44" ht="21" customHeight="1">
      <c r="A43" s="1284" t="s">
        <v>300</v>
      </c>
      <c r="B43" s="1284"/>
      <c r="C43" s="1284"/>
      <c r="D43" s="1284"/>
      <c r="E43" s="7689">
        <v>1</v>
      </c>
      <c r="F43" s="1284"/>
      <c r="G43" s="1284"/>
      <c r="H43" s="1284"/>
      <c r="I43" s="1284"/>
      <c r="J43" s="1284"/>
      <c r="K43" s="1284"/>
      <c r="L43" s="1285"/>
      <c r="M43" s="1286"/>
      <c r="N43" s="1286"/>
      <c r="O43" s="1286"/>
      <c r="P43" s="282"/>
      <c r="Q43" s="281"/>
      <c r="R43" s="276"/>
      <c r="S43" s="1258">
        <f>INDEX(PT_DIFFERENTIATION_NUM_NTAR,MATCH(A43,PT_DIFFERENTIATION_NTAR_ID,0))</f>
        <v>0</v>
      </c>
      <c r="T43" s="212" t="s">
        <v>237</v>
      </c>
      <c r="U43" s="214"/>
      <c r="V43" s="7675"/>
      <c r="W43" s="7676"/>
      <c r="X43" s="7676"/>
      <c r="Y43" s="7676"/>
      <c r="Z43" s="7676"/>
      <c r="AA43" s="7676"/>
      <c r="AB43" s="7676"/>
      <c r="AC43" s="7677"/>
      <c r="AD43" s="7675" t="str">
        <f>INDEX(PT_DIFFERENTIATION_NTAR,MATCH(A43,PT_DIFFERENTIATION_NTAR_ID,0))</f>
        <v/>
      </c>
      <c r="AE43" s="7676"/>
      <c r="AF43" s="7676"/>
      <c r="AG43" s="7676"/>
      <c r="AH43" s="7676"/>
      <c r="AI43" s="7676"/>
      <c r="AJ43" s="7676"/>
      <c r="AK43" s="7676"/>
      <c r="AL43" s="7677"/>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300</v>
      </c>
      <c r="B44" s="1284" t="s">
        <v>301</v>
      </c>
      <c r="C44" s="1284"/>
      <c r="D44" s="1284"/>
      <c r="E44" s="7690"/>
      <c r="F44" s="7689">
        <v>1</v>
      </c>
      <c r="G44" s="1284"/>
      <c r="H44" s="1284"/>
      <c r="I44" s="1284"/>
      <c r="J44" s="1284"/>
      <c r="K44" s="1284"/>
      <c r="L44" s="1285"/>
      <c r="M44" s="1286"/>
      <c r="N44" s="1286"/>
      <c r="O44" s="1286"/>
      <c r="P44" s="1254"/>
      <c r="Q44" s="273"/>
      <c r="R44" s="274"/>
      <c r="S44" s="1258" t="str">
        <f>INDEX(PT_DIFFERENTIATION_NUM_TER,MATCH(B44,PT_DIFFERENTIATION_TER_ID,0))</f>
        <v>.</v>
      </c>
      <c r="T44" s="224" t="s">
        <v>573</v>
      </c>
      <c r="U44" s="214"/>
      <c r="V44" s="7675"/>
      <c r="W44" s="7676"/>
      <c r="X44" s="7676"/>
      <c r="Y44" s="7676"/>
      <c r="Z44" s="7676"/>
      <c r="AA44" s="7676"/>
      <c r="AB44" s="7676"/>
      <c r="AC44" s="7677"/>
      <c r="AD44" s="7675" t="str">
        <f>INDEX(PT_DIFFERENTIATION_TER,MATCH(B44,PT_DIFFERENTIATION_TER_ID,0))</f>
        <v/>
      </c>
      <c r="AE44" s="7676"/>
      <c r="AF44" s="7676"/>
      <c r="AG44" s="7676"/>
      <c r="AH44" s="7676"/>
      <c r="AI44" s="7676"/>
      <c r="AJ44" s="7676"/>
      <c r="AK44" s="7676"/>
      <c r="AL44" s="7677"/>
      <c r="AM44" s="1182" t="s">
        <v>574</v>
      </c>
      <c r="AO44" s="424"/>
      <c r="AP44" s="424" t="str">
        <f t="shared" si="1"/>
        <v>Территория действия тарифа</v>
      </c>
      <c r="AQ44" s="424"/>
      <c r="AR44" s="424"/>
    </row>
    <row r="45" spans="1:44" ht="23.25" customHeight="1">
      <c r="A45" s="1284" t="s">
        <v>300</v>
      </c>
      <c r="B45" s="1284" t="s">
        <v>301</v>
      </c>
      <c r="C45" s="1284" t="s">
        <v>302</v>
      </c>
      <c r="D45" s="1284"/>
      <c r="E45" s="7690"/>
      <c r="F45" s="7690"/>
      <c r="G45" s="7689">
        <v>1</v>
      </c>
      <c r="H45" s="1284"/>
      <c r="I45" s="1284"/>
      <c r="J45" s="1284"/>
      <c r="K45" s="1284"/>
      <c r="L45" s="1285"/>
      <c r="M45" s="1286"/>
      <c r="N45" s="1286"/>
      <c r="O45" s="1286"/>
      <c r="P45" s="275"/>
      <c r="Q45" s="273"/>
      <c r="R45" s="274"/>
      <c r="S45" s="1258" t="str">
        <f>INDEX(PT_DIFFERENTIATION_NUM_CS,MATCH(C45,PT_DIFFERENTIATION_CS_ID,0))</f>
        <v>..</v>
      </c>
      <c r="T45" s="225" t="s">
        <v>575</v>
      </c>
      <c r="U45" s="214"/>
      <c r="V45" s="7675"/>
      <c r="W45" s="7676"/>
      <c r="X45" s="7676"/>
      <c r="Y45" s="7676"/>
      <c r="Z45" s="7676"/>
      <c r="AA45" s="7676"/>
      <c r="AB45" s="7676"/>
      <c r="AC45" s="7677"/>
      <c r="AD45" s="7675" t="str">
        <f>INDEX(PT_DIFFERENTIATION_CS,MATCH(C45,PT_DIFFERENTIATION_CS_ID,0))</f>
        <v/>
      </c>
      <c r="AE45" s="7676"/>
      <c r="AF45" s="7676"/>
      <c r="AG45" s="7676"/>
      <c r="AH45" s="7676"/>
      <c r="AI45" s="7676"/>
      <c r="AJ45" s="7676"/>
      <c r="AK45" s="7676"/>
      <c r="AL45" s="7677"/>
      <c r="AM45" s="1182" t="s">
        <v>576</v>
      </c>
      <c r="AO45" s="424"/>
      <c r="AP45" s="424" t="str">
        <f t="shared" si="1"/>
        <v xml:space="preserve">Наименование системы теплоснабжения </v>
      </c>
      <c r="AQ45" s="424"/>
      <c r="AR45" s="424"/>
    </row>
    <row r="46" spans="1:44" ht="21" customHeight="1">
      <c r="A46" s="1284" t="s">
        <v>300</v>
      </c>
      <c r="B46" s="1284" t="s">
        <v>301</v>
      </c>
      <c r="C46" s="1284" t="s">
        <v>302</v>
      </c>
      <c r="D46" s="1284" t="s">
        <v>303</v>
      </c>
      <c r="E46" s="7690"/>
      <c r="F46" s="7690"/>
      <c r="G46" s="7690"/>
      <c r="H46" s="7689">
        <v>1</v>
      </c>
      <c r="I46" s="1284"/>
      <c r="J46" s="1284"/>
      <c r="K46" s="1284"/>
      <c r="L46" s="1285"/>
      <c r="M46" s="1286"/>
      <c r="N46" s="1286"/>
      <c r="O46" s="1286"/>
      <c r="P46" s="275"/>
      <c r="Q46" s="273"/>
      <c r="R46" s="274"/>
      <c r="S46" s="1258" t="str">
        <f>INDEX(PT_DIFFERENTIATION_NUM_IST_TE,MATCH(D46,PT_DIFFERENTIATION_IST_TE_ID,0))</f>
        <v>...</v>
      </c>
      <c r="T46" s="226" t="s">
        <v>577</v>
      </c>
      <c r="U46" s="214"/>
      <c r="V46" s="7675"/>
      <c r="W46" s="7676"/>
      <c r="X46" s="7676"/>
      <c r="Y46" s="7676"/>
      <c r="Z46" s="7676"/>
      <c r="AA46" s="7676"/>
      <c r="AB46" s="7676"/>
      <c r="AC46" s="7677"/>
      <c r="AD46" s="7675" t="str">
        <f>INDEX(PT_DIFFERENTIATION_IST_TE,MATCH(D46,PT_DIFFERENTIATION_IST_TE_ID,0))</f>
        <v/>
      </c>
      <c r="AE46" s="7676"/>
      <c r="AF46" s="7676"/>
      <c r="AG46" s="7676"/>
      <c r="AH46" s="7676"/>
      <c r="AI46" s="7676"/>
      <c r="AJ46" s="7676"/>
      <c r="AK46" s="7676"/>
      <c r="AL46" s="7677"/>
      <c r="AM46" s="1182" t="s">
        <v>578</v>
      </c>
      <c r="AO46" s="424"/>
      <c r="AP46" s="424" t="str">
        <f t="shared" si="1"/>
        <v xml:space="preserve">Источник тепловой энергии  </v>
      </c>
      <c r="AQ46" s="424"/>
      <c r="AR46" s="424"/>
    </row>
    <row r="47" spans="1:44" ht="47.25" customHeight="1">
      <c r="A47" s="1284" t="s">
        <v>300</v>
      </c>
      <c r="B47" s="1284" t="s">
        <v>301</v>
      </c>
      <c r="C47" s="1284" t="s">
        <v>302</v>
      </c>
      <c r="D47" s="1284" t="s">
        <v>303</v>
      </c>
      <c r="E47" s="7690"/>
      <c r="F47" s="7690"/>
      <c r="G47" s="7690"/>
      <c r="H47" s="7690"/>
      <c r="I47" s="7687" t="str">
        <f>S46&amp;".1"</f>
        <v>....1</v>
      </c>
      <c r="J47" s="1284"/>
      <c r="K47" s="1284"/>
      <c r="L47" s="1285" t="s">
        <v>579</v>
      </c>
      <c r="P47" s="7688">
        <v>1</v>
      </c>
      <c r="Q47" s="1253"/>
      <c r="R47" s="277"/>
      <c r="S47" s="1258" t="str">
        <f>$I47</f>
        <v>....1</v>
      </c>
      <c r="T47" s="200" t="s">
        <v>580</v>
      </c>
      <c r="U47" s="214"/>
      <c r="V47" s="7678"/>
      <c r="W47" s="7679"/>
      <c r="X47" s="7679"/>
      <c r="Y47" s="7679"/>
      <c r="Z47" s="7679"/>
      <c r="AA47" s="7679"/>
      <c r="AB47" s="7679"/>
      <c r="AC47" s="7680"/>
      <c r="AD47" s="7678"/>
      <c r="AE47" s="7679"/>
      <c r="AF47" s="7679"/>
      <c r="AG47" s="7679"/>
      <c r="AH47" s="7679"/>
      <c r="AI47" s="7679"/>
      <c r="AJ47" s="7679"/>
      <c r="AK47" s="7679"/>
      <c r="AL47" s="7680"/>
      <c r="AM47" s="1182" t="s">
        <v>581</v>
      </c>
      <c r="AO47" s="424"/>
      <c r="AP47" s="424" t="str">
        <f t="shared" si="1"/>
        <v>Схема подключения теплопотребляющей установки к коллектору источника тепловой энергии</v>
      </c>
      <c r="AQ47" s="424"/>
      <c r="AR47" s="424"/>
    </row>
    <row r="48" spans="1:44" ht="21" customHeight="1">
      <c r="A48" s="1284" t="s">
        <v>300</v>
      </c>
      <c r="B48" s="1284" t="s">
        <v>301</v>
      </c>
      <c r="C48" s="1284" t="s">
        <v>302</v>
      </c>
      <c r="D48" s="1284" t="s">
        <v>303</v>
      </c>
      <c r="E48" s="7690"/>
      <c r="F48" s="7690"/>
      <c r="G48" s="7690"/>
      <c r="H48" s="7690"/>
      <c r="I48" s="7710"/>
      <c r="J48" s="7687" t="str">
        <f>I47&amp;".1"</f>
        <v>....1.1</v>
      </c>
      <c r="K48" s="1284"/>
      <c r="L48" s="1285" t="s">
        <v>582</v>
      </c>
      <c r="P48" s="7688"/>
      <c r="Q48" s="7688">
        <v>1</v>
      </c>
      <c r="R48" s="278"/>
      <c r="S48" s="1258" t="str">
        <f>$J48</f>
        <v>....1.1</v>
      </c>
      <c r="T48" s="201" t="s">
        <v>583</v>
      </c>
      <c r="U48" s="214"/>
      <c r="V48" s="7678"/>
      <c r="W48" s="7679"/>
      <c r="X48" s="7679"/>
      <c r="Y48" s="7679"/>
      <c r="Z48" s="7679"/>
      <c r="AA48" s="7679"/>
      <c r="AB48" s="7679"/>
      <c r="AC48" s="7680"/>
      <c r="AD48" s="7678"/>
      <c r="AE48" s="7679"/>
      <c r="AF48" s="7679"/>
      <c r="AG48" s="7679"/>
      <c r="AH48" s="7679"/>
      <c r="AI48" s="7679"/>
      <c r="AJ48" s="7679"/>
      <c r="AK48" s="7679"/>
      <c r="AL48" s="7680"/>
      <c r="AM48" s="1182" t="s">
        <v>584</v>
      </c>
      <c r="AO48" s="424"/>
      <c r="AP48" s="424" t="str">
        <f t="shared" si="1"/>
        <v>Группа потребителей</v>
      </c>
      <c r="AQ48" s="424"/>
      <c r="AR48" s="424"/>
    </row>
    <row r="49" spans="1:44" ht="21" customHeight="1">
      <c r="A49" s="1284" t="s">
        <v>300</v>
      </c>
      <c r="B49" s="1284" t="s">
        <v>301</v>
      </c>
      <c r="C49" s="1284" t="s">
        <v>302</v>
      </c>
      <c r="D49" s="1284" t="s">
        <v>303</v>
      </c>
      <c r="E49" s="7690"/>
      <c r="F49" s="7690"/>
      <c r="G49" s="7690"/>
      <c r="H49" s="7690"/>
      <c r="I49" s="7710"/>
      <c r="J49" s="7710"/>
      <c r="K49" s="7687" t="str">
        <f>J48&amp;".1"</f>
        <v>....1.1.1</v>
      </c>
      <c r="L49" s="1285" t="s">
        <v>585</v>
      </c>
      <c r="P49" s="7688"/>
      <c r="Q49" s="7688"/>
      <c r="R49" s="278">
        <v>1</v>
      </c>
      <c r="S49" s="1258" t="str">
        <f>$K49</f>
        <v>....1.1.1</v>
      </c>
      <c r="T49" s="1269"/>
      <c r="U49" s="214"/>
      <c r="V49" s="246"/>
      <c r="W49" s="666"/>
      <c r="X49" s="246"/>
      <c r="Y49" s="313"/>
      <c r="Z49" s="7692"/>
      <c r="AA49" s="7540" t="s">
        <v>60</v>
      </c>
      <c r="AB49" s="7692"/>
      <c r="AC49" s="7540" t="s">
        <v>60</v>
      </c>
      <c r="AD49" s="246"/>
      <c r="AE49" s="666"/>
      <c r="AF49" s="246"/>
      <c r="AG49" s="313"/>
      <c r="AH49" s="7692"/>
      <c r="AI49" s="7540" t="s">
        <v>60</v>
      </c>
      <c r="AJ49" s="7711"/>
      <c r="AK49" s="7540" t="s">
        <v>60</v>
      </c>
      <c r="AL49" s="1270"/>
      <c r="AM49" s="7684" t="s">
        <v>586</v>
      </c>
      <c r="AN49" s="435" t="e">
        <f ca="1">STRCHECKDATE(V50:AL50)</f>
        <v>#NAME?</v>
      </c>
      <c r="AO49" s="424"/>
      <c r="AP49" s="424" t="str">
        <f t="shared" si="1"/>
        <v/>
      </c>
      <c r="AQ49" s="424"/>
      <c r="AR49" s="424"/>
    </row>
    <row r="50" spans="1:44" ht="0.75" customHeight="1">
      <c r="A50" s="1284" t="s">
        <v>300</v>
      </c>
      <c r="B50" s="1284" t="s">
        <v>301</v>
      </c>
      <c r="C50" s="1284" t="s">
        <v>302</v>
      </c>
      <c r="D50" s="1284" t="s">
        <v>303</v>
      </c>
      <c r="E50" s="7690"/>
      <c r="F50" s="7690"/>
      <c r="G50" s="7690"/>
      <c r="H50" s="7690"/>
      <c r="I50" s="7710"/>
      <c r="J50" s="7710"/>
      <c r="K50" s="7687"/>
      <c r="L50" s="1285"/>
      <c r="P50" s="7688"/>
      <c r="Q50" s="7688"/>
      <c r="R50" s="278"/>
      <c r="S50" s="1264"/>
      <c r="T50" s="214"/>
      <c r="U50" s="214"/>
      <c r="V50" s="246"/>
      <c r="W50" s="246"/>
      <c r="X50" s="246"/>
      <c r="Y50" s="250" t="str">
        <f>Z49&amp;"-"&amp;AB49</f>
        <v>-</v>
      </c>
      <c r="Z50" s="7693"/>
      <c r="AA50" s="7540"/>
      <c r="AB50" s="7693"/>
      <c r="AC50" s="7540"/>
      <c r="AD50" s="246"/>
      <c r="AE50" s="246"/>
      <c r="AF50" s="246"/>
      <c r="AG50" s="250" t="str">
        <f>AH49&amp;"-"&amp;AJ49</f>
        <v>-</v>
      </c>
      <c r="AH50" s="7693"/>
      <c r="AI50" s="7540"/>
      <c r="AJ50" s="7712"/>
      <c r="AK50" s="7540"/>
      <c r="AL50" s="1271"/>
      <c r="AM50" s="7685"/>
      <c r="AO50" s="424"/>
      <c r="AP50" s="424" t="str">
        <f t="shared" si="1"/>
        <v/>
      </c>
      <c r="AQ50" s="424"/>
      <c r="AR50" s="424"/>
    </row>
    <row r="51" spans="1:44" ht="11.25" customHeight="1">
      <c r="A51" s="1284" t="s">
        <v>300</v>
      </c>
      <c r="B51" s="1284" t="s">
        <v>301</v>
      </c>
      <c r="C51" s="1284" t="s">
        <v>302</v>
      </c>
      <c r="D51" s="1284" t="s">
        <v>303</v>
      </c>
      <c r="E51" s="7690"/>
      <c r="F51" s="7690"/>
      <c r="G51" s="7690"/>
      <c r="H51" s="7690"/>
      <c r="I51" s="7710"/>
      <c r="J51" s="7687"/>
      <c r="K51" s="1284"/>
      <c r="L51" s="1285"/>
      <c r="P51" s="7688"/>
      <c r="Q51" s="7688"/>
      <c r="R51" s="277"/>
      <c r="S51" s="1203"/>
      <c r="T51" s="203" t="s">
        <v>587</v>
      </c>
      <c r="U51" s="291"/>
      <c r="V51" s="291"/>
      <c r="W51" s="291"/>
      <c r="X51" s="291"/>
      <c r="Y51" s="291"/>
      <c r="Z51" s="291"/>
      <c r="AA51" s="291"/>
      <c r="AB51" s="291"/>
      <c r="AC51" s="291"/>
      <c r="AD51" s="291"/>
      <c r="AE51" s="291"/>
      <c r="AF51" s="291"/>
      <c r="AG51" s="291"/>
      <c r="AH51" s="291"/>
      <c r="AI51" s="291"/>
      <c r="AJ51" s="291"/>
      <c r="AK51" s="291"/>
      <c r="AL51" s="245"/>
      <c r="AM51" s="7686"/>
      <c r="AO51" s="424"/>
      <c r="AP51" s="424" t="str">
        <f t="shared" si="1"/>
        <v>Добавить вид теплоносителя (параметры теплоносителя)</v>
      </c>
      <c r="AQ51" s="424"/>
      <c r="AR51" s="424"/>
    </row>
    <row r="52" spans="1:44" ht="11.25" customHeight="1">
      <c r="A52" s="1284" t="s">
        <v>300</v>
      </c>
      <c r="B52" s="1284" t="s">
        <v>301</v>
      </c>
      <c r="C52" s="1284" t="s">
        <v>302</v>
      </c>
      <c r="D52" s="1284" t="s">
        <v>303</v>
      </c>
      <c r="E52" s="7690"/>
      <c r="F52" s="7690"/>
      <c r="G52" s="7690"/>
      <c r="H52" s="7690"/>
      <c r="I52" s="7687"/>
      <c r="J52" s="1284"/>
      <c r="K52" s="1284"/>
      <c r="L52" s="1285"/>
      <c r="P52" s="7688"/>
      <c r="Q52" s="1253"/>
      <c r="R52" s="277"/>
      <c r="S52" s="1203"/>
      <c r="T52" s="202" t="s">
        <v>588</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300</v>
      </c>
      <c r="B53" s="1284" t="s">
        <v>301</v>
      </c>
      <c r="C53" s="1284" t="s">
        <v>302</v>
      </c>
      <c r="D53" s="1284" t="s">
        <v>303</v>
      </c>
      <c r="E53" s="7690"/>
      <c r="F53" s="7690"/>
      <c r="G53" s="7690"/>
      <c r="H53" s="7689"/>
      <c r="I53" s="1284"/>
      <c r="J53" s="1284"/>
      <c r="K53" s="1284"/>
      <c r="L53" s="1285"/>
      <c r="M53" s="1286"/>
      <c r="N53" s="1286"/>
      <c r="O53" s="460"/>
      <c r="P53" s="281"/>
      <c r="Q53" s="299"/>
      <c r="R53" s="276"/>
      <c r="S53" s="1203"/>
      <c r="T53" s="288" t="s">
        <v>589</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300</v>
      </c>
      <c r="B54" s="1265" t="s">
        <v>301</v>
      </c>
      <c r="C54" s="1265" t="s">
        <v>302</v>
      </c>
      <c r="D54" s="1237"/>
      <c r="E54" s="7690"/>
      <c r="F54" s="7690"/>
      <c r="G54" s="7689"/>
      <c r="H54" s="1237"/>
      <c r="I54" s="1237"/>
      <c r="J54" s="1237"/>
      <c r="K54" s="1237"/>
      <c r="L54" s="1261"/>
      <c r="M54" s="1238"/>
      <c r="N54" s="1238"/>
      <c r="P54" s="1239"/>
      <c r="Q54" s="1240"/>
      <c r="R54" s="1239"/>
      <c r="S54" s="1245"/>
      <c r="T54" s="1248" t="s">
        <v>590</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300</v>
      </c>
      <c r="B55" s="1265" t="s">
        <v>301</v>
      </c>
      <c r="C55" s="1237"/>
      <c r="D55" s="1237"/>
      <c r="E55" s="7690"/>
      <c r="F55" s="7689"/>
      <c r="G55" s="1237"/>
      <c r="H55" s="1237"/>
      <c r="I55" s="1237"/>
      <c r="J55" s="1237"/>
      <c r="K55" s="1237"/>
      <c r="L55" s="1261"/>
      <c r="M55" s="1244"/>
      <c r="N55" s="1244"/>
      <c r="P55" s="1239"/>
      <c r="Q55" s="1240"/>
      <c r="R55" s="1239"/>
      <c r="S55" s="1245"/>
      <c r="T55" s="1248" t="s">
        <v>325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300</v>
      </c>
      <c r="B56" s="1265"/>
      <c r="C56" s="1265"/>
      <c r="D56" s="1265"/>
      <c r="E56" s="7689"/>
      <c r="F56" s="1265"/>
      <c r="G56" s="1265"/>
      <c r="H56" s="1265"/>
      <c r="I56" s="1265"/>
      <c r="J56" s="1265"/>
      <c r="K56" s="1265"/>
      <c r="L56" s="1268"/>
      <c r="M56" s="1244"/>
      <c r="N56" s="1244"/>
      <c r="O56" s="442"/>
      <c r="P56" s="308"/>
      <c r="Q56" s="1266"/>
      <c r="R56" s="308"/>
      <c r="S56" s="1245"/>
      <c r="T56" s="1248" t="s">
        <v>326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402</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7709"/>
      <c r="U59" s="7709"/>
      <c r="V59" s="7709"/>
      <c r="W59" s="7709"/>
      <c r="X59" s="7709"/>
      <c r="Y59" s="7709"/>
      <c r="Z59" s="7709"/>
      <c r="AA59" s="7709"/>
      <c r="AB59" s="7709"/>
      <c r="AC59" s="7709"/>
      <c r="AD59" s="7709"/>
      <c r="AE59" s="7709"/>
      <c r="AF59" s="7709"/>
      <c r="AG59" s="7709"/>
      <c r="AH59" s="7709"/>
      <c r="AI59" s="7709"/>
      <c r="AJ59" s="7709"/>
      <c r="AK59" s="7709"/>
      <c r="AL59" s="7709"/>
      <c r="AM59" s="7709"/>
    </row>
    <row r="60" spans="1:44" ht="75" customHeight="1">
      <c r="O60" s="460"/>
      <c r="T60" s="7709"/>
      <c r="U60" s="7709"/>
      <c r="V60" s="7709"/>
      <c r="W60" s="7709"/>
      <c r="X60" s="7709"/>
      <c r="Y60" s="7709"/>
      <c r="Z60" s="7709"/>
      <c r="AA60" s="7709"/>
      <c r="AB60" s="7709"/>
      <c r="AC60" s="7709"/>
      <c r="AD60" s="7709"/>
      <c r="AE60" s="7709"/>
      <c r="AF60" s="7709"/>
      <c r="AG60" s="7709"/>
      <c r="AH60" s="7709"/>
      <c r="AI60" s="7709"/>
      <c r="AJ60" s="7709"/>
      <c r="AK60" s="7709"/>
      <c r="AL60" s="7709"/>
      <c r="AM60" s="7709"/>
    </row>
    <row r="61" spans="1:44" ht="14.25" customHeight="1">
      <c r="O61" s="460"/>
    </row>
    <row r="62" spans="1:44" ht="18" customHeight="1">
      <c r="O62" s="460"/>
      <c r="S62" s="1169"/>
      <c r="T62" s="7709"/>
      <c r="U62" s="7709"/>
      <c r="V62" s="7709"/>
      <c r="W62" s="7709"/>
      <c r="X62" s="7709"/>
      <c r="Y62" s="7709"/>
      <c r="Z62" s="7709"/>
      <c r="AA62" s="7709"/>
      <c r="AB62" s="7709"/>
      <c r="AC62" s="7709"/>
      <c r="AD62" s="7709"/>
      <c r="AE62" s="7709"/>
      <c r="AF62" s="7709"/>
      <c r="AG62" s="7709"/>
      <c r="AH62" s="7709"/>
      <c r="AI62" s="7709"/>
      <c r="AJ62" s="7709"/>
      <c r="AK62" s="7709"/>
      <c r="AL62" s="7709"/>
      <c r="AM62" s="7709"/>
    </row>
    <row r="63" spans="1:44" ht="18" customHeight="1">
      <c r="O63" s="460"/>
      <c r="T63" s="7709"/>
      <c r="U63" s="7709"/>
      <c r="V63" s="7709"/>
      <c r="W63" s="7709"/>
      <c r="X63" s="7709"/>
      <c r="Y63" s="7709"/>
      <c r="Z63" s="7709"/>
      <c r="AA63" s="7709"/>
      <c r="AB63" s="7709"/>
      <c r="AC63" s="7709"/>
      <c r="AD63" s="7709"/>
      <c r="AE63" s="7709"/>
      <c r="AF63" s="7709"/>
      <c r="AG63" s="7709"/>
      <c r="AH63" s="7709"/>
      <c r="AI63" s="7709"/>
      <c r="AJ63" s="7709"/>
      <c r="AK63" s="7709"/>
      <c r="AL63" s="7709"/>
      <c r="AM63" s="7709"/>
    </row>
    <row r="64" spans="1:44" ht="38.25" customHeight="1">
      <c r="O64" s="460"/>
      <c r="S64" s="1169"/>
      <c r="T64" s="7709"/>
      <c r="U64" s="7709"/>
      <c r="V64" s="7709"/>
      <c r="W64" s="7709"/>
      <c r="X64" s="7709"/>
      <c r="Y64" s="7709"/>
      <c r="Z64" s="7709"/>
      <c r="AA64" s="7709"/>
      <c r="AB64" s="7709"/>
      <c r="AC64" s="7709"/>
      <c r="AD64" s="7709"/>
      <c r="AE64" s="7709"/>
      <c r="AF64" s="7709"/>
      <c r="AG64" s="7709"/>
      <c r="AH64" s="7709"/>
      <c r="AI64" s="7709"/>
      <c r="AJ64" s="7709"/>
      <c r="AK64" s="7709"/>
      <c r="AL64" s="7709"/>
      <c r="AM64" s="7709"/>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5" hidden="1" customWidth="1"/>
    <col min="13" max="14" width="12.28515625" style="1696" hidden="1" customWidth="1"/>
    <col min="15" max="15" width="23.42578125" style="1696" hidden="1" customWidth="1"/>
    <col min="16" max="16" width="3.7109375" style="1817" hidden="1" customWidth="1"/>
    <col min="17" max="18" width="3.7109375" style="265" customWidth="1"/>
    <col min="19" max="19" width="12.7109375" style="1820"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7689">
        <v>1</v>
      </c>
      <c r="F2" s="1284"/>
      <c r="G2" s="1284"/>
      <c r="H2" s="1284"/>
      <c r="I2" s="1284"/>
      <c r="J2" s="1284"/>
      <c r="K2" s="1284"/>
      <c r="L2" s="1285"/>
      <c r="M2" s="1286"/>
      <c r="N2" s="1286"/>
      <c r="O2" s="1286"/>
      <c r="P2" s="282"/>
      <c r="Q2" s="281"/>
      <c r="R2" s="276"/>
      <c r="S2" s="1258" t="e">
        <f>INDEX(PT_DIFFERENTIATION_NUM_NTAR,MATCH(A2,PT_DIFFERENTIATION_NTAR_ID,0))</f>
        <v>#N/A</v>
      </c>
      <c r="T2" s="212" t="s">
        <v>237</v>
      </c>
      <c r="U2" s="214"/>
      <c r="V2" s="7675"/>
      <c r="W2" s="7676"/>
      <c r="X2" s="7676"/>
      <c r="Y2" s="7676"/>
      <c r="Z2" s="7676"/>
      <c r="AA2" s="7676"/>
      <c r="AB2" s="7676"/>
      <c r="AC2" s="7677"/>
      <c r="AD2" s="7675" t="e">
        <f>INDEX(PT_DIFFERENTIATION_NTAR,MATCH(A2,PT_DIFFERENTIATION_NTAR_ID,0))</f>
        <v>#N/A</v>
      </c>
      <c r="AE2" s="7676"/>
      <c r="AF2" s="7676"/>
      <c r="AG2" s="7676"/>
      <c r="AH2" s="7676"/>
      <c r="AI2" s="7676"/>
      <c r="AJ2" s="7676"/>
      <c r="AK2" s="7676"/>
      <c r="AL2" s="7677"/>
      <c r="AM2" s="1182" t="s">
        <v>572</v>
      </c>
      <c r="AO2" s="424"/>
      <c r="AP2" s="424" t="str">
        <f t="shared" ref="AP2:AP15" si="0">IF(T2="","",T2)</f>
        <v>Наименование тарифа</v>
      </c>
      <c r="AQ2" s="424"/>
      <c r="AR2" s="424"/>
    </row>
    <row r="3" spans="1:44" ht="21" hidden="1" customHeight="1">
      <c r="A3" s="1284"/>
      <c r="B3" s="1284"/>
      <c r="C3" s="1284"/>
      <c r="D3" s="1284"/>
      <c r="E3" s="7690"/>
      <c r="F3" s="7689">
        <v>1</v>
      </c>
      <c r="G3" s="1284"/>
      <c r="H3" s="1284"/>
      <c r="I3" s="1284"/>
      <c r="J3" s="1284"/>
      <c r="K3" s="1284"/>
      <c r="L3" s="1285"/>
      <c r="M3" s="1286"/>
      <c r="N3" s="1286"/>
      <c r="O3" s="1286"/>
      <c r="P3" s="1254"/>
      <c r="Q3" s="273"/>
      <c r="R3" s="274"/>
      <c r="S3" s="1258" t="e">
        <f>INDEX(PT_DIFFERENTIATION_NUM_TER,MATCH(B3,PT_DIFFERENTIATION_TER_ID,0))</f>
        <v>#N/A</v>
      </c>
      <c r="T3" s="224" t="s">
        <v>573</v>
      </c>
      <c r="U3" s="214"/>
      <c r="V3" s="7675"/>
      <c r="W3" s="7676"/>
      <c r="X3" s="7676"/>
      <c r="Y3" s="7676"/>
      <c r="Z3" s="7676"/>
      <c r="AA3" s="7676"/>
      <c r="AB3" s="7676"/>
      <c r="AC3" s="7677"/>
      <c r="AD3" s="7675" t="e">
        <f>INDEX(PT_DIFFERENTIATION_TER,MATCH(B3,PT_DIFFERENTIATION_TER_ID,0))</f>
        <v>#N/A</v>
      </c>
      <c r="AE3" s="7676"/>
      <c r="AF3" s="7676"/>
      <c r="AG3" s="7676"/>
      <c r="AH3" s="7676"/>
      <c r="AI3" s="7676"/>
      <c r="AJ3" s="7676"/>
      <c r="AK3" s="7676"/>
      <c r="AL3" s="7677"/>
      <c r="AM3" s="1182" t="s">
        <v>574</v>
      </c>
      <c r="AO3" s="424"/>
      <c r="AP3" s="424" t="str">
        <f t="shared" si="0"/>
        <v>Территория действия тарифа</v>
      </c>
      <c r="AQ3" s="424"/>
      <c r="AR3" s="424"/>
    </row>
    <row r="4" spans="1:44" ht="23.25" hidden="1" customHeight="1">
      <c r="A4" s="1284"/>
      <c r="B4" s="1284"/>
      <c r="C4" s="1284"/>
      <c r="D4" s="1284"/>
      <c r="E4" s="7690"/>
      <c r="F4" s="7690"/>
      <c r="G4" s="7689">
        <v>1</v>
      </c>
      <c r="H4" s="1284"/>
      <c r="I4" s="1284"/>
      <c r="J4" s="1284"/>
      <c r="K4" s="1284"/>
      <c r="L4" s="1285"/>
      <c r="M4" s="1286"/>
      <c r="N4" s="1286"/>
      <c r="O4" s="1286"/>
      <c r="P4" s="275"/>
      <c r="Q4" s="273"/>
      <c r="R4" s="274"/>
      <c r="S4" s="1258" t="e">
        <f>INDEX(PT_DIFFERENTIATION_NUM_CS,MATCH(C4,PT_DIFFERENTIATION_CS_ID,0))</f>
        <v>#N/A</v>
      </c>
      <c r="T4" s="225" t="s">
        <v>575</v>
      </c>
      <c r="U4" s="214"/>
      <c r="V4" s="7675"/>
      <c r="W4" s="7676"/>
      <c r="X4" s="7676"/>
      <c r="Y4" s="7676"/>
      <c r="Z4" s="7676"/>
      <c r="AA4" s="7676"/>
      <c r="AB4" s="7676"/>
      <c r="AC4" s="7677"/>
      <c r="AD4" s="7675" t="e">
        <f>INDEX(PT_DIFFERENTIATION_CS,MATCH(C4,PT_DIFFERENTIATION_CS_ID,0))</f>
        <v>#N/A</v>
      </c>
      <c r="AE4" s="7676"/>
      <c r="AF4" s="7676"/>
      <c r="AG4" s="7676"/>
      <c r="AH4" s="7676"/>
      <c r="AI4" s="7676"/>
      <c r="AJ4" s="7676"/>
      <c r="AK4" s="7676"/>
      <c r="AL4" s="7677"/>
      <c r="AM4" s="1182" t="s">
        <v>576</v>
      </c>
      <c r="AO4" s="424"/>
      <c r="AP4" s="424" t="str">
        <f t="shared" si="0"/>
        <v xml:space="preserve">Наименование системы теплоснабжения </v>
      </c>
      <c r="AQ4" s="424"/>
      <c r="AR4" s="424"/>
    </row>
    <row r="5" spans="1:44" ht="21" hidden="1" customHeight="1">
      <c r="A5" s="1284"/>
      <c r="B5" s="1284"/>
      <c r="C5" s="1284"/>
      <c r="D5" s="1284"/>
      <c r="E5" s="7690"/>
      <c r="F5" s="7690"/>
      <c r="G5" s="7690"/>
      <c r="H5" s="7689">
        <v>1</v>
      </c>
      <c r="I5" s="1284"/>
      <c r="J5" s="1284"/>
      <c r="K5" s="1284"/>
      <c r="L5" s="1285"/>
      <c r="M5" s="1286"/>
      <c r="N5" s="1286"/>
      <c r="O5" s="1286"/>
      <c r="P5" s="275"/>
      <c r="Q5" s="273"/>
      <c r="R5" s="274"/>
      <c r="S5" s="1258" t="e">
        <f>INDEX(PT_DIFFERENTIATION_NUM_IST_TE,MATCH(D5,PT_DIFFERENTIATION_IST_TE_ID,0))</f>
        <v>#N/A</v>
      </c>
      <c r="T5" s="226" t="s">
        <v>577</v>
      </c>
      <c r="U5" s="214"/>
      <c r="V5" s="7675"/>
      <c r="W5" s="7676"/>
      <c r="X5" s="7676"/>
      <c r="Y5" s="7676"/>
      <c r="Z5" s="7676"/>
      <c r="AA5" s="7676"/>
      <c r="AB5" s="7676"/>
      <c r="AC5" s="7677"/>
      <c r="AD5" s="7675" t="e">
        <f>INDEX(PT_DIFFERENTIATION_IST_TE,MATCH(D5,PT_DIFFERENTIATION_IST_TE_ID,0))</f>
        <v>#N/A</v>
      </c>
      <c r="AE5" s="7676"/>
      <c r="AF5" s="7676"/>
      <c r="AG5" s="7676"/>
      <c r="AH5" s="7676"/>
      <c r="AI5" s="7676"/>
      <c r="AJ5" s="7676"/>
      <c r="AK5" s="7676"/>
      <c r="AL5" s="7677"/>
      <c r="AM5" s="1182" t="s">
        <v>578</v>
      </c>
      <c r="AO5" s="424"/>
      <c r="AP5" s="424" t="str">
        <f t="shared" si="0"/>
        <v xml:space="preserve">Источник тепловой энергии  </v>
      </c>
      <c r="AQ5" s="424"/>
      <c r="AR5" s="424"/>
    </row>
    <row r="6" spans="1:44" ht="14.25" hidden="1" customHeight="1">
      <c r="A6" s="1284"/>
      <c r="B6" s="1284"/>
      <c r="C6" s="1284"/>
      <c r="D6" s="1284"/>
      <c r="E6" s="7690"/>
      <c r="F6" s="7690"/>
      <c r="G6" s="7690"/>
      <c r="H6" s="7690"/>
      <c r="I6" s="7687" t="e">
        <f>S5&amp;".1"</f>
        <v>#N/A</v>
      </c>
      <c r="J6" s="1284"/>
      <c r="K6" s="1284"/>
      <c r="L6" s="1285" t="s">
        <v>579</v>
      </c>
      <c r="M6" s="460"/>
      <c r="P6" s="7688">
        <v>1</v>
      </c>
      <c r="Q6" s="1253"/>
      <c r="R6" s="277"/>
      <c r="S6" s="953"/>
      <c r="T6" s="1304"/>
      <c r="U6" s="1305"/>
      <c r="V6" s="7716"/>
      <c r="W6" s="7717"/>
      <c r="X6" s="7717"/>
      <c r="Y6" s="7717"/>
      <c r="Z6" s="7717"/>
      <c r="AA6" s="7717"/>
      <c r="AB6" s="7717"/>
      <c r="AC6" s="7718"/>
      <c r="AD6" s="7716"/>
      <c r="AE6" s="7717"/>
      <c r="AF6" s="7717"/>
      <c r="AG6" s="7717"/>
      <c r="AH6" s="7717"/>
      <c r="AI6" s="7717"/>
      <c r="AJ6" s="7717"/>
      <c r="AK6" s="7717"/>
      <c r="AL6" s="7718"/>
      <c r="AM6" s="1306"/>
      <c r="AO6" s="424"/>
      <c r="AP6" s="424" t="str">
        <f t="shared" si="0"/>
        <v/>
      </c>
      <c r="AQ6" s="424"/>
      <c r="AR6" s="424"/>
    </row>
    <row r="7" spans="1:44" ht="21" hidden="1" customHeight="1">
      <c r="A7" s="1284"/>
      <c r="B7" s="1284"/>
      <c r="C7" s="1284"/>
      <c r="D7" s="1284"/>
      <c r="E7" s="7690"/>
      <c r="F7" s="7690"/>
      <c r="G7" s="7690"/>
      <c r="H7" s="7690"/>
      <c r="I7" s="7710"/>
      <c r="J7" s="7687" t="e">
        <f>I6&amp;".1"</f>
        <v>#N/A</v>
      </c>
      <c r="K7" s="1284"/>
      <c r="L7" s="1285" t="s">
        <v>582</v>
      </c>
      <c r="M7" s="460"/>
      <c r="N7" s="1287"/>
      <c r="P7" s="7688"/>
      <c r="Q7" s="7688">
        <v>1</v>
      </c>
      <c r="R7" s="278"/>
      <c r="S7" s="1258" t="e">
        <f>$J7</f>
        <v>#N/A</v>
      </c>
      <c r="T7" s="201" t="s">
        <v>583</v>
      </c>
      <c r="U7" s="214"/>
      <c r="V7" s="7678"/>
      <c r="W7" s="7679"/>
      <c r="X7" s="7679"/>
      <c r="Y7" s="7679"/>
      <c r="Z7" s="7679"/>
      <c r="AA7" s="7679"/>
      <c r="AB7" s="7679"/>
      <c r="AC7" s="7680"/>
      <c r="AD7" s="7678"/>
      <c r="AE7" s="7679"/>
      <c r="AF7" s="7679"/>
      <c r="AG7" s="7679"/>
      <c r="AH7" s="7679"/>
      <c r="AI7" s="7679"/>
      <c r="AJ7" s="7679"/>
      <c r="AK7" s="7679"/>
      <c r="AL7" s="7680"/>
      <c r="AM7" s="1182" t="s">
        <v>584</v>
      </c>
      <c r="AO7" s="424"/>
      <c r="AP7" s="424" t="str">
        <f t="shared" si="0"/>
        <v>Группа потребителей</v>
      </c>
      <c r="AQ7" s="424"/>
      <c r="AR7" s="424"/>
    </row>
    <row r="8" spans="1:44" ht="21" hidden="1" customHeight="1">
      <c r="A8" s="1284"/>
      <c r="B8" s="1284"/>
      <c r="C8" s="1284"/>
      <c r="D8" s="1284"/>
      <c r="E8" s="7690"/>
      <c r="F8" s="7690"/>
      <c r="G8" s="7690"/>
      <c r="H8" s="7690"/>
      <c r="I8" s="7710"/>
      <c r="J8" s="7710"/>
      <c r="K8" s="7687" t="e">
        <f>J7&amp;".1"</f>
        <v>#N/A</v>
      </c>
      <c r="L8" s="1285" t="s">
        <v>585</v>
      </c>
      <c r="M8" s="460"/>
      <c r="N8" s="1287"/>
      <c r="O8" s="1287"/>
      <c r="P8" s="7688"/>
      <c r="Q8" s="7688"/>
      <c r="R8" s="278">
        <v>1</v>
      </c>
      <c r="S8" s="1258" t="e">
        <f>$K8</f>
        <v>#N/A</v>
      </c>
      <c r="T8" s="1269"/>
      <c r="U8" s="214"/>
      <c r="V8" s="666"/>
      <c r="W8" s="246"/>
      <c r="X8" s="666"/>
      <c r="Y8" s="1181"/>
      <c r="Z8" s="7692"/>
      <c r="AA8" s="7540" t="s">
        <v>60</v>
      </c>
      <c r="AB8" s="7692"/>
      <c r="AC8" s="7540" t="s">
        <v>60</v>
      </c>
      <c r="AD8" s="666"/>
      <c r="AE8" s="246"/>
      <c r="AF8" s="666"/>
      <c r="AG8" s="1181"/>
      <c r="AH8" s="7692"/>
      <c r="AI8" s="7540" t="s">
        <v>60</v>
      </c>
      <c r="AJ8" s="7692"/>
      <c r="AK8" s="7540" t="s">
        <v>60</v>
      </c>
      <c r="AL8" s="246"/>
      <c r="AM8" s="7684" t="s">
        <v>586</v>
      </c>
      <c r="AN8" s="435" t="e">
        <f ca="1">STRCHECKDATE(V9:AL9)</f>
        <v>#NAME?</v>
      </c>
      <c r="AO8" s="424"/>
      <c r="AP8" s="424" t="str">
        <f t="shared" si="0"/>
        <v/>
      </c>
      <c r="AQ8" s="424"/>
      <c r="AR8" s="424"/>
    </row>
    <row r="9" spans="1:44" ht="0.75" hidden="1" customHeight="1">
      <c r="A9" s="1284"/>
      <c r="B9" s="1284"/>
      <c r="C9" s="1284"/>
      <c r="D9" s="1284"/>
      <c r="E9" s="7690"/>
      <c r="F9" s="7690"/>
      <c r="G9" s="7690"/>
      <c r="H9" s="7690"/>
      <c r="I9" s="7710"/>
      <c r="J9" s="7710"/>
      <c r="K9" s="7687"/>
      <c r="L9" s="1285"/>
      <c r="M9" s="460"/>
      <c r="N9" s="1287"/>
      <c r="O9" s="1287"/>
      <c r="P9" s="7688"/>
      <c r="Q9" s="7688"/>
      <c r="R9" s="278"/>
      <c r="S9" s="1264"/>
      <c r="T9" s="214"/>
      <c r="U9" s="214"/>
      <c r="V9" s="246"/>
      <c r="W9" s="246"/>
      <c r="X9" s="246"/>
      <c r="Y9" s="250" t="str">
        <f>Z8&amp;"-"&amp;AB8</f>
        <v>-</v>
      </c>
      <c r="Z9" s="7693"/>
      <c r="AA9" s="7540"/>
      <c r="AB9" s="7693"/>
      <c r="AC9" s="7540"/>
      <c r="AD9" s="246"/>
      <c r="AE9" s="246"/>
      <c r="AF9" s="246"/>
      <c r="AG9" s="250" t="str">
        <f>AH8&amp;"-"&amp;AJ8</f>
        <v>-</v>
      </c>
      <c r="AH9" s="7693"/>
      <c r="AI9" s="7540"/>
      <c r="AJ9" s="7693"/>
      <c r="AK9" s="7540"/>
      <c r="AL9" s="246"/>
      <c r="AM9" s="7685"/>
      <c r="AO9" s="424"/>
      <c r="AP9" s="424" t="str">
        <f t="shared" si="0"/>
        <v/>
      </c>
      <c r="AQ9" s="424"/>
      <c r="AR9" s="424"/>
    </row>
    <row r="10" spans="1:44" ht="15" hidden="1" customHeight="1">
      <c r="A10" s="1284"/>
      <c r="B10" s="1284"/>
      <c r="C10" s="1284"/>
      <c r="D10" s="1284"/>
      <c r="E10" s="7690"/>
      <c r="F10" s="7690"/>
      <c r="G10" s="7690"/>
      <c r="H10" s="7690"/>
      <c r="I10" s="7710"/>
      <c r="J10" s="7687"/>
      <c r="K10" s="1284"/>
      <c r="L10" s="1285"/>
      <c r="M10" s="460"/>
      <c r="N10" s="1287"/>
      <c r="P10" s="7688"/>
      <c r="Q10" s="7688"/>
      <c r="R10" s="277"/>
      <c r="S10" s="1203"/>
      <c r="T10" s="202" t="s">
        <v>587</v>
      </c>
      <c r="U10" s="291"/>
      <c r="V10" s="291"/>
      <c r="W10" s="291"/>
      <c r="X10" s="291"/>
      <c r="Y10" s="291"/>
      <c r="Z10" s="291"/>
      <c r="AA10" s="291"/>
      <c r="AB10" s="291"/>
      <c r="AC10" s="291"/>
      <c r="AD10" s="291"/>
      <c r="AE10" s="291"/>
      <c r="AF10" s="291"/>
      <c r="AG10" s="291"/>
      <c r="AH10" s="291"/>
      <c r="AI10" s="291"/>
      <c r="AJ10" s="291"/>
      <c r="AK10" s="291"/>
      <c r="AL10" s="245"/>
      <c r="AM10" s="7686"/>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7690"/>
      <c r="F11" s="7690"/>
      <c r="G11" s="7690"/>
      <c r="H11" s="7690"/>
      <c r="I11" s="7687"/>
      <c r="J11" s="1284"/>
      <c r="K11" s="1284"/>
      <c r="L11" s="1285"/>
      <c r="M11" s="460"/>
      <c r="P11" s="7688"/>
      <c r="Q11" s="1253"/>
      <c r="R11" s="277"/>
      <c r="S11" s="1203"/>
      <c r="T11" s="288" t="s">
        <v>588</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7690"/>
      <c r="F12" s="7690"/>
      <c r="G12" s="7690"/>
      <c r="H12" s="7689"/>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0.75" hidden="1" customHeight="1">
      <c r="A13" s="1237"/>
      <c r="B13" s="1237"/>
      <c r="C13" s="1237"/>
      <c r="D13" s="1237"/>
      <c r="E13" s="7690"/>
      <c r="F13" s="7690"/>
      <c r="G13" s="7689"/>
      <c r="H13" s="1237"/>
      <c r="I13" s="1237"/>
      <c r="J13" s="1237"/>
      <c r="K13" s="1237"/>
      <c r="L13" s="1261"/>
      <c r="M13" s="1238"/>
      <c r="N13" s="1238"/>
      <c r="P13" s="1239"/>
      <c r="Q13" s="1240"/>
      <c r="R13" s="1239"/>
      <c r="S13" s="1241"/>
      <c r="T13" s="1242" t="s">
        <v>590</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7690"/>
      <c r="F14" s="7689"/>
      <c r="G14" s="1237"/>
      <c r="H14" s="1237"/>
      <c r="I14" s="1237"/>
      <c r="J14" s="1237"/>
      <c r="K14" s="1237"/>
      <c r="L14" s="1261"/>
      <c r="M14" s="1244"/>
      <c r="N14" s="1244"/>
      <c r="P14" s="1239"/>
      <c r="Q14" s="1240"/>
      <c r="R14" s="1239"/>
      <c r="S14" s="1245"/>
      <c r="T14" s="1246" t="s">
        <v>325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7689"/>
      <c r="F15" s="1237"/>
      <c r="G15" s="1237"/>
      <c r="H15" s="1237"/>
      <c r="I15" s="1237"/>
      <c r="J15" s="1237"/>
      <c r="K15" s="1237"/>
      <c r="L15" s="1261"/>
      <c r="M15" s="1244"/>
      <c r="N15" s="1244"/>
      <c r="P15" s="1239"/>
      <c r="Q15" s="1240"/>
      <c r="R15" s="1239"/>
      <c r="S15" s="1245"/>
      <c r="T15" s="1248" t="s">
        <v>326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7694"/>
      <c r="AI17" s="7695" t="s">
        <v>60</v>
      </c>
      <c r="AJ17" s="7694"/>
      <c r="AK17" s="7695" t="s">
        <v>60</v>
      </c>
    </row>
    <row r="18" spans="1:44" ht="14.25" hidden="1" customHeight="1">
      <c r="AD18" s="1281"/>
      <c r="AE18" s="1281"/>
      <c r="AF18" s="1281"/>
      <c r="AG18" s="250" t="str">
        <f>AH17&amp;"-"&amp;AJ17</f>
        <v>-</v>
      </c>
      <c r="AH18" s="7695"/>
      <c r="AI18" s="7695"/>
      <c r="AJ18" s="7695"/>
      <c r="AK18" s="7695"/>
    </row>
    <row r="19" spans="1:44" ht="14.25" hidden="1" customHeight="1">
      <c r="AK19" s="249"/>
    </row>
    <row r="20" spans="1:44" s="1287" customFormat="1" ht="22.5" hidden="1" customHeight="1">
      <c r="L20" s="1251"/>
      <c r="M20" s="1283"/>
      <c r="N20" s="1283"/>
      <c r="O20" s="1288" t="s">
        <v>591</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592</v>
      </c>
      <c r="P22" s="1283"/>
      <c r="Q22" s="1292"/>
      <c r="R22" s="1292"/>
      <c r="S22" s="646"/>
      <c r="T22" s="1065" t="s">
        <v>593</v>
      </c>
      <c r="AA22" s="104" t="s">
        <v>594</v>
      </c>
      <c r="AC22" s="104" t="s">
        <v>595</v>
      </c>
      <c r="AD22" s="1065" t="s">
        <v>593</v>
      </c>
      <c r="AI22" s="104" t="s">
        <v>596</v>
      </c>
      <c r="AK22" s="104" t="s">
        <v>595</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 customHeight="1">
      <c r="Q26" s="300"/>
      <c r="R26" s="300"/>
      <c r="S26" s="767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7673"/>
      <c r="U26" s="7673"/>
      <c r="V26" s="7673"/>
      <c r="W26" s="7673"/>
      <c r="X26" s="7673"/>
      <c r="Y26" s="7673"/>
      <c r="Z26" s="7673"/>
      <c r="AA26" s="7673"/>
      <c r="AB26" s="7673"/>
      <c r="AC26" s="7673"/>
      <c r="AD26" s="7673"/>
      <c r="AE26" s="7673"/>
      <c r="AF26" s="7673"/>
      <c r="AG26" s="7673"/>
      <c r="AH26" s="7673"/>
      <c r="AI26" s="7673"/>
      <c r="AJ26" s="7673"/>
      <c r="AK26" s="1157"/>
    </row>
    <row r="27" spans="1:44" ht="14.25" customHeight="1">
      <c r="Q27" s="300"/>
      <c r="R27" s="300"/>
      <c r="S27" s="7620" t="str">
        <f>IF(org=0,"Не определено",org)</f>
        <v>ГУП СК "Ставрополькрайводоканал"</v>
      </c>
      <c r="T27" s="7620"/>
      <c r="U27" s="7620"/>
      <c r="V27" s="7620"/>
      <c r="W27" s="7620"/>
      <c r="X27" s="7620"/>
      <c r="Y27" s="7620"/>
      <c r="Z27" s="7620"/>
      <c r="AA27" s="7620"/>
      <c r="AB27" s="7620"/>
      <c r="AC27" s="7620"/>
      <c r="AD27" s="7620"/>
      <c r="AE27" s="7620"/>
      <c r="AF27" s="7620"/>
      <c r="AG27" s="7620"/>
      <c r="AH27" s="7620"/>
      <c r="AI27" s="7620"/>
      <c r="AJ27" s="7620"/>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7681" t="s">
        <v>38</v>
      </c>
      <c r="T29" s="7681"/>
      <c r="U29" s="1293"/>
      <c r="V29" s="7682" t="str">
        <f>IF(TITLE_NAME_OR_PR_CHANGE="",IF(TITLE_NAME_OR_PR="","",TITLE_NAME_OR_PR),TITLE_NAME_OR_PR_CHANGE)</f>
        <v>Региональная тарифная комиссия Ставропольского края</v>
      </c>
      <c r="W29" s="7682"/>
      <c r="X29" s="7682"/>
      <c r="Y29" s="7682"/>
      <c r="Z29" s="7682"/>
      <c r="AA29" s="7682"/>
      <c r="AB29" s="7682"/>
      <c r="AC29" s="248"/>
      <c r="AD29" s="7682" t="str">
        <f>IF(TITLE_NAME_OR_PR_CHANGE="",IF(TITLE_NAME_OR_PR="","",TITLE_NAME_OR_PR),TITLE_NAME_OR_PR_CHANGE)</f>
        <v>Региональная тарифная комиссия Ставропольского края</v>
      </c>
      <c r="AE29" s="7682"/>
      <c r="AF29" s="7682"/>
      <c r="AG29" s="7682"/>
      <c r="AH29" s="7682"/>
      <c r="AI29" s="7682"/>
      <c r="AJ29" s="7682"/>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7681" t="s">
        <v>597</v>
      </c>
      <c r="T30" s="7681"/>
      <c r="U30" s="1293"/>
      <c r="V30" s="7691">
        <f>IF(TITLE_DATE_PR_CHANGE="",IF(TITLE_DATE_PR="","",TITLE_DATE_PR),TITLE_DATE_PR_CHANGE)</f>
        <v>45278</v>
      </c>
      <c r="W30" s="7691"/>
      <c r="X30" s="7691"/>
      <c r="Y30" s="7691"/>
      <c r="Z30" s="7691"/>
      <c r="AA30" s="7691"/>
      <c r="AB30" s="7691"/>
      <c r="AC30" s="248"/>
      <c r="AD30" s="7691">
        <f>IF(TITLE_DATE_PR_CHANGE="",IF(TITLE_DATE_PR="","",TITLE_DATE_PR),TITLE_DATE_PR_CHANGE)</f>
        <v>45278</v>
      </c>
      <c r="AE30" s="7691"/>
      <c r="AF30" s="7691"/>
      <c r="AG30" s="7691"/>
      <c r="AH30" s="7691"/>
      <c r="AI30" s="7691"/>
      <c r="AJ30" s="7691"/>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7681" t="s">
        <v>598</v>
      </c>
      <c r="T31" s="7681"/>
      <c r="U31" s="1293"/>
      <c r="V31" s="7682" t="str">
        <f>IF(TITLE_NUMBER_PR_CHANGE="",IF(TITLE_NUMBER_PR="","",TITLE_NUMBER_PR),TITLE_NUMBER_PR_CHANGE)</f>
        <v>79/2</v>
      </c>
      <c r="W31" s="7682"/>
      <c r="X31" s="7682"/>
      <c r="Y31" s="7682"/>
      <c r="Z31" s="7682"/>
      <c r="AA31" s="7682"/>
      <c r="AB31" s="7682"/>
      <c r="AC31" s="248"/>
      <c r="AD31" s="7682" t="str">
        <f>IF(TITLE_NUMBER_PR_CHANGE="",IF(TITLE_NUMBER_PR="","",TITLE_NUMBER_PR),TITLE_NUMBER_PR_CHANGE)</f>
        <v>79/2</v>
      </c>
      <c r="AE31" s="7682"/>
      <c r="AF31" s="7682"/>
      <c r="AG31" s="7682"/>
      <c r="AH31" s="7682"/>
      <c r="AI31" s="7682"/>
      <c r="AJ31" s="7682"/>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7681" t="s">
        <v>40</v>
      </c>
      <c r="T32" s="7681"/>
      <c r="U32" s="1293"/>
      <c r="V32" s="7682" t="str">
        <f>IF(TITLE_IST_PUB_CHANGE="",IF(TITLE_IST_PUB="","",TITLE_IST_PUB),TITLE_IST_PUB_CHANGE)</f>
        <v>http://pravo.stavregion.ru/</v>
      </c>
      <c r="W32" s="7682"/>
      <c r="X32" s="7682"/>
      <c r="Y32" s="7682"/>
      <c r="Z32" s="7682"/>
      <c r="AA32" s="7682"/>
      <c r="AB32" s="7682"/>
      <c r="AC32" s="248"/>
      <c r="AD32" s="7682" t="str">
        <f>IF(TITLE_IST_PUB_CHANGE="",IF(TITLE_IST_PUB="","",TITLE_IST_PUB),TITLE_IST_PUB_CHANGE)</f>
        <v>http://pravo.stavregion.ru/</v>
      </c>
      <c r="AE32" s="7682"/>
      <c r="AF32" s="7682"/>
      <c r="AG32" s="7682"/>
      <c r="AH32" s="7682"/>
      <c r="AI32" s="7682"/>
      <c r="AJ32" s="7682"/>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7681" t="s">
        <v>599</v>
      </c>
      <c r="T34" s="7681"/>
      <c r="U34" s="1293"/>
      <c r="V34" s="7691">
        <f>IF(TITLE_DATE_PR_CHANGE="",IF(TITLE_DATE_PR="","",TITLE_DATE_PR),TITLE_DATE_PR_CHANGE)</f>
        <v>45278</v>
      </c>
      <c r="W34" s="7691"/>
      <c r="X34" s="7691"/>
      <c r="Y34" s="7691"/>
      <c r="Z34" s="7691"/>
      <c r="AA34" s="7691"/>
      <c r="AB34" s="7691"/>
      <c r="AC34" s="248"/>
      <c r="AD34" s="7691">
        <f>IF(TITLE_DATE_PR_CHANGE="",IF(TITLE_DATE_PR="","",TITLE_DATE_PR),TITLE_DATE_PR_CHANGE)</f>
        <v>45278</v>
      </c>
      <c r="AE34" s="7691"/>
      <c r="AF34" s="7691"/>
      <c r="AG34" s="7691"/>
      <c r="AH34" s="7691"/>
      <c r="AI34" s="7691"/>
      <c r="AJ34" s="7691"/>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7681" t="s">
        <v>600</v>
      </c>
      <c r="T35" s="7681"/>
      <c r="U35" s="1293"/>
      <c r="V35" s="7682" t="str">
        <f>IF(TITLE_NUMBER_PR_CHANGE="",IF(TITLE_NUMBER_PR="","",TITLE_NUMBER_PR),TITLE_NUMBER_PR_CHANGE)</f>
        <v>79/2</v>
      </c>
      <c r="W35" s="7682"/>
      <c r="X35" s="7682"/>
      <c r="Y35" s="7682"/>
      <c r="Z35" s="7682"/>
      <c r="AA35" s="7682"/>
      <c r="AB35" s="7682"/>
      <c r="AC35" s="248"/>
      <c r="AD35" s="7682" t="str">
        <f>IF(TITLE_NUMBER_PR_CHANGE="",IF(TITLE_NUMBER_PR="","",TITLE_NUMBER_PR),TITLE_NUMBER_PR_CHANGE)</f>
        <v>79/2</v>
      </c>
      <c r="AE35" s="7682"/>
      <c r="AF35" s="7682"/>
      <c r="AG35" s="7682"/>
      <c r="AH35" s="7682"/>
      <c r="AI35" s="7682"/>
      <c r="AJ35" s="7682"/>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601</v>
      </c>
      <c r="AD36" s="248"/>
      <c r="AE36" s="248"/>
      <c r="AF36" s="248"/>
      <c r="AG36" s="248"/>
      <c r="AH36" s="248"/>
      <c r="AI36" s="248"/>
      <c r="AJ36" s="248"/>
      <c r="AK36" s="194" t="s">
        <v>601</v>
      </c>
      <c r="AN36" s="292"/>
      <c r="AO36" s="292"/>
      <c r="AP36" s="292"/>
      <c r="AQ36" s="292"/>
      <c r="AR36" s="292"/>
    </row>
    <row r="37" spans="1:44" ht="14.25" customHeight="1">
      <c r="Q37" s="300"/>
      <c r="R37" s="300"/>
      <c r="S37" s="1200"/>
      <c r="T37" s="286"/>
      <c r="U37" s="1158"/>
      <c r="V37" s="7683"/>
      <c r="W37" s="7683"/>
      <c r="X37" s="7683"/>
      <c r="Y37" s="7683"/>
      <c r="Z37" s="7683"/>
      <c r="AA37" s="7683"/>
      <c r="AB37" s="7683"/>
      <c r="AC37" s="7683"/>
      <c r="AD37" s="7683"/>
      <c r="AE37" s="7683"/>
      <c r="AF37" s="7683"/>
      <c r="AG37" s="7683"/>
      <c r="AH37" s="7683"/>
      <c r="AI37" s="7683"/>
      <c r="AJ37" s="7683"/>
      <c r="AK37" s="7683"/>
    </row>
    <row r="38" spans="1:44" ht="14.25" customHeight="1">
      <c r="Q38" s="300"/>
      <c r="R38" s="300"/>
      <c r="S38" s="7559" t="s">
        <v>474</v>
      </c>
      <c r="T38" s="7559"/>
      <c r="U38" s="7559"/>
      <c r="V38" s="7559"/>
      <c r="W38" s="7559"/>
      <c r="X38" s="7559"/>
      <c r="Y38" s="7559"/>
      <c r="Z38" s="7559"/>
      <c r="AA38" s="7559"/>
      <c r="AB38" s="7559"/>
      <c r="AC38" s="7559"/>
      <c r="AD38" s="7559"/>
      <c r="AE38" s="7559"/>
      <c r="AF38" s="7559"/>
      <c r="AG38" s="7559"/>
      <c r="AH38" s="7559"/>
      <c r="AI38" s="7559"/>
      <c r="AJ38" s="7559"/>
      <c r="AK38" s="7559"/>
      <c r="AL38" s="7559"/>
      <c r="AM38" s="7559" t="s">
        <v>475</v>
      </c>
    </row>
    <row r="39" spans="1:44" ht="14.25" customHeight="1">
      <c r="Q39" s="300"/>
      <c r="R39" s="300"/>
      <c r="S39" s="7697" t="s">
        <v>86</v>
      </c>
      <c r="T39" s="7649" t="s">
        <v>602</v>
      </c>
      <c r="U39" s="215"/>
      <c r="V39" s="7698" t="s">
        <v>603</v>
      </c>
      <c r="W39" s="7699"/>
      <c r="X39" s="7699"/>
      <c r="Y39" s="7699"/>
      <c r="Z39" s="7699"/>
      <c r="AA39" s="7699"/>
      <c r="AB39" s="7700"/>
      <c r="AC39" s="7701" t="s">
        <v>604</v>
      </c>
      <c r="AD39" s="7698" t="s">
        <v>603</v>
      </c>
      <c r="AE39" s="7699"/>
      <c r="AF39" s="7699"/>
      <c r="AG39" s="7699"/>
      <c r="AH39" s="7699"/>
      <c r="AI39" s="7699"/>
      <c r="AJ39" s="7700"/>
      <c r="AK39" s="7701" t="s">
        <v>605</v>
      </c>
      <c r="AL39" s="7704" t="s">
        <v>606</v>
      </c>
      <c r="AM39" s="7559"/>
    </row>
    <row r="40" spans="1:44" ht="33.75" customHeight="1">
      <c r="Q40" s="300"/>
      <c r="R40" s="300"/>
      <c r="S40" s="7697"/>
      <c r="T40" s="7649"/>
      <c r="U40" s="942"/>
      <c r="V40" s="7619" t="s">
        <v>607</v>
      </c>
      <c r="W40" s="7707"/>
      <c r="X40" s="7530" t="s">
        <v>609</v>
      </c>
      <c r="Y40" s="7529"/>
      <c r="Z40" s="7530" t="s">
        <v>610</v>
      </c>
      <c r="AA40" s="7536"/>
      <c r="AB40" s="7529"/>
      <c r="AC40" s="7702"/>
      <c r="AD40" s="7619" t="s">
        <v>607</v>
      </c>
      <c r="AE40" s="7707"/>
      <c r="AF40" s="7530" t="s">
        <v>609</v>
      </c>
      <c r="AG40" s="7529"/>
      <c r="AH40" s="7530" t="s">
        <v>610</v>
      </c>
      <c r="AI40" s="7536"/>
      <c r="AJ40" s="7529"/>
      <c r="AK40" s="7702"/>
      <c r="AL40" s="7705"/>
      <c r="AM40" s="7559"/>
    </row>
    <row r="41" spans="1:44" ht="33.75" customHeight="1">
      <c r="A41" s="1291"/>
      <c r="B41" s="1291" t="s">
        <v>249</v>
      </c>
      <c r="C41" s="1291" t="s">
        <v>250</v>
      </c>
      <c r="D41" s="1291" t="s">
        <v>251</v>
      </c>
      <c r="E41" s="1285" t="s">
        <v>611</v>
      </c>
      <c r="F41" s="1285" t="s">
        <v>612</v>
      </c>
      <c r="G41" s="1285" t="s">
        <v>613</v>
      </c>
      <c r="H41" s="1285" t="s">
        <v>614</v>
      </c>
      <c r="I41" s="1285" t="s">
        <v>615</v>
      </c>
      <c r="J41" s="1285" t="s">
        <v>616</v>
      </c>
      <c r="K41" s="1285" t="s">
        <v>617</v>
      </c>
      <c r="L41" s="1285" t="s">
        <v>592</v>
      </c>
      <c r="Q41" s="300"/>
      <c r="R41" s="300"/>
      <c r="S41" s="7697"/>
      <c r="T41" s="7649"/>
      <c r="U41" s="216"/>
      <c r="V41" s="7668"/>
      <c r="W41" s="7708"/>
      <c r="X41" s="1133" t="s">
        <v>618</v>
      </c>
      <c r="Y41" s="1133" t="s">
        <v>619</v>
      </c>
      <c r="Z41" s="1260" t="s">
        <v>620</v>
      </c>
      <c r="AA41" s="7657" t="s">
        <v>621</v>
      </c>
      <c r="AB41" s="7659"/>
      <c r="AC41" s="7703"/>
      <c r="AD41" s="7668"/>
      <c r="AE41" s="7708"/>
      <c r="AF41" s="1133" t="s">
        <v>618</v>
      </c>
      <c r="AG41" s="1133" t="s">
        <v>619</v>
      </c>
      <c r="AH41" s="1260" t="s">
        <v>620</v>
      </c>
      <c r="AI41" s="7657" t="s">
        <v>621</v>
      </c>
      <c r="AJ41" s="7659"/>
      <c r="AK41" s="7703"/>
      <c r="AL41" s="7706"/>
      <c r="AM41" s="7559"/>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100</v>
      </c>
      <c r="U42" s="1159" t="str">
        <f ca="1">OFFSET(U42,0,-1)</f>
        <v>2</v>
      </c>
      <c r="V42" s="1257">
        <f ca="1">OFFSET(V42,0,-1)+1</f>
        <v>3</v>
      </c>
      <c r="W42" s="1257"/>
      <c r="X42" s="1257">
        <f ca="1">OFFSET(X42,0,-1)+1</f>
        <v>1</v>
      </c>
      <c r="Y42" s="1257">
        <f ca="1">OFFSET(Y42,0,-1)+1</f>
        <v>2</v>
      </c>
      <c r="Z42" s="1257">
        <f ca="1">OFFSET(Z42,0,-1)+1</f>
        <v>3</v>
      </c>
      <c r="AA42" s="7696">
        <f ca="1">OFFSET(AA42,0,-1)+1</f>
        <v>4</v>
      </c>
      <c r="AB42" s="7696"/>
      <c r="AC42" s="1257">
        <f ca="1">OFFSET(AC42,0,-2)+1</f>
        <v>5</v>
      </c>
      <c r="AD42" s="1257">
        <f ca="1">OFFSET(AD42,0,-1)+1</f>
        <v>6</v>
      </c>
      <c r="AE42" s="1257"/>
      <c r="AF42" s="1257">
        <f ca="1">OFFSET(AF42,0,-1)+1</f>
        <v>1</v>
      </c>
      <c r="AG42" s="1257">
        <f ca="1">OFFSET(AG42,0,-1)+1</f>
        <v>2</v>
      </c>
      <c r="AH42" s="1257">
        <f ca="1">OFFSET(AH42,0,-1)+1</f>
        <v>3</v>
      </c>
      <c r="AI42" s="7696">
        <f ca="1">OFFSET(AI42,0,-1)+1</f>
        <v>4</v>
      </c>
      <c r="AJ42" s="7696"/>
      <c r="AK42" s="1257">
        <f ca="1">OFFSET(AK42,0,-2)+1</f>
        <v>5</v>
      </c>
      <c r="AL42" s="1159">
        <f ca="1">OFFSET(AL42,0,-1)</f>
        <v>5</v>
      </c>
      <c r="AM42" s="1257">
        <f ca="1">OFFSET(AM42,0,-1)+1</f>
        <v>6</v>
      </c>
      <c r="AN42" s="435"/>
      <c r="AO42" s="435"/>
      <c r="AP42" s="435"/>
      <c r="AQ42" s="435"/>
      <c r="AR42" s="435"/>
    </row>
    <row r="43" spans="1:44" ht="21" customHeight="1">
      <c r="A43" s="1284" t="s">
        <v>276</v>
      </c>
      <c r="B43" s="1284"/>
      <c r="C43" s="1284"/>
      <c r="D43" s="1284"/>
      <c r="E43" s="7689">
        <v>1</v>
      </c>
      <c r="F43" s="1284"/>
      <c r="G43" s="1284"/>
      <c r="H43" s="1284"/>
      <c r="I43" s="1284"/>
      <c r="J43" s="1284"/>
      <c r="K43" s="1284"/>
      <c r="L43" s="1285"/>
      <c r="M43" s="1286"/>
      <c r="N43" s="1286"/>
      <c r="O43" s="1286"/>
      <c r="P43" s="282"/>
      <c r="Q43" s="281"/>
      <c r="R43" s="276"/>
      <c r="S43" s="1258">
        <f>INDEX(PT_DIFFERENTIATION_NUM_NTAR,MATCH(A43,PT_DIFFERENTIATION_NTAR_ID,0))</f>
        <v>0</v>
      </c>
      <c r="T43" s="212" t="s">
        <v>237</v>
      </c>
      <c r="U43" s="214"/>
      <c r="V43" s="7675"/>
      <c r="W43" s="7676"/>
      <c r="X43" s="7676"/>
      <c r="Y43" s="7676"/>
      <c r="Z43" s="7676"/>
      <c r="AA43" s="7676"/>
      <c r="AB43" s="7676"/>
      <c r="AC43" s="7677"/>
      <c r="AD43" s="7675" t="str">
        <f>INDEX(PT_DIFFERENTIATION_NTAR,MATCH(A43,PT_DIFFERENTIATION_NTAR_ID,0))</f>
        <v/>
      </c>
      <c r="AE43" s="7676"/>
      <c r="AF43" s="7676"/>
      <c r="AG43" s="7676"/>
      <c r="AH43" s="7676"/>
      <c r="AI43" s="7676"/>
      <c r="AJ43" s="7676"/>
      <c r="AK43" s="7676"/>
      <c r="AL43" s="7677"/>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276</v>
      </c>
      <c r="B44" s="1284" t="s">
        <v>277</v>
      </c>
      <c r="C44" s="1284"/>
      <c r="D44" s="1284"/>
      <c r="E44" s="7690"/>
      <c r="F44" s="7689">
        <v>1</v>
      </c>
      <c r="G44" s="1284"/>
      <c r="H44" s="1284"/>
      <c r="I44" s="1284"/>
      <c r="J44" s="1284"/>
      <c r="K44" s="1284"/>
      <c r="L44" s="1285"/>
      <c r="M44" s="1286"/>
      <c r="N44" s="1286"/>
      <c r="O44" s="1286"/>
      <c r="P44" s="1254"/>
      <c r="Q44" s="273"/>
      <c r="R44" s="274"/>
      <c r="S44" s="1258" t="str">
        <f>INDEX(PT_DIFFERENTIATION_NUM_TER,MATCH(B44,PT_DIFFERENTIATION_TER_ID,0))</f>
        <v>.</v>
      </c>
      <c r="T44" s="224" t="s">
        <v>573</v>
      </c>
      <c r="U44" s="214"/>
      <c r="V44" s="7675"/>
      <c r="W44" s="7676"/>
      <c r="X44" s="7676"/>
      <c r="Y44" s="7676"/>
      <c r="Z44" s="7676"/>
      <c r="AA44" s="7676"/>
      <c r="AB44" s="7676"/>
      <c r="AC44" s="7677"/>
      <c r="AD44" s="7675" t="str">
        <f>INDEX(PT_DIFFERENTIATION_TER,MATCH(B44,PT_DIFFERENTIATION_TER_ID,0))</f>
        <v/>
      </c>
      <c r="AE44" s="7676"/>
      <c r="AF44" s="7676"/>
      <c r="AG44" s="7676"/>
      <c r="AH44" s="7676"/>
      <c r="AI44" s="7676"/>
      <c r="AJ44" s="7676"/>
      <c r="AK44" s="7676"/>
      <c r="AL44" s="7677"/>
      <c r="AM44" s="1182" t="s">
        <v>574</v>
      </c>
      <c r="AO44" s="424"/>
      <c r="AP44" s="424" t="str">
        <f t="shared" si="1"/>
        <v>Территория действия тарифа</v>
      </c>
      <c r="AQ44" s="424"/>
      <c r="AR44" s="424"/>
    </row>
    <row r="45" spans="1:44" ht="23.25" customHeight="1">
      <c r="A45" s="1284" t="s">
        <v>276</v>
      </c>
      <c r="B45" s="1284" t="s">
        <v>277</v>
      </c>
      <c r="C45" s="1284" t="s">
        <v>278</v>
      </c>
      <c r="D45" s="1284"/>
      <c r="E45" s="7690"/>
      <c r="F45" s="7690"/>
      <c r="G45" s="7689">
        <v>1</v>
      </c>
      <c r="H45" s="1284"/>
      <c r="I45" s="1284"/>
      <c r="J45" s="1284"/>
      <c r="K45" s="1284"/>
      <c r="L45" s="1285"/>
      <c r="M45" s="1286"/>
      <c r="N45" s="1286"/>
      <c r="O45" s="1286"/>
      <c r="P45" s="275"/>
      <c r="Q45" s="273"/>
      <c r="R45" s="274"/>
      <c r="S45" s="1258" t="str">
        <f>INDEX(PT_DIFFERENTIATION_NUM_CS,MATCH(C45,PT_DIFFERENTIATION_CS_ID,0))</f>
        <v>..</v>
      </c>
      <c r="T45" s="225" t="s">
        <v>575</v>
      </c>
      <c r="U45" s="214"/>
      <c r="V45" s="7675"/>
      <c r="W45" s="7676"/>
      <c r="X45" s="7676"/>
      <c r="Y45" s="7676"/>
      <c r="Z45" s="7676"/>
      <c r="AA45" s="7676"/>
      <c r="AB45" s="7676"/>
      <c r="AC45" s="7677"/>
      <c r="AD45" s="7675" t="str">
        <f>INDEX(PT_DIFFERENTIATION_CS,MATCH(C45,PT_DIFFERENTIATION_CS_ID,0))</f>
        <v/>
      </c>
      <c r="AE45" s="7676"/>
      <c r="AF45" s="7676"/>
      <c r="AG45" s="7676"/>
      <c r="AH45" s="7676"/>
      <c r="AI45" s="7676"/>
      <c r="AJ45" s="7676"/>
      <c r="AK45" s="7676"/>
      <c r="AL45" s="7677"/>
      <c r="AM45" s="1182" t="s">
        <v>576</v>
      </c>
      <c r="AO45" s="424"/>
      <c r="AP45" s="424" t="str">
        <f t="shared" si="1"/>
        <v xml:space="preserve">Наименование системы теплоснабжения </v>
      </c>
      <c r="AQ45" s="424"/>
      <c r="AR45" s="424"/>
    </row>
    <row r="46" spans="1:44" ht="21" customHeight="1">
      <c r="A46" s="1284" t="s">
        <v>276</v>
      </c>
      <c r="B46" s="1284" t="s">
        <v>277</v>
      </c>
      <c r="C46" s="1284" t="s">
        <v>278</v>
      </c>
      <c r="D46" s="1284" t="s">
        <v>279</v>
      </c>
      <c r="E46" s="7690"/>
      <c r="F46" s="7690"/>
      <c r="G46" s="7690"/>
      <c r="H46" s="7689">
        <v>1</v>
      </c>
      <c r="I46" s="1284"/>
      <c r="J46" s="1284"/>
      <c r="K46" s="1284"/>
      <c r="L46" s="1285"/>
      <c r="M46" s="1286"/>
      <c r="N46" s="1286"/>
      <c r="O46" s="1286"/>
      <c r="P46" s="275"/>
      <c r="Q46" s="273"/>
      <c r="R46" s="274"/>
      <c r="S46" s="1258" t="str">
        <f>INDEX(PT_DIFFERENTIATION_NUM_IST_TE,MATCH(D46,PT_DIFFERENTIATION_IST_TE_ID,0))</f>
        <v>...</v>
      </c>
      <c r="T46" s="226" t="s">
        <v>577</v>
      </c>
      <c r="U46" s="214"/>
      <c r="V46" s="7675"/>
      <c r="W46" s="7676"/>
      <c r="X46" s="7676"/>
      <c r="Y46" s="7676"/>
      <c r="Z46" s="7676"/>
      <c r="AA46" s="7676"/>
      <c r="AB46" s="7676"/>
      <c r="AC46" s="7677"/>
      <c r="AD46" s="7675" t="str">
        <f>INDEX(PT_DIFFERENTIATION_IST_TE,MATCH(D46,PT_DIFFERENTIATION_IST_TE_ID,0))</f>
        <v/>
      </c>
      <c r="AE46" s="7676"/>
      <c r="AF46" s="7676"/>
      <c r="AG46" s="7676"/>
      <c r="AH46" s="7676"/>
      <c r="AI46" s="7676"/>
      <c r="AJ46" s="7676"/>
      <c r="AK46" s="7676"/>
      <c r="AL46" s="7677"/>
      <c r="AM46" s="1182" t="s">
        <v>578</v>
      </c>
      <c r="AO46" s="424"/>
      <c r="AP46" s="424" t="str">
        <f t="shared" si="1"/>
        <v xml:space="preserve">Источник тепловой энергии  </v>
      </c>
      <c r="AQ46" s="424"/>
      <c r="AR46" s="424"/>
    </row>
    <row r="47" spans="1:44" s="1562" customFormat="1" ht="0" hidden="1" customHeight="1">
      <c r="A47" s="1265" t="s">
        <v>276</v>
      </c>
      <c r="B47" s="1265" t="s">
        <v>277</v>
      </c>
      <c r="C47" s="1265" t="s">
        <v>278</v>
      </c>
      <c r="D47" s="1265" t="s">
        <v>279</v>
      </c>
      <c r="E47" s="7690"/>
      <c r="F47" s="7690"/>
      <c r="G47" s="7690"/>
      <c r="H47" s="7690"/>
      <c r="I47" s="7687" t="str">
        <f>S46&amp;".1"</f>
        <v>....1</v>
      </c>
      <c r="J47" s="1265"/>
      <c r="K47" s="1265"/>
      <c r="L47" s="1268" t="s">
        <v>579</v>
      </c>
      <c r="M47" s="434"/>
      <c r="N47" s="434"/>
      <c r="O47" s="434"/>
      <c r="P47" s="7688">
        <v>1</v>
      </c>
      <c r="Q47" s="1253"/>
      <c r="R47" s="277"/>
      <c r="S47" s="953"/>
      <c r="T47" s="1304"/>
      <c r="U47" s="1305"/>
      <c r="V47" s="7716"/>
      <c r="W47" s="7717"/>
      <c r="X47" s="7717"/>
      <c r="Y47" s="7717"/>
      <c r="Z47" s="7717"/>
      <c r="AA47" s="7717"/>
      <c r="AB47" s="7717"/>
      <c r="AC47" s="7718"/>
      <c r="AD47" s="7716"/>
      <c r="AE47" s="7717"/>
      <c r="AF47" s="7717"/>
      <c r="AG47" s="7717"/>
      <c r="AH47" s="7717"/>
      <c r="AI47" s="7717"/>
      <c r="AJ47" s="7717"/>
      <c r="AK47" s="7717"/>
      <c r="AL47" s="7718"/>
      <c r="AM47" s="1306"/>
      <c r="AO47" s="424"/>
      <c r="AP47" s="424" t="str">
        <f t="shared" si="1"/>
        <v/>
      </c>
      <c r="AQ47" s="424"/>
      <c r="AR47" s="424"/>
    </row>
    <row r="48" spans="1:44" ht="21" customHeight="1">
      <c r="A48" s="1284" t="s">
        <v>276</v>
      </c>
      <c r="B48" s="1284" t="s">
        <v>277</v>
      </c>
      <c r="C48" s="1284" t="s">
        <v>278</v>
      </c>
      <c r="D48" s="1284" t="s">
        <v>279</v>
      </c>
      <c r="E48" s="7690"/>
      <c r="F48" s="7690"/>
      <c r="G48" s="7690"/>
      <c r="H48" s="7690"/>
      <c r="I48" s="7710"/>
      <c r="J48" s="7687" t="str">
        <f>S46&amp;".1"</f>
        <v>....1</v>
      </c>
      <c r="K48" s="1284"/>
      <c r="L48" s="1285" t="s">
        <v>582</v>
      </c>
      <c r="P48" s="7688"/>
      <c r="Q48" s="7688">
        <v>1</v>
      </c>
      <c r="R48" s="278"/>
      <c r="S48" s="1258" t="str">
        <f>$J48</f>
        <v>....1</v>
      </c>
      <c r="T48" s="201" t="s">
        <v>583</v>
      </c>
      <c r="U48" s="214"/>
      <c r="V48" s="7678"/>
      <c r="W48" s="7679"/>
      <c r="X48" s="7679"/>
      <c r="Y48" s="7679"/>
      <c r="Z48" s="7679"/>
      <c r="AA48" s="7679"/>
      <c r="AB48" s="7679"/>
      <c r="AC48" s="7680"/>
      <c r="AD48" s="7678"/>
      <c r="AE48" s="7679"/>
      <c r="AF48" s="7679"/>
      <c r="AG48" s="7679"/>
      <c r="AH48" s="7679"/>
      <c r="AI48" s="7679"/>
      <c r="AJ48" s="7679"/>
      <c r="AK48" s="7679"/>
      <c r="AL48" s="7680"/>
      <c r="AM48" s="1182" t="s">
        <v>584</v>
      </c>
      <c r="AO48" s="424"/>
      <c r="AP48" s="424" t="str">
        <f t="shared" si="1"/>
        <v>Группа потребителей</v>
      </c>
      <c r="AQ48" s="424"/>
      <c r="AR48" s="424"/>
    </row>
    <row r="49" spans="1:44" ht="21" customHeight="1">
      <c r="A49" s="1284" t="s">
        <v>276</v>
      </c>
      <c r="B49" s="1284" t="s">
        <v>277</v>
      </c>
      <c r="C49" s="1284" t="s">
        <v>278</v>
      </c>
      <c r="D49" s="1284" t="s">
        <v>279</v>
      </c>
      <c r="E49" s="7690"/>
      <c r="F49" s="7690"/>
      <c r="G49" s="7690"/>
      <c r="H49" s="7690"/>
      <c r="I49" s="7710"/>
      <c r="J49" s="7710"/>
      <c r="K49" s="7687" t="str">
        <f>J48&amp;".1"</f>
        <v>....1.1</v>
      </c>
      <c r="L49" s="1285" t="s">
        <v>585</v>
      </c>
      <c r="P49" s="7688"/>
      <c r="Q49" s="7688"/>
      <c r="R49" s="278">
        <v>1</v>
      </c>
      <c r="S49" s="1258" t="str">
        <f>$K49</f>
        <v>....1.1</v>
      </c>
      <c r="T49" s="1269"/>
      <c r="U49" s="214"/>
      <c r="V49" s="666"/>
      <c r="W49" s="246"/>
      <c r="X49" s="666"/>
      <c r="Y49" s="1181"/>
      <c r="Z49" s="7692"/>
      <c r="AA49" s="7540" t="s">
        <v>60</v>
      </c>
      <c r="AB49" s="7692"/>
      <c r="AC49" s="7540" t="s">
        <v>60</v>
      </c>
      <c r="AD49" s="666"/>
      <c r="AE49" s="246"/>
      <c r="AF49" s="666"/>
      <c r="AG49" s="1181"/>
      <c r="AH49" s="7692"/>
      <c r="AI49" s="7540" t="s">
        <v>60</v>
      </c>
      <c r="AJ49" s="7711"/>
      <c r="AK49" s="7540" t="s">
        <v>60</v>
      </c>
      <c r="AL49" s="1270"/>
      <c r="AM49" s="7684" t="s">
        <v>623</v>
      </c>
      <c r="AN49" s="435" t="e">
        <f ca="1">STRCHECKDATE(V50:AL50)</f>
        <v>#NAME?</v>
      </c>
      <c r="AO49" s="424"/>
      <c r="AP49" s="424" t="str">
        <f t="shared" si="1"/>
        <v/>
      </c>
      <c r="AQ49" s="424"/>
      <c r="AR49" s="424"/>
    </row>
    <row r="50" spans="1:44" ht="0.75" customHeight="1">
      <c r="A50" s="1284" t="s">
        <v>276</v>
      </c>
      <c r="B50" s="1284" t="s">
        <v>277</v>
      </c>
      <c r="C50" s="1284" t="s">
        <v>278</v>
      </c>
      <c r="D50" s="1284" t="s">
        <v>279</v>
      </c>
      <c r="E50" s="7690"/>
      <c r="F50" s="7690"/>
      <c r="G50" s="7690"/>
      <c r="H50" s="7690"/>
      <c r="I50" s="7710"/>
      <c r="J50" s="7710"/>
      <c r="K50" s="7687"/>
      <c r="L50" s="1285"/>
      <c r="P50" s="7688"/>
      <c r="Q50" s="7688"/>
      <c r="R50" s="278"/>
      <c r="S50" s="1264"/>
      <c r="T50" s="214"/>
      <c r="U50" s="214"/>
      <c r="V50" s="246"/>
      <c r="W50" s="246"/>
      <c r="X50" s="246"/>
      <c r="Y50" s="250" t="str">
        <f>Z49&amp;"-"&amp;AB49</f>
        <v>-</v>
      </c>
      <c r="Z50" s="7693"/>
      <c r="AA50" s="7540"/>
      <c r="AB50" s="7693"/>
      <c r="AC50" s="7540"/>
      <c r="AD50" s="246"/>
      <c r="AE50" s="246"/>
      <c r="AF50" s="246"/>
      <c r="AG50" s="250" t="str">
        <f>AH49&amp;"-"&amp;AJ49</f>
        <v>-</v>
      </c>
      <c r="AH50" s="7693"/>
      <c r="AI50" s="7540"/>
      <c r="AJ50" s="7712"/>
      <c r="AK50" s="7540"/>
      <c r="AL50" s="1271"/>
      <c r="AM50" s="7685"/>
      <c r="AO50" s="424"/>
      <c r="AP50" s="424" t="str">
        <f t="shared" si="1"/>
        <v/>
      </c>
      <c r="AQ50" s="424"/>
      <c r="AR50" s="424"/>
    </row>
    <row r="51" spans="1:44" ht="11.25" customHeight="1">
      <c r="A51" s="1284" t="s">
        <v>276</v>
      </c>
      <c r="B51" s="1284" t="s">
        <v>277</v>
      </c>
      <c r="C51" s="1284" t="s">
        <v>278</v>
      </c>
      <c r="D51" s="1284" t="s">
        <v>279</v>
      </c>
      <c r="E51" s="7690"/>
      <c r="F51" s="7690"/>
      <c r="G51" s="7690"/>
      <c r="H51" s="7690"/>
      <c r="I51" s="7710"/>
      <c r="J51" s="7687"/>
      <c r="K51" s="1284"/>
      <c r="L51" s="1285"/>
      <c r="P51" s="7688"/>
      <c r="Q51" s="7688"/>
      <c r="R51" s="277"/>
      <c r="S51" s="1203"/>
      <c r="T51" s="202" t="s">
        <v>587</v>
      </c>
      <c r="U51" s="291"/>
      <c r="V51" s="291"/>
      <c r="W51" s="291"/>
      <c r="X51" s="291"/>
      <c r="Y51" s="291"/>
      <c r="Z51" s="291"/>
      <c r="AA51" s="291"/>
      <c r="AB51" s="291"/>
      <c r="AC51" s="291"/>
      <c r="AD51" s="291"/>
      <c r="AE51" s="291"/>
      <c r="AF51" s="291"/>
      <c r="AG51" s="291"/>
      <c r="AH51" s="291"/>
      <c r="AI51" s="291"/>
      <c r="AJ51" s="291"/>
      <c r="AK51" s="291"/>
      <c r="AL51" s="245"/>
      <c r="AM51" s="7686"/>
      <c r="AO51" s="424"/>
      <c r="AP51" s="424" t="str">
        <f t="shared" si="1"/>
        <v>Добавить вид теплоносителя (параметры теплоносителя)</v>
      </c>
      <c r="AQ51" s="424"/>
      <c r="AR51" s="424"/>
    </row>
    <row r="52" spans="1:44" ht="11.25" customHeight="1">
      <c r="A52" s="1284" t="s">
        <v>276</v>
      </c>
      <c r="B52" s="1284" t="s">
        <v>277</v>
      </c>
      <c r="C52" s="1284" t="s">
        <v>278</v>
      </c>
      <c r="D52" s="1284" t="s">
        <v>279</v>
      </c>
      <c r="E52" s="7690"/>
      <c r="F52" s="7690"/>
      <c r="G52" s="7690"/>
      <c r="H52" s="7690"/>
      <c r="I52" s="7687"/>
      <c r="J52" s="1284"/>
      <c r="K52" s="1284"/>
      <c r="L52" s="1285"/>
      <c r="P52" s="7688"/>
      <c r="Q52" s="1253"/>
      <c r="R52" s="277"/>
      <c r="S52" s="1203"/>
      <c r="T52" s="288" t="s">
        <v>588</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276</v>
      </c>
      <c r="B53" s="1284" t="s">
        <v>277</v>
      </c>
      <c r="C53" s="1284" t="s">
        <v>278</v>
      </c>
      <c r="D53" s="1284" t="s">
        <v>279</v>
      </c>
      <c r="E53" s="7690"/>
      <c r="F53" s="7690"/>
      <c r="G53" s="7690"/>
      <c r="H53" s="7689"/>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75" customHeight="1">
      <c r="A54" s="1265" t="s">
        <v>276</v>
      </c>
      <c r="B54" s="1265" t="s">
        <v>277</v>
      </c>
      <c r="C54" s="1265" t="s">
        <v>278</v>
      </c>
      <c r="D54" s="1237"/>
      <c r="E54" s="7690"/>
      <c r="F54" s="7690"/>
      <c r="G54" s="7689"/>
      <c r="H54" s="1237"/>
      <c r="I54" s="1237"/>
      <c r="J54" s="1237"/>
      <c r="K54" s="1237"/>
      <c r="L54" s="1261"/>
      <c r="M54" s="1238"/>
      <c r="N54" s="1238"/>
      <c r="P54" s="1239"/>
      <c r="Q54" s="1240"/>
      <c r="R54" s="1239"/>
      <c r="S54" s="1245"/>
      <c r="T54" s="1248" t="s">
        <v>590</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276</v>
      </c>
      <c r="B55" s="1265" t="s">
        <v>277</v>
      </c>
      <c r="C55" s="1237"/>
      <c r="D55" s="1237"/>
      <c r="E55" s="7690"/>
      <c r="F55" s="7689"/>
      <c r="G55" s="1237"/>
      <c r="H55" s="1237"/>
      <c r="I55" s="1237"/>
      <c r="J55" s="1237"/>
      <c r="K55" s="1237"/>
      <c r="L55" s="1261"/>
      <c r="M55" s="1244"/>
      <c r="N55" s="1244"/>
      <c r="P55" s="1239"/>
      <c r="Q55" s="1240"/>
      <c r="R55" s="1239"/>
      <c r="S55" s="1245"/>
      <c r="T55" s="1248" t="s">
        <v>325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276</v>
      </c>
      <c r="B56" s="1265"/>
      <c r="C56" s="1265"/>
      <c r="D56" s="1265"/>
      <c r="E56" s="7689"/>
      <c r="F56" s="1265"/>
      <c r="G56" s="1265"/>
      <c r="H56" s="1265"/>
      <c r="I56" s="1265"/>
      <c r="J56" s="1265"/>
      <c r="K56" s="1265"/>
      <c r="L56" s="1268"/>
      <c r="M56" s="1244"/>
      <c r="N56" s="1244"/>
      <c r="O56" s="442"/>
      <c r="P56" s="308"/>
      <c r="Q56" s="1266"/>
      <c r="R56" s="308"/>
      <c r="S56" s="1245"/>
      <c r="T56" s="1248" t="s">
        <v>326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402</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18.75" customHeight="1">
      <c r="O59" s="460"/>
      <c r="S59" s="1169"/>
      <c r="T59" s="7709"/>
      <c r="U59" s="7709"/>
      <c r="V59" s="7709"/>
      <c r="W59" s="7709"/>
      <c r="X59" s="7709"/>
      <c r="Y59" s="7709"/>
      <c r="Z59" s="7709"/>
      <c r="AA59" s="7709"/>
      <c r="AB59" s="7709"/>
      <c r="AC59" s="7709"/>
      <c r="AD59" s="7709"/>
      <c r="AE59" s="7709"/>
      <c r="AF59" s="7709"/>
      <c r="AG59" s="7709"/>
      <c r="AH59" s="7709"/>
      <c r="AI59" s="7709"/>
      <c r="AJ59" s="7709"/>
      <c r="AK59" s="7709"/>
      <c r="AL59" s="7709"/>
      <c r="AM59" s="7709"/>
    </row>
    <row r="60" spans="1:44" ht="27.75" customHeight="1">
      <c r="O60" s="460"/>
      <c r="T60" s="7709"/>
      <c r="U60" s="7709"/>
      <c r="V60" s="7709"/>
      <c r="W60" s="7709"/>
      <c r="X60" s="7709"/>
      <c r="Y60" s="7709"/>
      <c r="Z60" s="7709"/>
      <c r="AA60" s="7709"/>
      <c r="AB60" s="7709"/>
      <c r="AC60" s="7709"/>
      <c r="AD60" s="7709"/>
      <c r="AE60" s="7709"/>
      <c r="AF60" s="7709"/>
      <c r="AG60" s="7709"/>
      <c r="AH60" s="7709"/>
      <c r="AI60" s="7709"/>
      <c r="AJ60" s="7709"/>
      <c r="AK60" s="7709"/>
      <c r="AL60" s="7709"/>
      <c r="AM60" s="7709"/>
    </row>
    <row r="61" spans="1:44" ht="39.75" customHeight="1">
      <c r="O61" s="460"/>
      <c r="T61" s="7709"/>
      <c r="U61" s="7709"/>
      <c r="V61" s="7709"/>
      <c r="W61" s="7709"/>
      <c r="X61" s="7709"/>
      <c r="Y61" s="7709"/>
      <c r="Z61" s="7709"/>
      <c r="AA61" s="7709"/>
      <c r="AB61" s="7709"/>
      <c r="AC61" s="7709"/>
      <c r="AD61" s="7709"/>
      <c r="AE61" s="7709"/>
      <c r="AF61" s="7709"/>
      <c r="AG61" s="7709"/>
      <c r="AH61" s="7709"/>
      <c r="AI61" s="7709"/>
      <c r="AJ61" s="7709"/>
      <c r="AK61" s="7709"/>
      <c r="AL61" s="7709"/>
      <c r="AM61" s="7709"/>
    </row>
    <row r="62" spans="1:44" ht="14.25" customHeight="1">
      <c r="O62" s="460"/>
    </row>
    <row r="63" spans="1:44" ht="19.5" customHeight="1">
      <c r="O63" s="460"/>
      <c r="S63" s="1169"/>
      <c r="T63" s="7609"/>
      <c r="U63" s="7709"/>
      <c r="V63" s="7709"/>
      <c r="W63" s="7709"/>
      <c r="X63" s="7709"/>
      <c r="Y63" s="7709"/>
      <c r="Z63" s="7709"/>
      <c r="AA63" s="7709"/>
      <c r="AB63" s="7709"/>
      <c r="AC63" s="7709"/>
      <c r="AD63" s="7709"/>
      <c r="AE63" s="7709"/>
      <c r="AF63" s="7709"/>
      <c r="AG63" s="7709"/>
      <c r="AH63" s="7709"/>
      <c r="AI63" s="7709"/>
      <c r="AJ63" s="7709"/>
      <c r="AK63" s="7709"/>
      <c r="AL63" s="7709"/>
      <c r="AM63" s="7709"/>
    </row>
    <row r="64" spans="1:44" ht="27.75" customHeight="1">
      <c r="O64" s="460"/>
      <c r="T64" s="7709"/>
      <c r="U64" s="7709"/>
      <c r="V64" s="7709"/>
      <c r="W64" s="7709"/>
      <c r="X64" s="7709"/>
      <c r="Y64" s="7709"/>
      <c r="Z64" s="7709"/>
      <c r="AA64" s="7709"/>
      <c r="AB64" s="7709"/>
      <c r="AC64" s="7709"/>
      <c r="AD64" s="7709"/>
      <c r="AE64" s="7709"/>
      <c r="AF64" s="7709"/>
      <c r="AG64" s="7709"/>
      <c r="AH64" s="7709"/>
      <c r="AI64" s="7709"/>
      <c r="AJ64" s="7709"/>
      <c r="AK64" s="7709"/>
      <c r="AL64" s="7709"/>
      <c r="AM64" s="7709"/>
    </row>
    <row r="65" spans="20:39" ht="33.75" customHeight="1">
      <c r="T65" s="7709"/>
      <c r="U65" s="7709"/>
      <c r="V65" s="7709"/>
      <c r="W65" s="7709"/>
      <c r="X65" s="7709"/>
      <c r="Y65" s="7709"/>
      <c r="Z65" s="7709"/>
      <c r="AA65" s="7709"/>
      <c r="AB65" s="7709"/>
      <c r="AC65" s="7709"/>
      <c r="AD65" s="7709"/>
      <c r="AE65" s="7709"/>
      <c r="AF65" s="7709"/>
      <c r="AG65" s="7709"/>
      <c r="AH65" s="7709"/>
      <c r="AI65" s="7709"/>
      <c r="AJ65" s="7709"/>
      <c r="AK65" s="7709"/>
      <c r="AL65" s="7709"/>
      <c r="AM65" s="7709"/>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5" hidden="1" customWidth="1"/>
    <col min="13" max="14" width="12.28515625" style="1696" hidden="1" customWidth="1"/>
    <col min="15" max="15" width="23.42578125" style="1696" hidden="1" customWidth="1"/>
    <col min="16" max="16" width="3.7109375" style="1817" hidden="1" customWidth="1"/>
    <col min="17" max="18" width="3.7109375" style="265" customWidth="1"/>
    <col min="19" max="19" width="12.7109375" style="1820"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A1" s="1790"/>
      <c r="Y1" s="249"/>
      <c r="Z1" s="249"/>
      <c r="AG1" s="249"/>
      <c r="AH1" s="249"/>
    </row>
    <row r="2" spans="1:44" ht="21" hidden="1" customHeight="1">
      <c r="A2" s="1284"/>
      <c r="B2" s="1284"/>
      <c r="C2" s="1284"/>
      <c r="D2" s="1284"/>
      <c r="E2" s="7689">
        <v>1</v>
      </c>
      <c r="F2" s="1284"/>
      <c r="G2" s="1284"/>
      <c r="H2" s="1284"/>
      <c r="I2" s="1284"/>
      <c r="J2" s="1284"/>
      <c r="K2" s="1284"/>
      <c r="L2" s="1285"/>
      <c r="M2" s="1286"/>
      <c r="N2" s="1286"/>
      <c r="O2" s="1286"/>
      <c r="P2" s="282"/>
      <c r="Q2" s="281"/>
      <c r="R2" s="276"/>
      <c r="S2" s="1258" t="e">
        <f>INDEX(PT_DIFFERENTIATION_NUM_NTAR,MATCH(A2,PT_DIFFERENTIATION_NTAR_ID,0))</f>
        <v>#N/A</v>
      </c>
      <c r="T2" s="212" t="s">
        <v>237</v>
      </c>
      <c r="U2" s="214"/>
      <c r="V2" s="7675"/>
      <c r="W2" s="7676"/>
      <c r="X2" s="7676"/>
      <c r="Y2" s="7676"/>
      <c r="Z2" s="7676"/>
      <c r="AA2" s="7676"/>
      <c r="AB2" s="7676"/>
      <c r="AC2" s="7677"/>
      <c r="AD2" s="7675" t="e">
        <f>INDEX(PT_DIFFERENTIATION_NTAR,MATCH(A2,PT_DIFFERENTIATION_NTAR_ID,0))</f>
        <v>#N/A</v>
      </c>
      <c r="AE2" s="7676"/>
      <c r="AF2" s="7676"/>
      <c r="AG2" s="7676"/>
      <c r="AH2" s="7676"/>
      <c r="AI2" s="7676"/>
      <c r="AJ2" s="7676"/>
      <c r="AK2" s="7676"/>
      <c r="AL2" s="7677"/>
      <c r="AM2" s="1182" t="s">
        <v>572</v>
      </c>
      <c r="AO2" s="424"/>
      <c r="AP2" s="424" t="str">
        <f t="shared" ref="AP2:AP15" si="0">IF(T2="","",T2)</f>
        <v>Наименование тарифа</v>
      </c>
      <c r="AQ2" s="424"/>
      <c r="AR2" s="424"/>
    </row>
    <row r="3" spans="1:44" ht="21" hidden="1" customHeight="1">
      <c r="A3" s="1284"/>
      <c r="B3" s="1284"/>
      <c r="C3" s="1284"/>
      <c r="D3" s="1284"/>
      <c r="E3" s="7690"/>
      <c r="F3" s="7689">
        <v>1</v>
      </c>
      <c r="G3" s="1284"/>
      <c r="H3" s="1284"/>
      <c r="I3" s="1284"/>
      <c r="J3" s="1284"/>
      <c r="K3" s="1284"/>
      <c r="L3" s="1285"/>
      <c r="M3" s="1286"/>
      <c r="N3" s="1286"/>
      <c r="O3" s="1286"/>
      <c r="P3" s="1254"/>
      <c r="Q3" s="273"/>
      <c r="R3" s="274"/>
      <c r="S3" s="1258" t="e">
        <f>INDEX(PT_DIFFERENTIATION_NUM_TER,MATCH(B3,PT_DIFFERENTIATION_TER_ID,0))</f>
        <v>#N/A</v>
      </c>
      <c r="T3" s="224" t="s">
        <v>573</v>
      </c>
      <c r="U3" s="214"/>
      <c r="V3" s="7675"/>
      <c r="W3" s="7676"/>
      <c r="X3" s="7676"/>
      <c r="Y3" s="7676"/>
      <c r="Z3" s="7676"/>
      <c r="AA3" s="7676"/>
      <c r="AB3" s="7676"/>
      <c r="AC3" s="7677"/>
      <c r="AD3" s="7675" t="e">
        <f>INDEX(PT_DIFFERENTIATION_TER,MATCH(B3,PT_DIFFERENTIATION_TER_ID,0))</f>
        <v>#N/A</v>
      </c>
      <c r="AE3" s="7676"/>
      <c r="AF3" s="7676"/>
      <c r="AG3" s="7676"/>
      <c r="AH3" s="7676"/>
      <c r="AI3" s="7676"/>
      <c r="AJ3" s="7676"/>
      <c r="AK3" s="7676"/>
      <c r="AL3" s="7677"/>
      <c r="AM3" s="1182" t="s">
        <v>574</v>
      </c>
      <c r="AO3" s="424"/>
      <c r="AP3" s="424" t="str">
        <f t="shared" si="0"/>
        <v>Территория действия тарифа</v>
      </c>
      <c r="AQ3" s="424"/>
      <c r="AR3" s="424"/>
    </row>
    <row r="4" spans="1:44" ht="23.25" hidden="1" customHeight="1">
      <c r="A4" s="1284"/>
      <c r="B4" s="1284"/>
      <c r="C4" s="1284"/>
      <c r="D4" s="1284"/>
      <c r="E4" s="7690"/>
      <c r="F4" s="7690"/>
      <c r="G4" s="7689">
        <v>1</v>
      </c>
      <c r="H4" s="1284"/>
      <c r="I4" s="1284"/>
      <c r="J4" s="1284"/>
      <c r="K4" s="1284"/>
      <c r="L4" s="1285"/>
      <c r="M4" s="1286"/>
      <c r="N4" s="1286"/>
      <c r="O4" s="1286"/>
      <c r="P4" s="275"/>
      <c r="Q4" s="273"/>
      <c r="R4" s="274"/>
      <c r="S4" s="1258" t="e">
        <f>INDEX(PT_DIFFERENTIATION_NUM_CS,MATCH(C4,PT_DIFFERENTIATION_CS_ID,0))</f>
        <v>#N/A</v>
      </c>
      <c r="T4" s="225" t="s">
        <v>575</v>
      </c>
      <c r="U4" s="214"/>
      <c r="V4" s="7675"/>
      <c r="W4" s="7676"/>
      <c r="X4" s="7676"/>
      <c r="Y4" s="7676"/>
      <c r="Z4" s="7676"/>
      <c r="AA4" s="7676"/>
      <c r="AB4" s="7676"/>
      <c r="AC4" s="7677"/>
      <c r="AD4" s="7675" t="e">
        <f>INDEX(PT_DIFFERENTIATION_CS,MATCH(C4,PT_DIFFERENTIATION_CS_ID,0))</f>
        <v>#N/A</v>
      </c>
      <c r="AE4" s="7676"/>
      <c r="AF4" s="7676"/>
      <c r="AG4" s="7676"/>
      <c r="AH4" s="7676"/>
      <c r="AI4" s="7676"/>
      <c r="AJ4" s="7676"/>
      <c r="AK4" s="7676"/>
      <c r="AL4" s="7677"/>
      <c r="AM4" s="1182" t="s">
        <v>576</v>
      </c>
      <c r="AO4" s="424"/>
      <c r="AP4" s="424" t="str">
        <f t="shared" si="0"/>
        <v xml:space="preserve">Наименование системы теплоснабжения </v>
      </c>
      <c r="AQ4" s="424"/>
      <c r="AR4" s="424"/>
    </row>
    <row r="5" spans="1:44" ht="21" hidden="1" customHeight="1">
      <c r="A5" s="1284"/>
      <c r="B5" s="1284"/>
      <c r="C5" s="1284"/>
      <c r="D5" s="1284"/>
      <c r="E5" s="7690"/>
      <c r="F5" s="7690"/>
      <c r="G5" s="7690"/>
      <c r="H5" s="7689">
        <v>1</v>
      </c>
      <c r="I5" s="1284"/>
      <c r="J5" s="1284"/>
      <c r="K5" s="1284"/>
      <c r="L5" s="1285"/>
      <c r="M5" s="1286"/>
      <c r="N5" s="1286"/>
      <c r="O5" s="1286"/>
      <c r="P5" s="275"/>
      <c r="Q5" s="273"/>
      <c r="R5" s="274"/>
      <c r="S5" s="1258" t="e">
        <f>INDEX(PT_DIFFERENTIATION_NUM_IST_TE,MATCH(D5,PT_DIFFERENTIATION_IST_TE_ID,0))</f>
        <v>#N/A</v>
      </c>
      <c r="T5" s="226" t="s">
        <v>577</v>
      </c>
      <c r="U5" s="214"/>
      <c r="V5" s="7675"/>
      <c r="W5" s="7676"/>
      <c r="X5" s="7676"/>
      <c r="Y5" s="7676"/>
      <c r="Z5" s="7676"/>
      <c r="AA5" s="7676"/>
      <c r="AB5" s="7676"/>
      <c r="AC5" s="7677"/>
      <c r="AD5" s="7675" t="e">
        <f>INDEX(PT_DIFFERENTIATION_IST_TE,MATCH(D5,PT_DIFFERENTIATION_IST_TE_ID,0))</f>
        <v>#N/A</v>
      </c>
      <c r="AE5" s="7676"/>
      <c r="AF5" s="7676"/>
      <c r="AG5" s="7676"/>
      <c r="AH5" s="7676"/>
      <c r="AI5" s="7676"/>
      <c r="AJ5" s="7676"/>
      <c r="AK5" s="7676"/>
      <c r="AL5" s="7677"/>
      <c r="AM5" s="1182" t="s">
        <v>578</v>
      </c>
      <c r="AO5" s="424"/>
      <c r="AP5" s="424" t="str">
        <f t="shared" si="0"/>
        <v xml:space="preserve">Источник тепловой энергии  </v>
      </c>
      <c r="AQ5" s="424"/>
      <c r="AR5" s="424"/>
    </row>
    <row r="6" spans="1:44" ht="14.25" hidden="1" customHeight="1">
      <c r="A6" s="1284"/>
      <c r="B6" s="1284"/>
      <c r="C6" s="1284"/>
      <c r="D6" s="1284"/>
      <c r="E6" s="7690"/>
      <c r="F6" s="7690"/>
      <c r="G6" s="7690"/>
      <c r="H6" s="7690"/>
      <c r="I6" s="7687" t="e">
        <f>S5&amp;".1"</f>
        <v>#N/A</v>
      </c>
      <c r="J6" s="1284"/>
      <c r="K6" s="1284"/>
      <c r="L6" s="1285" t="s">
        <v>579</v>
      </c>
      <c r="M6" s="460"/>
      <c r="P6" s="7688">
        <v>1</v>
      </c>
      <c r="Q6" s="1253"/>
      <c r="R6" s="277"/>
      <c r="S6" s="953"/>
      <c r="T6" s="1304"/>
      <c r="U6" s="1305"/>
      <c r="V6" s="7716"/>
      <c r="W6" s="7717"/>
      <c r="X6" s="7717"/>
      <c r="Y6" s="7717"/>
      <c r="Z6" s="7717"/>
      <c r="AA6" s="7717"/>
      <c r="AB6" s="7717"/>
      <c r="AC6" s="7718"/>
      <c r="AD6" s="7716"/>
      <c r="AE6" s="7717"/>
      <c r="AF6" s="7717"/>
      <c r="AG6" s="7717"/>
      <c r="AH6" s="7717"/>
      <c r="AI6" s="7717"/>
      <c r="AJ6" s="7717"/>
      <c r="AK6" s="7717"/>
      <c r="AL6" s="7718"/>
      <c r="AM6" s="1306"/>
      <c r="AO6" s="424"/>
      <c r="AP6" s="424" t="str">
        <f t="shared" si="0"/>
        <v/>
      </c>
      <c r="AQ6" s="424"/>
      <c r="AR6" s="424"/>
    </row>
    <row r="7" spans="1:44" ht="21" hidden="1" customHeight="1">
      <c r="A7" s="1284"/>
      <c r="B7" s="1284"/>
      <c r="C7" s="1284"/>
      <c r="D7" s="1284"/>
      <c r="E7" s="7690"/>
      <c r="F7" s="7690"/>
      <c r="G7" s="7690"/>
      <c r="H7" s="7690"/>
      <c r="I7" s="7710"/>
      <c r="J7" s="7687" t="e">
        <f>I6&amp;".1"</f>
        <v>#N/A</v>
      </c>
      <c r="K7" s="1284"/>
      <c r="L7" s="1285" t="s">
        <v>582</v>
      </c>
      <c r="M7" s="460"/>
      <c r="N7" s="1287"/>
      <c r="P7" s="7688"/>
      <c r="Q7" s="7688">
        <v>1</v>
      </c>
      <c r="R7" s="278"/>
      <c r="S7" s="1258" t="e">
        <f>$J7</f>
        <v>#N/A</v>
      </c>
      <c r="T7" s="201" t="s">
        <v>583</v>
      </c>
      <c r="U7" s="214"/>
      <c r="V7" s="7678"/>
      <c r="W7" s="7679"/>
      <c r="X7" s="7679"/>
      <c r="Y7" s="7679"/>
      <c r="Z7" s="7679"/>
      <c r="AA7" s="7679"/>
      <c r="AB7" s="7679"/>
      <c r="AC7" s="7680"/>
      <c r="AD7" s="7678"/>
      <c r="AE7" s="7679"/>
      <c r="AF7" s="7679"/>
      <c r="AG7" s="7679"/>
      <c r="AH7" s="7679"/>
      <c r="AI7" s="7679"/>
      <c r="AJ7" s="7679"/>
      <c r="AK7" s="7679"/>
      <c r="AL7" s="7680"/>
      <c r="AM7" s="1182" t="s">
        <v>584</v>
      </c>
      <c r="AO7" s="424"/>
      <c r="AP7" s="424" t="str">
        <f t="shared" si="0"/>
        <v>Группа потребителей</v>
      </c>
      <c r="AQ7" s="424"/>
      <c r="AR7" s="424"/>
    </row>
    <row r="8" spans="1:44" ht="21" hidden="1" customHeight="1">
      <c r="A8" s="1284"/>
      <c r="B8" s="1284"/>
      <c r="C8" s="1284"/>
      <c r="D8" s="1284"/>
      <c r="E8" s="7690"/>
      <c r="F8" s="7690"/>
      <c r="G8" s="7690"/>
      <c r="H8" s="7690"/>
      <c r="I8" s="7710"/>
      <c r="J8" s="7710"/>
      <c r="K8" s="7687" t="e">
        <f>J7&amp;".1"</f>
        <v>#N/A</v>
      </c>
      <c r="L8" s="1285" t="s">
        <v>585</v>
      </c>
      <c r="M8" s="460"/>
      <c r="N8" s="1287"/>
      <c r="O8" s="1287"/>
      <c r="P8" s="7688"/>
      <c r="Q8" s="7688"/>
      <c r="R8" s="278">
        <v>1</v>
      </c>
      <c r="S8" s="1258" t="e">
        <f>$K8</f>
        <v>#N/A</v>
      </c>
      <c r="T8" s="1269"/>
      <c r="U8" s="214"/>
      <c r="V8" s="666"/>
      <c r="W8" s="246"/>
      <c r="X8" s="666"/>
      <c r="Y8" s="1181"/>
      <c r="Z8" s="7692"/>
      <c r="AA8" s="7540" t="s">
        <v>60</v>
      </c>
      <c r="AB8" s="7692"/>
      <c r="AC8" s="7540" t="s">
        <v>60</v>
      </c>
      <c r="AD8" s="666"/>
      <c r="AE8" s="246"/>
      <c r="AF8" s="666"/>
      <c r="AG8" s="1181"/>
      <c r="AH8" s="7692"/>
      <c r="AI8" s="7540" t="s">
        <v>60</v>
      </c>
      <c r="AJ8" s="7692"/>
      <c r="AK8" s="7540" t="s">
        <v>60</v>
      </c>
      <c r="AL8" s="246"/>
      <c r="AM8" s="7684" t="s">
        <v>586</v>
      </c>
      <c r="AN8" s="435" t="e">
        <f ca="1">STRCHECKDATE(V9:AL9)</f>
        <v>#NAME?</v>
      </c>
      <c r="AO8" s="424"/>
      <c r="AP8" s="424" t="str">
        <f t="shared" si="0"/>
        <v/>
      </c>
      <c r="AQ8" s="424"/>
      <c r="AR8" s="424"/>
    </row>
    <row r="9" spans="1:44" ht="14.25" hidden="1" customHeight="1">
      <c r="A9" s="1284"/>
      <c r="B9" s="1284"/>
      <c r="C9" s="1284"/>
      <c r="D9" s="1284"/>
      <c r="E9" s="7690"/>
      <c r="F9" s="7690"/>
      <c r="G9" s="7690"/>
      <c r="H9" s="7690"/>
      <c r="I9" s="7710"/>
      <c r="J9" s="7710"/>
      <c r="K9" s="7687"/>
      <c r="L9" s="1285"/>
      <c r="M9" s="460"/>
      <c r="N9" s="1287"/>
      <c r="O9" s="1287"/>
      <c r="P9" s="7688"/>
      <c r="Q9" s="7688"/>
      <c r="R9" s="278"/>
      <c r="S9" s="1264"/>
      <c r="T9" s="214"/>
      <c r="U9" s="214"/>
      <c r="V9" s="246"/>
      <c r="W9" s="246"/>
      <c r="X9" s="246"/>
      <c r="Y9" s="250" t="str">
        <f>Z8&amp;"-"&amp;AB8</f>
        <v>-</v>
      </c>
      <c r="Z9" s="7693"/>
      <c r="AA9" s="7540"/>
      <c r="AB9" s="7693"/>
      <c r="AC9" s="7540"/>
      <c r="AD9" s="246"/>
      <c r="AE9" s="246"/>
      <c r="AF9" s="246"/>
      <c r="AG9" s="250" t="str">
        <f>AH8&amp;"-"&amp;AJ8</f>
        <v>-</v>
      </c>
      <c r="AH9" s="7693"/>
      <c r="AI9" s="7540"/>
      <c r="AJ9" s="7693"/>
      <c r="AK9" s="7540"/>
      <c r="AL9" s="246"/>
      <c r="AM9" s="7685"/>
      <c r="AO9" s="424"/>
      <c r="AP9" s="424" t="str">
        <f t="shared" si="0"/>
        <v/>
      </c>
      <c r="AQ9" s="424"/>
      <c r="AR9" s="424"/>
    </row>
    <row r="10" spans="1:44" ht="15" hidden="1" customHeight="1">
      <c r="A10" s="1284"/>
      <c r="B10" s="1284"/>
      <c r="C10" s="1284"/>
      <c r="D10" s="1284"/>
      <c r="E10" s="7690"/>
      <c r="F10" s="7690"/>
      <c r="G10" s="7690"/>
      <c r="H10" s="7690"/>
      <c r="I10" s="7710"/>
      <c r="J10" s="7687"/>
      <c r="K10" s="1284"/>
      <c r="L10" s="1285"/>
      <c r="M10" s="460"/>
      <c r="N10" s="1287"/>
      <c r="P10" s="7688"/>
      <c r="Q10" s="7688"/>
      <c r="R10" s="277"/>
      <c r="S10" s="1203"/>
      <c r="T10" s="202" t="s">
        <v>587</v>
      </c>
      <c r="U10" s="291"/>
      <c r="V10" s="291"/>
      <c r="W10" s="291"/>
      <c r="X10" s="291"/>
      <c r="Y10" s="291"/>
      <c r="Z10" s="291"/>
      <c r="AA10" s="291"/>
      <c r="AB10" s="291"/>
      <c r="AC10" s="291"/>
      <c r="AD10" s="291"/>
      <c r="AE10" s="291"/>
      <c r="AF10" s="291"/>
      <c r="AG10" s="291"/>
      <c r="AH10" s="291"/>
      <c r="AI10" s="291"/>
      <c r="AJ10" s="291"/>
      <c r="AK10" s="291"/>
      <c r="AL10" s="245"/>
      <c r="AM10" s="7686"/>
      <c r="AO10" s="424"/>
      <c r="AP10" s="424" t="str">
        <f t="shared" si="0"/>
        <v>Добавить вид теплоносителя (параметры теплоносителя)</v>
      </c>
      <c r="AQ10" s="424"/>
      <c r="AR10" s="424"/>
    </row>
    <row r="11" spans="1:44" ht="11.25" hidden="1" customHeight="1">
      <c r="A11" s="1284"/>
      <c r="B11" s="1284"/>
      <c r="C11" s="1284"/>
      <c r="D11" s="1284"/>
      <c r="E11" s="7690"/>
      <c r="F11" s="7690"/>
      <c r="G11" s="7690"/>
      <c r="H11" s="7690"/>
      <c r="I11" s="7687"/>
      <c r="J11" s="1284"/>
      <c r="K11" s="1284"/>
      <c r="L11" s="1285"/>
      <c r="M11" s="460"/>
      <c r="P11" s="7688"/>
      <c r="Q11" s="1253"/>
      <c r="R11" s="277"/>
      <c r="S11" s="1203"/>
      <c r="T11" s="288" t="s">
        <v>588</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7690"/>
      <c r="F12" s="7690"/>
      <c r="G12" s="7690"/>
      <c r="H12" s="7689"/>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14.25" hidden="1" customHeight="1">
      <c r="A13" s="1237"/>
      <c r="B13" s="1237"/>
      <c r="C13" s="1237"/>
      <c r="D13" s="1237"/>
      <c r="E13" s="7690"/>
      <c r="F13" s="7690"/>
      <c r="G13" s="7689"/>
      <c r="H13" s="1237"/>
      <c r="I13" s="1237"/>
      <c r="J13" s="1237"/>
      <c r="K13" s="1237"/>
      <c r="L13" s="1261"/>
      <c r="M13" s="1238"/>
      <c r="N13" s="1238"/>
      <c r="P13" s="1239"/>
      <c r="Q13" s="1240"/>
      <c r="R13" s="1239"/>
      <c r="S13" s="1241"/>
      <c r="T13" s="1242" t="s">
        <v>590</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14.25" hidden="1" customHeight="1">
      <c r="A14" s="1237"/>
      <c r="B14" s="1237"/>
      <c r="C14" s="1237"/>
      <c r="D14" s="1237"/>
      <c r="E14" s="7690"/>
      <c r="F14" s="7689"/>
      <c r="G14" s="1237"/>
      <c r="H14" s="1237"/>
      <c r="I14" s="1237"/>
      <c r="J14" s="1237"/>
      <c r="K14" s="1237"/>
      <c r="L14" s="1261"/>
      <c r="M14" s="1244"/>
      <c r="N14" s="1244"/>
      <c r="P14" s="1239"/>
      <c r="Q14" s="1240"/>
      <c r="R14" s="1239"/>
      <c r="S14" s="1245"/>
      <c r="T14" s="1246" t="s">
        <v>325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14.25" hidden="1" customHeight="1">
      <c r="A15" s="1237"/>
      <c r="B15" s="1237"/>
      <c r="C15" s="1237"/>
      <c r="D15" s="1237"/>
      <c r="E15" s="7689"/>
      <c r="F15" s="1237"/>
      <c r="G15" s="1237"/>
      <c r="H15" s="1237"/>
      <c r="I15" s="1237"/>
      <c r="J15" s="1237"/>
      <c r="K15" s="1237"/>
      <c r="L15" s="1261"/>
      <c r="M15" s="1244"/>
      <c r="N15" s="1244"/>
      <c r="P15" s="1239"/>
      <c r="Q15" s="1240"/>
      <c r="R15" s="1239"/>
      <c r="S15" s="1245"/>
      <c r="T15" s="1248" t="s">
        <v>326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7694"/>
      <c r="AI17" s="7695" t="s">
        <v>60</v>
      </c>
      <c r="AJ17" s="7694"/>
      <c r="AK17" s="7695" t="s">
        <v>60</v>
      </c>
    </row>
    <row r="18" spans="1:44" ht="14.25" hidden="1" customHeight="1">
      <c r="AD18" s="1281"/>
      <c r="AE18" s="1281"/>
      <c r="AF18" s="1281"/>
      <c r="AG18" s="250" t="str">
        <f>AH17&amp;"-"&amp;AJ17</f>
        <v>-</v>
      </c>
      <c r="AH18" s="7695"/>
      <c r="AI18" s="7695"/>
      <c r="AJ18" s="7695"/>
      <c r="AK18" s="7695"/>
    </row>
    <row r="19" spans="1:44" ht="14.25" hidden="1" customHeight="1">
      <c r="AK19" s="249"/>
    </row>
    <row r="20" spans="1:44" s="1287" customFormat="1" ht="22.5" hidden="1" customHeight="1">
      <c r="L20" s="1251"/>
      <c r="M20" s="1283"/>
      <c r="N20" s="1283"/>
      <c r="O20" s="1288" t="s">
        <v>591</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592</v>
      </c>
      <c r="P22" s="1283"/>
      <c r="Q22" s="1292"/>
      <c r="R22" s="1292"/>
      <c r="S22" s="646"/>
      <c r="T22" s="1065" t="s">
        <v>593</v>
      </c>
      <c r="AA22" s="104" t="s">
        <v>594</v>
      </c>
      <c r="AC22" s="104" t="s">
        <v>595</v>
      </c>
      <c r="AD22" s="1065" t="s">
        <v>593</v>
      </c>
      <c r="AI22" s="104" t="s">
        <v>596</v>
      </c>
      <c r="AK22" s="104" t="s">
        <v>595</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75" customHeight="1">
      <c r="Q26" s="300"/>
      <c r="R26" s="300"/>
      <c r="S26" s="763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7633"/>
      <c r="U26" s="7633"/>
      <c r="V26" s="7633"/>
      <c r="W26" s="7633"/>
      <c r="X26" s="7633"/>
      <c r="Y26" s="7633"/>
      <c r="Z26" s="7633"/>
      <c r="AA26" s="7633"/>
      <c r="AB26" s="7633"/>
      <c r="AC26" s="7633"/>
      <c r="AD26" s="7633"/>
      <c r="AE26" s="7633"/>
      <c r="AF26" s="7633"/>
      <c r="AG26" s="7633"/>
      <c r="AH26" s="7633"/>
      <c r="AI26" s="7633"/>
      <c r="AJ26" s="7633"/>
      <c r="AK26" s="1157"/>
    </row>
    <row r="27" spans="1:44" ht="14.25" customHeight="1">
      <c r="Q27" s="300"/>
      <c r="R27" s="300"/>
      <c r="S27" s="7620" t="str">
        <f>IF(org=0,"Не определено",org)</f>
        <v>ГУП СК "Ставрополькрайводоканал"</v>
      </c>
      <c r="T27" s="7620"/>
      <c r="U27" s="7620"/>
      <c r="V27" s="7620"/>
      <c r="W27" s="7620"/>
      <c r="X27" s="7620"/>
      <c r="Y27" s="7620"/>
      <c r="Z27" s="7620"/>
      <c r="AA27" s="7620"/>
      <c r="AB27" s="7620"/>
      <c r="AC27" s="7620"/>
      <c r="AD27" s="7620"/>
      <c r="AE27" s="7620"/>
      <c r="AF27" s="7620"/>
      <c r="AG27" s="7620"/>
      <c r="AH27" s="7620"/>
      <c r="AI27" s="7620"/>
      <c r="AJ27" s="7620"/>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7681" t="s">
        <v>38</v>
      </c>
      <c r="T29" s="7681"/>
      <c r="U29" s="1293"/>
      <c r="V29" s="7682" t="str">
        <f>IF(TITLE_NAME_OR_PR_CHANGE="",IF(TITLE_NAME_OR_PR="","",TITLE_NAME_OR_PR),TITLE_NAME_OR_PR_CHANGE)</f>
        <v>Региональная тарифная комиссия Ставропольского края</v>
      </c>
      <c r="W29" s="7682"/>
      <c r="X29" s="7682"/>
      <c r="Y29" s="7682"/>
      <c r="Z29" s="7682"/>
      <c r="AA29" s="7682"/>
      <c r="AB29" s="7682"/>
      <c r="AC29" s="248"/>
      <c r="AD29" s="7682" t="str">
        <f>IF(TITLE_NAME_OR_PR_CHANGE="",IF(TITLE_NAME_OR_PR="","",TITLE_NAME_OR_PR),TITLE_NAME_OR_PR_CHANGE)</f>
        <v>Региональная тарифная комиссия Ставропольского края</v>
      </c>
      <c r="AE29" s="7682"/>
      <c r="AF29" s="7682"/>
      <c r="AG29" s="7682"/>
      <c r="AH29" s="7682"/>
      <c r="AI29" s="7682"/>
      <c r="AJ29" s="7682"/>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7681" t="s">
        <v>597</v>
      </c>
      <c r="T30" s="7681"/>
      <c r="U30" s="1293"/>
      <c r="V30" s="7691">
        <f>IF(TITLE_DATE_PR_CHANGE="",IF(TITLE_DATE_PR="","",TITLE_DATE_PR),TITLE_DATE_PR_CHANGE)</f>
        <v>45278</v>
      </c>
      <c r="W30" s="7691"/>
      <c r="X30" s="7691"/>
      <c r="Y30" s="7691"/>
      <c r="Z30" s="7691"/>
      <c r="AA30" s="7691"/>
      <c r="AB30" s="7691"/>
      <c r="AC30" s="248"/>
      <c r="AD30" s="7691">
        <f>IF(TITLE_DATE_PR_CHANGE="",IF(TITLE_DATE_PR="","",TITLE_DATE_PR),TITLE_DATE_PR_CHANGE)</f>
        <v>45278</v>
      </c>
      <c r="AE30" s="7691"/>
      <c r="AF30" s="7691"/>
      <c r="AG30" s="7691"/>
      <c r="AH30" s="7691"/>
      <c r="AI30" s="7691"/>
      <c r="AJ30" s="7691"/>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7681" t="s">
        <v>598</v>
      </c>
      <c r="T31" s="7681"/>
      <c r="U31" s="1293"/>
      <c r="V31" s="7682" t="str">
        <f>IF(TITLE_NUMBER_PR_CHANGE="",IF(TITLE_NUMBER_PR="","",TITLE_NUMBER_PR),TITLE_NUMBER_PR_CHANGE)</f>
        <v>79/2</v>
      </c>
      <c r="W31" s="7682"/>
      <c r="X31" s="7682"/>
      <c r="Y31" s="7682"/>
      <c r="Z31" s="7682"/>
      <c r="AA31" s="7682"/>
      <c r="AB31" s="7682"/>
      <c r="AC31" s="248"/>
      <c r="AD31" s="7682" t="str">
        <f>IF(TITLE_NUMBER_PR_CHANGE="",IF(TITLE_NUMBER_PR="","",TITLE_NUMBER_PR),TITLE_NUMBER_PR_CHANGE)</f>
        <v>79/2</v>
      </c>
      <c r="AE31" s="7682"/>
      <c r="AF31" s="7682"/>
      <c r="AG31" s="7682"/>
      <c r="AH31" s="7682"/>
      <c r="AI31" s="7682"/>
      <c r="AJ31" s="7682"/>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7681" t="s">
        <v>40</v>
      </c>
      <c r="T32" s="7681"/>
      <c r="U32" s="1293"/>
      <c r="V32" s="7682" t="str">
        <f>IF(TITLE_IST_PUB_CHANGE="",IF(TITLE_IST_PUB="","",TITLE_IST_PUB),TITLE_IST_PUB_CHANGE)</f>
        <v>http://pravo.stavregion.ru/</v>
      </c>
      <c r="W32" s="7682"/>
      <c r="X32" s="7682"/>
      <c r="Y32" s="7682"/>
      <c r="Z32" s="7682"/>
      <c r="AA32" s="7682"/>
      <c r="AB32" s="7682"/>
      <c r="AC32" s="248"/>
      <c r="AD32" s="7682" t="str">
        <f>IF(TITLE_IST_PUB_CHANGE="",IF(TITLE_IST_PUB="","",TITLE_IST_PUB),TITLE_IST_PUB_CHANGE)</f>
        <v>http://pravo.stavregion.ru/</v>
      </c>
      <c r="AE32" s="7682"/>
      <c r="AF32" s="7682"/>
      <c r="AG32" s="7682"/>
      <c r="AH32" s="7682"/>
      <c r="AI32" s="7682"/>
      <c r="AJ32" s="7682"/>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7681" t="s">
        <v>599</v>
      </c>
      <c r="T34" s="7681"/>
      <c r="U34" s="1293"/>
      <c r="V34" s="7691">
        <f>IF(TITLE_DATE_PR_CHANGE="",IF(TITLE_DATE_PR="","",TITLE_DATE_PR),TITLE_DATE_PR_CHANGE)</f>
        <v>45278</v>
      </c>
      <c r="W34" s="7691"/>
      <c r="X34" s="7691"/>
      <c r="Y34" s="7691"/>
      <c r="Z34" s="7691"/>
      <c r="AA34" s="7691"/>
      <c r="AB34" s="7691"/>
      <c r="AC34" s="248"/>
      <c r="AD34" s="7691">
        <f>IF(TITLE_DATE_PR_CHANGE="",IF(TITLE_DATE_PR="","",TITLE_DATE_PR),TITLE_DATE_PR_CHANGE)</f>
        <v>45278</v>
      </c>
      <c r="AE34" s="7691"/>
      <c r="AF34" s="7691"/>
      <c r="AG34" s="7691"/>
      <c r="AH34" s="7691"/>
      <c r="AI34" s="7691"/>
      <c r="AJ34" s="7691"/>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7681" t="s">
        <v>600</v>
      </c>
      <c r="T35" s="7681"/>
      <c r="U35" s="1293"/>
      <c r="V35" s="7682" t="str">
        <f>IF(TITLE_NUMBER_PR_CHANGE="",IF(TITLE_NUMBER_PR="","",TITLE_NUMBER_PR),TITLE_NUMBER_PR_CHANGE)</f>
        <v>79/2</v>
      </c>
      <c r="W35" s="7682"/>
      <c r="X35" s="7682"/>
      <c r="Y35" s="7682"/>
      <c r="Z35" s="7682"/>
      <c r="AA35" s="7682"/>
      <c r="AB35" s="7682"/>
      <c r="AC35" s="248"/>
      <c r="AD35" s="7682" t="str">
        <f>IF(TITLE_NUMBER_PR_CHANGE="",IF(TITLE_NUMBER_PR="","",TITLE_NUMBER_PR),TITLE_NUMBER_PR_CHANGE)</f>
        <v>79/2</v>
      </c>
      <c r="AE35" s="7682"/>
      <c r="AF35" s="7682"/>
      <c r="AG35" s="7682"/>
      <c r="AH35" s="7682"/>
      <c r="AI35" s="7682"/>
      <c r="AJ35" s="7682"/>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601</v>
      </c>
      <c r="AD36" s="248"/>
      <c r="AE36" s="248"/>
      <c r="AF36" s="248"/>
      <c r="AG36" s="248"/>
      <c r="AH36" s="248"/>
      <c r="AI36" s="248"/>
      <c r="AJ36" s="248"/>
      <c r="AK36" s="194" t="s">
        <v>601</v>
      </c>
      <c r="AN36" s="292"/>
      <c r="AO36" s="292"/>
      <c r="AP36" s="292"/>
      <c r="AQ36" s="292"/>
      <c r="AR36" s="292"/>
    </row>
    <row r="37" spans="1:44" ht="14.25" customHeight="1">
      <c r="Q37" s="300"/>
      <c r="R37" s="300"/>
      <c r="S37" s="1200"/>
      <c r="T37" s="286"/>
      <c r="U37" s="1158"/>
      <c r="V37" s="7683"/>
      <c r="W37" s="7683"/>
      <c r="X37" s="7683"/>
      <c r="Y37" s="7683"/>
      <c r="Z37" s="7683"/>
      <c r="AA37" s="7683"/>
      <c r="AB37" s="7683"/>
      <c r="AC37" s="7683"/>
      <c r="AD37" s="7683"/>
      <c r="AE37" s="7683"/>
      <c r="AF37" s="7683"/>
      <c r="AG37" s="7683"/>
      <c r="AH37" s="7683"/>
      <c r="AI37" s="7683"/>
      <c r="AJ37" s="7683"/>
      <c r="AK37" s="7683"/>
    </row>
    <row r="38" spans="1:44" ht="14.25" customHeight="1">
      <c r="Q38" s="300"/>
      <c r="R38" s="300"/>
      <c r="S38" s="7559" t="s">
        <v>474</v>
      </c>
      <c r="T38" s="7559"/>
      <c r="U38" s="7559"/>
      <c r="V38" s="7559"/>
      <c r="W38" s="7559"/>
      <c r="X38" s="7559"/>
      <c r="Y38" s="7559"/>
      <c r="Z38" s="7559"/>
      <c r="AA38" s="7559"/>
      <c r="AB38" s="7559"/>
      <c r="AC38" s="7559"/>
      <c r="AD38" s="7559"/>
      <c r="AE38" s="7559"/>
      <c r="AF38" s="7559"/>
      <c r="AG38" s="7559"/>
      <c r="AH38" s="7559"/>
      <c r="AI38" s="7559"/>
      <c r="AJ38" s="7559"/>
      <c r="AK38" s="7559"/>
      <c r="AL38" s="7559"/>
      <c r="AM38" s="7559" t="s">
        <v>475</v>
      </c>
    </row>
    <row r="39" spans="1:44" ht="14.25" customHeight="1">
      <c r="Q39" s="300"/>
      <c r="R39" s="300"/>
      <c r="S39" s="7697" t="s">
        <v>86</v>
      </c>
      <c r="T39" s="7649" t="s">
        <v>602</v>
      </c>
      <c r="U39" s="215"/>
      <c r="V39" s="7698" t="s">
        <v>603</v>
      </c>
      <c r="W39" s="7699"/>
      <c r="X39" s="7699"/>
      <c r="Y39" s="7699"/>
      <c r="Z39" s="7699"/>
      <c r="AA39" s="7699"/>
      <c r="AB39" s="7700"/>
      <c r="AC39" s="7701" t="s">
        <v>604</v>
      </c>
      <c r="AD39" s="7698" t="s">
        <v>603</v>
      </c>
      <c r="AE39" s="7699"/>
      <c r="AF39" s="7699"/>
      <c r="AG39" s="7699"/>
      <c r="AH39" s="7699"/>
      <c r="AI39" s="7699"/>
      <c r="AJ39" s="7700"/>
      <c r="AK39" s="7701" t="s">
        <v>605</v>
      </c>
      <c r="AL39" s="7704" t="s">
        <v>606</v>
      </c>
      <c r="AM39" s="7559"/>
    </row>
    <row r="40" spans="1:44" ht="33.75" customHeight="1">
      <c r="Q40" s="300"/>
      <c r="R40" s="300"/>
      <c r="S40" s="7697"/>
      <c r="T40" s="7649"/>
      <c r="U40" s="942"/>
      <c r="V40" s="7619" t="s">
        <v>607</v>
      </c>
      <c r="W40" s="7707"/>
      <c r="X40" s="7530" t="s">
        <v>609</v>
      </c>
      <c r="Y40" s="7529"/>
      <c r="Z40" s="7530" t="s">
        <v>610</v>
      </c>
      <c r="AA40" s="7536"/>
      <c r="AB40" s="7529"/>
      <c r="AC40" s="7702"/>
      <c r="AD40" s="7619" t="s">
        <v>607</v>
      </c>
      <c r="AE40" s="7707"/>
      <c r="AF40" s="7530" t="s">
        <v>609</v>
      </c>
      <c r="AG40" s="7529"/>
      <c r="AH40" s="7530" t="s">
        <v>610</v>
      </c>
      <c r="AI40" s="7536"/>
      <c r="AJ40" s="7529"/>
      <c r="AK40" s="7702"/>
      <c r="AL40" s="7705"/>
      <c r="AM40" s="7559"/>
    </row>
    <row r="41" spans="1:44" ht="33.75" customHeight="1">
      <c r="A41" s="1291"/>
      <c r="B41" s="1291" t="s">
        <v>249</v>
      </c>
      <c r="C41" s="1291" t="s">
        <v>250</v>
      </c>
      <c r="D41" s="1291" t="s">
        <v>251</v>
      </c>
      <c r="E41" s="1285" t="s">
        <v>611</v>
      </c>
      <c r="F41" s="1285" t="s">
        <v>612</v>
      </c>
      <c r="G41" s="1285" t="s">
        <v>613</v>
      </c>
      <c r="H41" s="1285" t="s">
        <v>614</v>
      </c>
      <c r="I41" s="1285" t="s">
        <v>615</v>
      </c>
      <c r="J41" s="1285" t="s">
        <v>616</v>
      </c>
      <c r="K41" s="1285" t="s">
        <v>617</v>
      </c>
      <c r="L41" s="1285" t="s">
        <v>592</v>
      </c>
      <c r="Q41" s="300"/>
      <c r="R41" s="300"/>
      <c r="S41" s="7697"/>
      <c r="T41" s="7649"/>
      <c r="U41" s="216"/>
      <c r="V41" s="7668"/>
      <c r="W41" s="7708"/>
      <c r="X41" s="1133" t="s">
        <v>618</v>
      </c>
      <c r="Y41" s="1133" t="s">
        <v>619</v>
      </c>
      <c r="Z41" s="1260" t="s">
        <v>620</v>
      </c>
      <c r="AA41" s="7657" t="s">
        <v>621</v>
      </c>
      <c r="AB41" s="7659"/>
      <c r="AC41" s="7703"/>
      <c r="AD41" s="7668"/>
      <c r="AE41" s="7708"/>
      <c r="AF41" s="1133" t="s">
        <v>618</v>
      </c>
      <c r="AG41" s="1133" t="s">
        <v>619</v>
      </c>
      <c r="AH41" s="1260" t="s">
        <v>620</v>
      </c>
      <c r="AI41" s="7657" t="s">
        <v>621</v>
      </c>
      <c r="AJ41" s="7659"/>
      <c r="AK41" s="7703"/>
      <c r="AL41" s="7706"/>
      <c r="AM41" s="7559"/>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100</v>
      </c>
      <c r="U42" s="1159" t="str">
        <f ca="1">OFFSET(U42,0,-1)</f>
        <v>2</v>
      </c>
      <c r="V42" s="1257">
        <f ca="1">OFFSET(V42,0,-1)+1</f>
        <v>3</v>
      </c>
      <c r="W42" s="1257"/>
      <c r="X42" s="1257">
        <f ca="1">OFFSET(X42,0,-1)+1</f>
        <v>1</v>
      </c>
      <c r="Y42" s="1257">
        <f ca="1">OFFSET(Y42,0,-1)+1</f>
        <v>2</v>
      </c>
      <c r="Z42" s="1257">
        <f ca="1">OFFSET(Z42,0,-1)+1</f>
        <v>3</v>
      </c>
      <c r="AA42" s="7696">
        <f ca="1">OFFSET(AA42,0,-1)+1</f>
        <v>4</v>
      </c>
      <c r="AB42" s="7696"/>
      <c r="AC42" s="1257">
        <f ca="1">OFFSET(AC42,0,-2)+1</f>
        <v>5</v>
      </c>
      <c r="AD42" s="1257">
        <f ca="1">OFFSET(AD42,0,-1)+1</f>
        <v>6</v>
      </c>
      <c r="AE42" s="1257"/>
      <c r="AF42" s="1257">
        <f ca="1">OFFSET(AF42,0,-1)+1</f>
        <v>1</v>
      </c>
      <c r="AG42" s="1257">
        <f ca="1">OFFSET(AG42,0,-1)+1</f>
        <v>2</v>
      </c>
      <c r="AH42" s="1257">
        <f ca="1">OFFSET(AH42,0,-1)+1</f>
        <v>3</v>
      </c>
      <c r="AI42" s="7696">
        <f ca="1">OFFSET(AI42,0,-1)+1</f>
        <v>4</v>
      </c>
      <c r="AJ42" s="7696"/>
      <c r="AK42" s="1257">
        <f ca="1">OFFSET(AK42,0,-2)+1</f>
        <v>5</v>
      </c>
      <c r="AL42" s="1159">
        <f ca="1">OFFSET(AL42,0,-1)</f>
        <v>5</v>
      </c>
      <c r="AM42" s="1257">
        <f ca="1">OFFSET(AM42,0,-1)+1</f>
        <v>6</v>
      </c>
      <c r="AN42" s="435"/>
      <c r="AO42" s="435"/>
      <c r="AP42" s="435"/>
      <c r="AQ42" s="435"/>
      <c r="AR42" s="435"/>
    </row>
    <row r="43" spans="1:44" ht="21" customHeight="1">
      <c r="A43" s="1284" t="s">
        <v>288</v>
      </c>
      <c r="B43" s="1284"/>
      <c r="C43" s="1284"/>
      <c r="D43" s="1284"/>
      <c r="E43" s="7689">
        <v>1</v>
      </c>
      <c r="F43" s="1284"/>
      <c r="G43" s="1284"/>
      <c r="H43" s="1284"/>
      <c r="I43" s="1284"/>
      <c r="J43" s="1284"/>
      <c r="K43" s="1284"/>
      <c r="L43" s="1285"/>
      <c r="M43" s="1286"/>
      <c r="N43" s="1286"/>
      <c r="O43" s="1286"/>
      <c r="P43" s="282"/>
      <c r="Q43" s="281"/>
      <c r="R43" s="276"/>
      <c r="S43" s="1258">
        <f>INDEX(PT_DIFFERENTIATION_NUM_NTAR,MATCH(A43,PT_DIFFERENTIATION_NTAR_ID,0))</f>
        <v>0</v>
      </c>
      <c r="T43" s="212" t="s">
        <v>237</v>
      </c>
      <c r="U43" s="214"/>
      <c r="V43" s="7675"/>
      <c r="W43" s="7676"/>
      <c r="X43" s="7676"/>
      <c r="Y43" s="7676"/>
      <c r="Z43" s="7676"/>
      <c r="AA43" s="7676"/>
      <c r="AB43" s="7676"/>
      <c r="AC43" s="7677"/>
      <c r="AD43" s="7675" t="str">
        <f>INDEX(PT_DIFFERENTIATION_NTAR,MATCH(A43,PT_DIFFERENTIATION_NTAR_ID,0))</f>
        <v/>
      </c>
      <c r="AE43" s="7676"/>
      <c r="AF43" s="7676"/>
      <c r="AG43" s="7676"/>
      <c r="AH43" s="7676"/>
      <c r="AI43" s="7676"/>
      <c r="AJ43" s="7676"/>
      <c r="AK43" s="7676"/>
      <c r="AL43" s="7677"/>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288</v>
      </c>
      <c r="B44" s="1284" t="s">
        <v>289</v>
      </c>
      <c r="C44" s="1284"/>
      <c r="D44" s="1284"/>
      <c r="E44" s="7690"/>
      <c r="F44" s="7689">
        <v>1</v>
      </c>
      <c r="G44" s="1284"/>
      <c r="H44" s="1284"/>
      <c r="I44" s="1284"/>
      <c r="J44" s="1284"/>
      <c r="K44" s="1284"/>
      <c r="L44" s="1285"/>
      <c r="M44" s="1286"/>
      <c r="N44" s="1286"/>
      <c r="O44" s="1286"/>
      <c r="P44" s="1254"/>
      <c r="Q44" s="273"/>
      <c r="R44" s="274"/>
      <c r="S44" s="1258" t="str">
        <f>INDEX(PT_DIFFERENTIATION_NUM_TER,MATCH(B44,PT_DIFFERENTIATION_TER_ID,0))</f>
        <v>.</v>
      </c>
      <c r="T44" s="224" t="s">
        <v>573</v>
      </c>
      <c r="U44" s="214"/>
      <c r="V44" s="7675"/>
      <c r="W44" s="7676"/>
      <c r="X44" s="7676"/>
      <c r="Y44" s="7676"/>
      <c r="Z44" s="7676"/>
      <c r="AA44" s="7676"/>
      <c r="AB44" s="7676"/>
      <c r="AC44" s="7677"/>
      <c r="AD44" s="7675" t="str">
        <f>INDEX(PT_DIFFERENTIATION_TER,MATCH(B44,PT_DIFFERENTIATION_TER_ID,0))</f>
        <v/>
      </c>
      <c r="AE44" s="7676"/>
      <c r="AF44" s="7676"/>
      <c r="AG44" s="7676"/>
      <c r="AH44" s="7676"/>
      <c r="AI44" s="7676"/>
      <c r="AJ44" s="7676"/>
      <c r="AK44" s="7676"/>
      <c r="AL44" s="7677"/>
      <c r="AM44" s="1182" t="s">
        <v>574</v>
      </c>
      <c r="AO44" s="424"/>
      <c r="AP44" s="424" t="str">
        <f t="shared" si="1"/>
        <v>Территория действия тарифа</v>
      </c>
      <c r="AQ44" s="424"/>
      <c r="AR44" s="424"/>
    </row>
    <row r="45" spans="1:44" ht="23.25" customHeight="1">
      <c r="A45" s="1284" t="s">
        <v>288</v>
      </c>
      <c r="B45" s="1284" t="s">
        <v>289</v>
      </c>
      <c r="C45" s="1284" t="s">
        <v>290</v>
      </c>
      <c r="D45" s="1284"/>
      <c r="E45" s="7690"/>
      <c r="F45" s="7690"/>
      <c r="G45" s="7689">
        <v>1</v>
      </c>
      <c r="H45" s="1284"/>
      <c r="I45" s="1284"/>
      <c r="J45" s="1284"/>
      <c r="K45" s="1284"/>
      <c r="L45" s="1285"/>
      <c r="M45" s="1286"/>
      <c r="N45" s="1286"/>
      <c r="O45" s="1286"/>
      <c r="P45" s="275"/>
      <c r="Q45" s="273"/>
      <c r="R45" s="274"/>
      <c r="S45" s="1258" t="str">
        <f>INDEX(PT_DIFFERENTIATION_NUM_CS,MATCH(C45,PT_DIFFERENTIATION_CS_ID,0))</f>
        <v>..</v>
      </c>
      <c r="T45" s="225" t="s">
        <v>575</v>
      </c>
      <c r="U45" s="214"/>
      <c r="V45" s="7675"/>
      <c r="W45" s="7676"/>
      <c r="X45" s="7676"/>
      <c r="Y45" s="7676"/>
      <c r="Z45" s="7676"/>
      <c r="AA45" s="7676"/>
      <c r="AB45" s="7676"/>
      <c r="AC45" s="7677"/>
      <c r="AD45" s="7675" t="str">
        <f>INDEX(PT_DIFFERENTIATION_CS,MATCH(C45,PT_DIFFERENTIATION_CS_ID,0))</f>
        <v/>
      </c>
      <c r="AE45" s="7676"/>
      <c r="AF45" s="7676"/>
      <c r="AG45" s="7676"/>
      <c r="AH45" s="7676"/>
      <c r="AI45" s="7676"/>
      <c r="AJ45" s="7676"/>
      <c r="AK45" s="7676"/>
      <c r="AL45" s="7677"/>
      <c r="AM45" s="1182" t="s">
        <v>576</v>
      </c>
      <c r="AO45" s="424"/>
      <c r="AP45" s="424" t="str">
        <f t="shared" si="1"/>
        <v xml:space="preserve">Наименование системы теплоснабжения </v>
      </c>
      <c r="AQ45" s="424"/>
      <c r="AR45" s="424"/>
    </row>
    <row r="46" spans="1:44" ht="21" customHeight="1">
      <c r="A46" s="1284" t="s">
        <v>288</v>
      </c>
      <c r="B46" s="1284" t="s">
        <v>289</v>
      </c>
      <c r="C46" s="1284" t="s">
        <v>290</v>
      </c>
      <c r="D46" s="1284" t="s">
        <v>291</v>
      </c>
      <c r="E46" s="7690"/>
      <c r="F46" s="7690"/>
      <c r="G46" s="7690"/>
      <c r="H46" s="7689">
        <v>1</v>
      </c>
      <c r="I46" s="1284"/>
      <c r="J46" s="1284"/>
      <c r="K46" s="1284"/>
      <c r="L46" s="1285"/>
      <c r="M46" s="1286"/>
      <c r="N46" s="1286"/>
      <c r="O46" s="1286"/>
      <c r="P46" s="275"/>
      <c r="Q46" s="273"/>
      <c r="R46" s="274"/>
      <c r="S46" s="1258" t="str">
        <f>INDEX(PT_DIFFERENTIATION_NUM_IST_TE,MATCH(D46,PT_DIFFERENTIATION_IST_TE_ID,0))</f>
        <v>...</v>
      </c>
      <c r="T46" s="226" t="s">
        <v>577</v>
      </c>
      <c r="U46" s="214"/>
      <c r="V46" s="7675"/>
      <c r="W46" s="7676"/>
      <c r="X46" s="7676"/>
      <c r="Y46" s="7676"/>
      <c r="Z46" s="7676"/>
      <c r="AA46" s="7676"/>
      <c r="AB46" s="7676"/>
      <c r="AC46" s="7677"/>
      <c r="AD46" s="7675" t="str">
        <f>INDEX(PT_DIFFERENTIATION_IST_TE,MATCH(D46,PT_DIFFERENTIATION_IST_TE_ID,0))</f>
        <v/>
      </c>
      <c r="AE46" s="7676"/>
      <c r="AF46" s="7676"/>
      <c r="AG46" s="7676"/>
      <c r="AH46" s="7676"/>
      <c r="AI46" s="7676"/>
      <c r="AJ46" s="7676"/>
      <c r="AK46" s="7676"/>
      <c r="AL46" s="7677"/>
      <c r="AM46" s="1182" t="s">
        <v>578</v>
      </c>
      <c r="AO46" s="424"/>
      <c r="AP46" s="424" t="str">
        <f t="shared" si="1"/>
        <v xml:space="preserve">Источник тепловой энергии  </v>
      </c>
      <c r="AQ46" s="424"/>
      <c r="AR46" s="424"/>
    </row>
    <row r="47" spans="1:44" s="1562" customFormat="1" ht="0" hidden="1" customHeight="1">
      <c r="A47" s="1265" t="s">
        <v>288</v>
      </c>
      <c r="B47" s="1265" t="s">
        <v>289</v>
      </c>
      <c r="C47" s="1265" t="s">
        <v>290</v>
      </c>
      <c r="D47" s="1265" t="s">
        <v>291</v>
      </c>
      <c r="E47" s="7690"/>
      <c r="F47" s="7690"/>
      <c r="G47" s="7690"/>
      <c r="H47" s="7690"/>
      <c r="I47" s="7687" t="str">
        <f>S46&amp;".1"</f>
        <v>....1</v>
      </c>
      <c r="J47" s="1265"/>
      <c r="K47" s="1265"/>
      <c r="L47" s="1268" t="s">
        <v>579</v>
      </c>
      <c r="M47" s="434"/>
      <c r="N47" s="434"/>
      <c r="O47" s="434"/>
      <c r="P47" s="7688">
        <v>1</v>
      </c>
      <c r="Q47" s="1253"/>
      <c r="R47" s="277"/>
      <c r="S47" s="953"/>
      <c r="T47" s="1304"/>
      <c r="U47" s="1305"/>
      <c r="V47" s="7716"/>
      <c r="W47" s="7717"/>
      <c r="X47" s="7717"/>
      <c r="Y47" s="7717"/>
      <c r="Z47" s="7717"/>
      <c r="AA47" s="7717"/>
      <c r="AB47" s="7717"/>
      <c r="AC47" s="7718"/>
      <c r="AD47" s="7716"/>
      <c r="AE47" s="7717"/>
      <c r="AF47" s="7717"/>
      <c r="AG47" s="7717"/>
      <c r="AH47" s="7717"/>
      <c r="AI47" s="7717"/>
      <c r="AJ47" s="7717"/>
      <c r="AK47" s="7717"/>
      <c r="AL47" s="7718"/>
      <c r="AM47" s="1306"/>
      <c r="AO47" s="424"/>
      <c r="AP47" s="424" t="str">
        <f t="shared" si="1"/>
        <v/>
      </c>
      <c r="AQ47" s="424"/>
      <c r="AR47" s="424"/>
    </row>
    <row r="48" spans="1:44" ht="21" customHeight="1">
      <c r="A48" s="1284" t="s">
        <v>288</v>
      </c>
      <c r="B48" s="1284" t="s">
        <v>289</v>
      </c>
      <c r="C48" s="1284" t="s">
        <v>290</v>
      </c>
      <c r="D48" s="1284" t="s">
        <v>291</v>
      </c>
      <c r="E48" s="7690"/>
      <c r="F48" s="7690"/>
      <c r="G48" s="7690"/>
      <c r="H48" s="7690"/>
      <c r="I48" s="7710"/>
      <c r="J48" s="7687" t="str">
        <f>S46&amp;".1"</f>
        <v>....1</v>
      </c>
      <c r="K48" s="1284"/>
      <c r="L48" s="1285" t="s">
        <v>582</v>
      </c>
      <c r="P48" s="7688"/>
      <c r="Q48" s="7688">
        <v>1</v>
      </c>
      <c r="R48" s="278"/>
      <c r="S48" s="1258" t="str">
        <f>$J48</f>
        <v>....1</v>
      </c>
      <c r="T48" s="201" t="s">
        <v>583</v>
      </c>
      <c r="U48" s="214"/>
      <c r="V48" s="7678"/>
      <c r="W48" s="7679"/>
      <c r="X48" s="7679"/>
      <c r="Y48" s="7679"/>
      <c r="Z48" s="7679"/>
      <c r="AA48" s="7679"/>
      <c r="AB48" s="7679"/>
      <c r="AC48" s="7680"/>
      <c r="AD48" s="7678"/>
      <c r="AE48" s="7679"/>
      <c r="AF48" s="7679"/>
      <c r="AG48" s="7679"/>
      <c r="AH48" s="7679"/>
      <c r="AI48" s="7679"/>
      <c r="AJ48" s="7679"/>
      <c r="AK48" s="7679"/>
      <c r="AL48" s="7680"/>
      <c r="AM48" s="1182" t="s">
        <v>584</v>
      </c>
      <c r="AO48" s="424"/>
      <c r="AP48" s="424" t="str">
        <f t="shared" si="1"/>
        <v>Группа потребителей</v>
      </c>
      <c r="AQ48" s="424"/>
      <c r="AR48" s="424"/>
    </row>
    <row r="49" spans="1:44" ht="21" customHeight="1">
      <c r="A49" s="1284" t="s">
        <v>288</v>
      </c>
      <c r="B49" s="1284" t="s">
        <v>289</v>
      </c>
      <c r="C49" s="1284" t="s">
        <v>290</v>
      </c>
      <c r="D49" s="1284" t="s">
        <v>291</v>
      </c>
      <c r="E49" s="7690"/>
      <c r="F49" s="7690"/>
      <c r="G49" s="7690"/>
      <c r="H49" s="7690"/>
      <c r="I49" s="7710"/>
      <c r="J49" s="7710"/>
      <c r="K49" s="7687" t="str">
        <f>J48&amp;".1"</f>
        <v>....1.1</v>
      </c>
      <c r="L49" s="1285" t="s">
        <v>585</v>
      </c>
      <c r="P49" s="7688"/>
      <c r="Q49" s="7688"/>
      <c r="R49" s="278">
        <v>1</v>
      </c>
      <c r="S49" s="1258" t="str">
        <f>$K49</f>
        <v>....1.1</v>
      </c>
      <c r="T49" s="1269"/>
      <c r="U49" s="214"/>
      <c r="V49" s="666"/>
      <c r="W49" s="246"/>
      <c r="X49" s="666"/>
      <c r="Y49" s="1181"/>
      <c r="Z49" s="7692"/>
      <c r="AA49" s="7540" t="s">
        <v>60</v>
      </c>
      <c r="AB49" s="7692"/>
      <c r="AC49" s="7540" t="s">
        <v>60</v>
      </c>
      <c r="AD49" s="666"/>
      <c r="AE49" s="246"/>
      <c r="AF49" s="666"/>
      <c r="AG49" s="1181"/>
      <c r="AH49" s="7692"/>
      <c r="AI49" s="7540" t="s">
        <v>60</v>
      </c>
      <c r="AJ49" s="7711"/>
      <c r="AK49" s="7540" t="s">
        <v>60</v>
      </c>
      <c r="AL49" s="1270"/>
      <c r="AM49" s="7684" t="s">
        <v>623</v>
      </c>
      <c r="AN49" s="435" t="e">
        <f ca="1">STRCHECKDATE(V50:AL50)</f>
        <v>#NAME?</v>
      </c>
      <c r="AO49" s="424"/>
      <c r="AP49" s="424" t="str">
        <f t="shared" si="1"/>
        <v/>
      </c>
      <c r="AQ49" s="424"/>
      <c r="AR49" s="424"/>
    </row>
    <row r="50" spans="1:44" ht="0.75" customHeight="1">
      <c r="A50" s="1284" t="s">
        <v>288</v>
      </c>
      <c r="B50" s="1284" t="s">
        <v>289</v>
      </c>
      <c r="C50" s="1284" t="s">
        <v>290</v>
      </c>
      <c r="D50" s="1284" t="s">
        <v>291</v>
      </c>
      <c r="E50" s="7690"/>
      <c r="F50" s="7690"/>
      <c r="G50" s="7690"/>
      <c r="H50" s="7690"/>
      <c r="I50" s="7710"/>
      <c r="J50" s="7710"/>
      <c r="K50" s="7687"/>
      <c r="L50" s="1285"/>
      <c r="P50" s="7688"/>
      <c r="Q50" s="7688"/>
      <c r="R50" s="278"/>
      <c r="S50" s="1264"/>
      <c r="T50" s="214"/>
      <c r="U50" s="214"/>
      <c r="V50" s="246"/>
      <c r="W50" s="246"/>
      <c r="X50" s="246"/>
      <c r="Y50" s="250" t="str">
        <f>Z49&amp;"-"&amp;AB49</f>
        <v>-</v>
      </c>
      <c r="Z50" s="7693"/>
      <c r="AA50" s="7540"/>
      <c r="AB50" s="7693"/>
      <c r="AC50" s="7540"/>
      <c r="AD50" s="246"/>
      <c r="AE50" s="246"/>
      <c r="AF50" s="246"/>
      <c r="AG50" s="250" t="str">
        <f>AH49&amp;"-"&amp;AJ49</f>
        <v>-</v>
      </c>
      <c r="AH50" s="7693"/>
      <c r="AI50" s="7540"/>
      <c r="AJ50" s="7712"/>
      <c r="AK50" s="7540"/>
      <c r="AL50" s="1271"/>
      <c r="AM50" s="7685"/>
      <c r="AO50" s="424"/>
      <c r="AP50" s="424" t="str">
        <f t="shared" si="1"/>
        <v/>
      </c>
      <c r="AQ50" s="424"/>
      <c r="AR50" s="424"/>
    </row>
    <row r="51" spans="1:44" ht="11.25" customHeight="1">
      <c r="A51" s="1284" t="s">
        <v>288</v>
      </c>
      <c r="B51" s="1284" t="s">
        <v>289</v>
      </c>
      <c r="C51" s="1284" t="s">
        <v>290</v>
      </c>
      <c r="D51" s="1284" t="s">
        <v>291</v>
      </c>
      <c r="E51" s="7690"/>
      <c r="F51" s="7690"/>
      <c r="G51" s="7690"/>
      <c r="H51" s="7690"/>
      <c r="I51" s="7710"/>
      <c r="J51" s="7687"/>
      <c r="K51" s="1284"/>
      <c r="L51" s="1285"/>
      <c r="P51" s="7688"/>
      <c r="Q51" s="7688"/>
      <c r="R51" s="277"/>
      <c r="S51" s="1203"/>
      <c r="T51" s="202" t="s">
        <v>587</v>
      </c>
      <c r="U51" s="291"/>
      <c r="V51" s="291"/>
      <c r="W51" s="291"/>
      <c r="X51" s="291"/>
      <c r="Y51" s="291"/>
      <c r="Z51" s="291"/>
      <c r="AA51" s="291"/>
      <c r="AB51" s="291"/>
      <c r="AC51" s="291"/>
      <c r="AD51" s="291"/>
      <c r="AE51" s="291"/>
      <c r="AF51" s="291"/>
      <c r="AG51" s="291"/>
      <c r="AH51" s="291"/>
      <c r="AI51" s="291"/>
      <c r="AJ51" s="291"/>
      <c r="AK51" s="291"/>
      <c r="AL51" s="245"/>
      <c r="AM51" s="7686"/>
      <c r="AO51" s="424"/>
      <c r="AP51" s="424" t="str">
        <f t="shared" si="1"/>
        <v>Добавить вид теплоносителя (параметры теплоносителя)</v>
      </c>
      <c r="AQ51" s="424"/>
      <c r="AR51" s="424"/>
    </row>
    <row r="52" spans="1:44" ht="11.25" customHeight="1">
      <c r="A52" s="1284" t="s">
        <v>288</v>
      </c>
      <c r="B52" s="1284" t="s">
        <v>289</v>
      </c>
      <c r="C52" s="1284" t="s">
        <v>290</v>
      </c>
      <c r="D52" s="1284" t="s">
        <v>291</v>
      </c>
      <c r="E52" s="7690"/>
      <c r="F52" s="7690"/>
      <c r="G52" s="7690"/>
      <c r="H52" s="7690"/>
      <c r="I52" s="7687"/>
      <c r="J52" s="1284"/>
      <c r="K52" s="1284"/>
      <c r="L52" s="1285"/>
      <c r="P52" s="7688"/>
      <c r="Q52" s="1253"/>
      <c r="R52" s="277"/>
      <c r="S52" s="1203"/>
      <c r="T52" s="288" t="s">
        <v>588</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288</v>
      </c>
      <c r="B53" s="1284" t="s">
        <v>289</v>
      </c>
      <c r="C53" s="1284" t="s">
        <v>290</v>
      </c>
      <c r="D53" s="1284" t="s">
        <v>291</v>
      </c>
      <c r="E53" s="7690"/>
      <c r="F53" s="7690"/>
      <c r="G53" s="7690"/>
      <c r="H53" s="7689"/>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75" customHeight="1">
      <c r="A54" s="1265" t="s">
        <v>288</v>
      </c>
      <c r="B54" s="1265" t="s">
        <v>289</v>
      </c>
      <c r="C54" s="1265" t="s">
        <v>290</v>
      </c>
      <c r="D54" s="1237"/>
      <c r="E54" s="7690"/>
      <c r="F54" s="7690"/>
      <c r="G54" s="7689"/>
      <c r="H54" s="1237"/>
      <c r="I54" s="1237"/>
      <c r="J54" s="1237"/>
      <c r="K54" s="1237"/>
      <c r="L54" s="1261"/>
      <c r="M54" s="1238"/>
      <c r="N54" s="1238"/>
      <c r="P54" s="1239"/>
      <c r="Q54" s="1240"/>
      <c r="R54" s="1239"/>
      <c r="S54" s="1245"/>
      <c r="T54" s="1248" t="s">
        <v>590</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288</v>
      </c>
      <c r="B55" s="1265" t="s">
        <v>289</v>
      </c>
      <c r="C55" s="1237"/>
      <c r="D55" s="1237"/>
      <c r="E55" s="7690"/>
      <c r="F55" s="7689"/>
      <c r="G55" s="1237"/>
      <c r="H55" s="1237"/>
      <c r="I55" s="1237"/>
      <c r="J55" s="1237"/>
      <c r="K55" s="1237"/>
      <c r="L55" s="1261"/>
      <c r="M55" s="1244"/>
      <c r="N55" s="1244"/>
      <c r="P55" s="1239"/>
      <c r="Q55" s="1240"/>
      <c r="R55" s="1239"/>
      <c r="S55" s="1245"/>
      <c r="T55" s="1248" t="s">
        <v>325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288</v>
      </c>
      <c r="B56" s="1265"/>
      <c r="C56" s="1265"/>
      <c r="D56" s="1265"/>
      <c r="E56" s="7689"/>
      <c r="F56" s="1265"/>
      <c r="G56" s="1265"/>
      <c r="H56" s="1265"/>
      <c r="I56" s="1265"/>
      <c r="J56" s="1265"/>
      <c r="K56" s="1265"/>
      <c r="L56" s="1268"/>
      <c r="M56" s="1244"/>
      <c r="N56" s="1244"/>
      <c r="O56" s="442"/>
      <c r="P56" s="308"/>
      <c r="Q56" s="1266"/>
      <c r="R56" s="308"/>
      <c r="S56" s="1245"/>
      <c r="T56" s="1248" t="s">
        <v>326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402</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1.75" customHeight="1">
      <c r="O59" s="460"/>
      <c r="S59" s="1169"/>
      <c r="T59" s="7709"/>
      <c r="U59" s="7709"/>
      <c r="V59" s="7709"/>
      <c r="W59" s="7709"/>
      <c r="X59" s="7709"/>
      <c r="Y59" s="7709"/>
      <c r="Z59" s="7709"/>
      <c r="AA59" s="7709"/>
      <c r="AB59" s="7709"/>
      <c r="AC59" s="7709"/>
      <c r="AD59" s="7709"/>
      <c r="AE59" s="7709"/>
      <c r="AF59" s="7709"/>
      <c r="AG59" s="7709"/>
      <c r="AH59" s="7709"/>
      <c r="AI59" s="7709"/>
      <c r="AJ59" s="7709"/>
      <c r="AK59" s="7709"/>
      <c r="AL59" s="7709"/>
      <c r="AM59" s="7709"/>
    </row>
    <row r="60" spans="1:44" ht="29.25" customHeight="1">
      <c r="O60" s="460"/>
      <c r="T60" s="7709"/>
      <c r="U60" s="7709"/>
      <c r="V60" s="7709"/>
      <c r="W60" s="7709"/>
      <c r="X60" s="7709"/>
      <c r="Y60" s="7709"/>
      <c r="Z60" s="7709"/>
      <c r="AA60" s="7709"/>
      <c r="AB60" s="7709"/>
      <c r="AC60" s="7709"/>
      <c r="AD60" s="7709"/>
      <c r="AE60" s="7709"/>
      <c r="AF60" s="7709"/>
      <c r="AG60" s="7709"/>
      <c r="AH60" s="7709"/>
      <c r="AI60" s="7709"/>
      <c r="AJ60" s="7709"/>
      <c r="AK60" s="7709"/>
      <c r="AL60" s="7709"/>
      <c r="AM60" s="7709"/>
    </row>
    <row r="61" spans="1:44" ht="39.75" customHeight="1">
      <c r="O61" s="460"/>
      <c r="T61" s="7709"/>
      <c r="U61" s="7709"/>
      <c r="V61" s="7709"/>
      <c r="W61" s="7709"/>
      <c r="X61" s="7709"/>
      <c r="Y61" s="7709"/>
      <c r="Z61" s="7709"/>
      <c r="AA61" s="7709"/>
      <c r="AB61" s="7709"/>
      <c r="AC61" s="7709"/>
      <c r="AD61" s="7709"/>
      <c r="AE61" s="7709"/>
      <c r="AF61" s="7709"/>
      <c r="AG61" s="7709"/>
      <c r="AH61" s="7709"/>
      <c r="AI61" s="7709"/>
      <c r="AJ61" s="7709"/>
      <c r="AK61" s="7709"/>
      <c r="AL61" s="7709"/>
      <c r="AM61" s="7709"/>
    </row>
    <row r="62" spans="1:44" ht="14.25" customHeight="1">
      <c r="O62" s="460"/>
    </row>
    <row r="63" spans="1:44" ht="19.5" customHeight="1">
      <c r="O63" s="460"/>
      <c r="S63" s="1169"/>
      <c r="T63" s="7609"/>
      <c r="U63" s="7709"/>
      <c r="V63" s="7709"/>
      <c r="W63" s="7709"/>
      <c r="X63" s="7709"/>
      <c r="Y63" s="7709"/>
      <c r="Z63" s="7709"/>
      <c r="AA63" s="7709"/>
      <c r="AB63" s="7709"/>
      <c r="AC63" s="7709"/>
      <c r="AD63" s="7709"/>
      <c r="AE63" s="7709"/>
      <c r="AF63" s="7709"/>
      <c r="AG63" s="7709"/>
      <c r="AH63" s="7709"/>
      <c r="AI63" s="7709"/>
      <c r="AJ63" s="7709"/>
      <c r="AK63" s="7709"/>
      <c r="AL63" s="7709"/>
      <c r="AM63" s="7709"/>
    </row>
    <row r="64" spans="1:44" ht="27.75" customHeight="1">
      <c r="O64" s="460"/>
      <c r="T64" s="7709"/>
      <c r="U64" s="7709"/>
      <c r="V64" s="7709"/>
      <c r="W64" s="7709"/>
      <c r="X64" s="7709"/>
      <c r="Y64" s="7709"/>
      <c r="Z64" s="7709"/>
      <c r="AA64" s="7709"/>
      <c r="AB64" s="7709"/>
      <c r="AC64" s="7709"/>
      <c r="AD64" s="7709"/>
      <c r="AE64" s="7709"/>
      <c r="AF64" s="7709"/>
      <c r="AG64" s="7709"/>
      <c r="AH64" s="7709"/>
      <c r="AI64" s="7709"/>
      <c r="AJ64" s="7709"/>
      <c r="AK64" s="7709"/>
      <c r="AL64" s="7709"/>
      <c r="AM64" s="7709"/>
    </row>
    <row r="65" spans="20:39" ht="33.75" customHeight="1">
      <c r="T65" s="7709"/>
      <c r="U65" s="7709"/>
      <c r="V65" s="7709"/>
      <c r="W65" s="7709"/>
      <c r="X65" s="7709"/>
      <c r="Y65" s="7709"/>
      <c r="Z65" s="7709"/>
      <c r="AA65" s="7709"/>
      <c r="AB65" s="7709"/>
      <c r="AC65" s="7709"/>
      <c r="AD65" s="7709"/>
      <c r="AE65" s="7709"/>
      <c r="AF65" s="7709"/>
      <c r="AG65" s="7709"/>
      <c r="AH65" s="7709"/>
      <c r="AI65" s="7709"/>
      <c r="AJ65" s="7709"/>
      <c r="AK65" s="7709"/>
      <c r="AL65" s="7709"/>
      <c r="AM65" s="7709"/>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5" hidden="1" customWidth="1"/>
    <col min="13" max="14" width="12.28515625" style="1696" hidden="1" customWidth="1"/>
    <col min="15" max="15" width="23.42578125" style="1696" hidden="1" customWidth="1"/>
    <col min="16" max="16" width="3.7109375" style="1817" hidden="1" customWidth="1"/>
    <col min="17" max="18" width="3.7109375" style="265" customWidth="1"/>
    <col min="19" max="19" width="12.7109375" style="1820"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7689">
        <v>1</v>
      </c>
      <c r="F2" s="1284"/>
      <c r="G2" s="1284"/>
      <c r="H2" s="1284"/>
      <c r="I2" s="1284"/>
      <c r="J2" s="1284"/>
      <c r="K2" s="1284"/>
      <c r="L2" s="1285"/>
      <c r="M2" s="1286"/>
      <c r="N2" s="1286"/>
      <c r="O2" s="1286"/>
      <c r="P2" s="282"/>
      <c r="Q2" s="281"/>
      <c r="R2" s="276"/>
      <c r="S2" s="1258" t="e">
        <f>INDEX(PT_DIFFERENTIATION_NUM_NTAR,MATCH(A2,PT_DIFFERENTIATION_NTAR_ID,0))</f>
        <v>#N/A</v>
      </c>
      <c r="T2" s="212" t="s">
        <v>237</v>
      </c>
      <c r="U2" s="214"/>
      <c r="V2" s="7675"/>
      <c r="W2" s="7676"/>
      <c r="X2" s="7676"/>
      <c r="Y2" s="7676"/>
      <c r="Z2" s="7676"/>
      <c r="AA2" s="7676"/>
      <c r="AB2" s="7676"/>
      <c r="AC2" s="7677"/>
      <c r="AD2" s="7675" t="e">
        <f>INDEX(PT_DIFFERENTIATION_NTAR,MATCH(A2,PT_DIFFERENTIATION_NTAR_ID,0))</f>
        <v>#N/A</v>
      </c>
      <c r="AE2" s="7676"/>
      <c r="AF2" s="7676"/>
      <c r="AG2" s="7676"/>
      <c r="AH2" s="7676"/>
      <c r="AI2" s="7676"/>
      <c r="AJ2" s="7676"/>
      <c r="AK2" s="7676"/>
      <c r="AL2" s="7677"/>
      <c r="AM2" s="1182" t="s">
        <v>572</v>
      </c>
      <c r="AO2" s="424"/>
      <c r="AP2" s="424" t="str">
        <f t="shared" ref="AP2:AP15" si="0">IF(T2="","",T2)</f>
        <v>Наименование тарифа</v>
      </c>
      <c r="AQ2" s="424"/>
      <c r="AR2" s="424"/>
    </row>
    <row r="3" spans="1:44" ht="21" hidden="1" customHeight="1">
      <c r="A3" s="1284"/>
      <c r="B3" s="1284"/>
      <c r="C3" s="1284"/>
      <c r="D3" s="1284"/>
      <c r="E3" s="7690"/>
      <c r="F3" s="7689">
        <v>1</v>
      </c>
      <c r="G3" s="1284"/>
      <c r="H3" s="1284"/>
      <c r="I3" s="1284"/>
      <c r="J3" s="1284"/>
      <c r="K3" s="1284"/>
      <c r="L3" s="1285"/>
      <c r="M3" s="1286"/>
      <c r="N3" s="1286"/>
      <c r="O3" s="1286"/>
      <c r="P3" s="1254"/>
      <c r="Q3" s="273"/>
      <c r="R3" s="274"/>
      <c r="S3" s="1258" t="e">
        <f>INDEX(PT_DIFFERENTIATION_NUM_TER,MATCH(B3,PT_DIFFERENTIATION_TER_ID,0))</f>
        <v>#N/A</v>
      </c>
      <c r="T3" s="224" t="s">
        <v>573</v>
      </c>
      <c r="U3" s="214"/>
      <c r="V3" s="7675"/>
      <c r="W3" s="7676"/>
      <c r="X3" s="7676"/>
      <c r="Y3" s="7676"/>
      <c r="Z3" s="7676"/>
      <c r="AA3" s="7676"/>
      <c r="AB3" s="7676"/>
      <c r="AC3" s="7677"/>
      <c r="AD3" s="7675" t="e">
        <f>INDEX(PT_DIFFERENTIATION_TER,MATCH(B3,PT_DIFFERENTIATION_TER_ID,0))</f>
        <v>#N/A</v>
      </c>
      <c r="AE3" s="7676"/>
      <c r="AF3" s="7676"/>
      <c r="AG3" s="7676"/>
      <c r="AH3" s="7676"/>
      <c r="AI3" s="7676"/>
      <c r="AJ3" s="7676"/>
      <c r="AK3" s="7676"/>
      <c r="AL3" s="7677"/>
      <c r="AM3" s="1182" t="s">
        <v>574</v>
      </c>
      <c r="AO3" s="424"/>
      <c r="AP3" s="424" t="str">
        <f t="shared" si="0"/>
        <v>Территория действия тарифа</v>
      </c>
      <c r="AQ3" s="424"/>
      <c r="AR3" s="424"/>
    </row>
    <row r="4" spans="1:44" ht="23.25" hidden="1" customHeight="1">
      <c r="A4" s="1284"/>
      <c r="B4" s="1284"/>
      <c r="C4" s="1284"/>
      <c r="D4" s="1284"/>
      <c r="E4" s="7690"/>
      <c r="F4" s="7690"/>
      <c r="G4" s="7689">
        <v>1</v>
      </c>
      <c r="H4" s="1284"/>
      <c r="I4" s="1284"/>
      <c r="J4" s="1284"/>
      <c r="K4" s="1284"/>
      <c r="L4" s="1285"/>
      <c r="M4" s="1286"/>
      <c r="N4" s="1286"/>
      <c r="O4" s="1286"/>
      <c r="P4" s="275"/>
      <c r="Q4" s="273"/>
      <c r="R4" s="274"/>
      <c r="S4" s="1258" t="e">
        <f>INDEX(PT_DIFFERENTIATION_NUM_CS,MATCH(C4,PT_DIFFERENTIATION_CS_ID,0))</f>
        <v>#N/A</v>
      </c>
      <c r="T4" s="225" t="s">
        <v>575</v>
      </c>
      <c r="U4" s="214"/>
      <c r="V4" s="7675"/>
      <c r="W4" s="7676"/>
      <c r="X4" s="7676"/>
      <c r="Y4" s="7676"/>
      <c r="Z4" s="7676"/>
      <c r="AA4" s="7676"/>
      <c r="AB4" s="7676"/>
      <c r="AC4" s="7677"/>
      <c r="AD4" s="7675" t="e">
        <f>INDEX(PT_DIFFERENTIATION_CS,MATCH(C4,PT_DIFFERENTIATION_CS_ID,0))</f>
        <v>#N/A</v>
      </c>
      <c r="AE4" s="7676"/>
      <c r="AF4" s="7676"/>
      <c r="AG4" s="7676"/>
      <c r="AH4" s="7676"/>
      <c r="AI4" s="7676"/>
      <c r="AJ4" s="7676"/>
      <c r="AK4" s="7676"/>
      <c r="AL4" s="7677"/>
      <c r="AM4" s="1182" t="s">
        <v>576</v>
      </c>
      <c r="AO4" s="424"/>
      <c r="AP4" s="424" t="str">
        <f t="shared" si="0"/>
        <v xml:space="preserve">Наименование системы теплоснабжения </v>
      </c>
      <c r="AQ4" s="424"/>
      <c r="AR4" s="424"/>
    </row>
    <row r="5" spans="1:44" ht="21" hidden="1" customHeight="1">
      <c r="A5" s="1284"/>
      <c r="B5" s="1284"/>
      <c r="C5" s="1284"/>
      <c r="D5" s="1284"/>
      <c r="E5" s="7690"/>
      <c r="F5" s="7690"/>
      <c r="G5" s="7690"/>
      <c r="H5" s="7689">
        <v>1</v>
      </c>
      <c r="I5" s="1284"/>
      <c r="J5" s="1284"/>
      <c r="K5" s="1284"/>
      <c r="L5" s="1285"/>
      <c r="M5" s="1286"/>
      <c r="N5" s="1286"/>
      <c r="O5" s="1286"/>
      <c r="P5" s="275"/>
      <c r="Q5" s="273"/>
      <c r="R5" s="274"/>
      <c r="S5" s="1258" t="e">
        <f>INDEX(PT_DIFFERENTIATION_NUM_IST_TE,MATCH(D5,PT_DIFFERENTIATION_IST_TE_ID,0))</f>
        <v>#N/A</v>
      </c>
      <c r="T5" s="226" t="s">
        <v>577</v>
      </c>
      <c r="U5" s="214"/>
      <c r="V5" s="7675"/>
      <c r="W5" s="7676"/>
      <c r="X5" s="7676"/>
      <c r="Y5" s="7676"/>
      <c r="Z5" s="7676"/>
      <c r="AA5" s="7676"/>
      <c r="AB5" s="7676"/>
      <c r="AC5" s="7677"/>
      <c r="AD5" s="7675" t="e">
        <f>INDEX(PT_DIFFERENTIATION_IST_TE,MATCH(D5,PT_DIFFERENTIATION_IST_TE_ID,0))</f>
        <v>#N/A</v>
      </c>
      <c r="AE5" s="7676"/>
      <c r="AF5" s="7676"/>
      <c r="AG5" s="7676"/>
      <c r="AH5" s="7676"/>
      <c r="AI5" s="7676"/>
      <c r="AJ5" s="7676"/>
      <c r="AK5" s="7676"/>
      <c r="AL5" s="7677"/>
      <c r="AM5" s="1182" t="s">
        <v>578</v>
      </c>
      <c r="AO5" s="424"/>
      <c r="AP5" s="424" t="str">
        <f t="shared" si="0"/>
        <v xml:space="preserve">Источник тепловой энергии  </v>
      </c>
      <c r="AQ5" s="424"/>
      <c r="AR5" s="424"/>
    </row>
    <row r="6" spans="1:44" ht="14.25" hidden="1" customHeight="1">
      <c r="A6" s="1284"/>
      <c r="B6" s="1284"/>
      <c r="C6" s="1284"/>
      <c r="D6" s="1284"/>
      <c r="E6" s="7690"/>
      <c r="F6" s="7690"/>
      <c r="G6" s="7690"/>
      <c r="H6" s="7690"/>
      <c r="I6" s="7687" t="e">
        <f>S5&amp;".1"</f>
        <v>#N/A</v>
      </c>
      <c r="J6" s="1284"/>
      <c r="K6" s="1284"/>
      <c r="L6" s="1285" t="s">
        <v>579</v>
      </c>
      <c r="M6" s="460"/>
      <c r="P6" s="7688">
        <v>1</v>
      </c>
      <c r="Q6" s="1253"/>
      <c r="R6" s="277"/>
      <c r="S6" s="953"/>
      <c r="T6" s="1304"/>
      <c r="U6" s="1305"/>
      <c r="V6" s="7716"/>
      <c r="W6" s="7717"/>
      <c r="X6" s="7717"/>
      <c r="Y6" s="7717"/>
      <c r="Z6" s="7717"/>
      <c r="AA6" s="7717"/>
      <c r="AB6" s="7717"/>
      <c r="AC6" s="7718"/>
      <c r="AD6" s="7716"/>
      <c r="AE6" s="7717"/>
      <c r="AF6" s="7717"/>
      <c r="AG6" s="7717"/>
      <c r="AH6" s="7717"/>
      <c r="AI6" s="7717"/>
      <c r="AJ6" s="7717"/>
      <c r="AK6" s="7717"/>
      <c r="AL6" s="7718"/>
      <c r="AM6" s="1306"/>
      <c r="AO6" s="424"/>
      <c r="AP6" s="424" t="str">
        <f t="shared" si="0"/>
        <v/>
      </c>
      <c r="AQ6" s="424"/>
      <c r="AR6" s="424"/>
    </row>
    <row r="7" spans="1:44" ht="21" hidden="1" customHeight="1">
      <c r="A7" s="1284"/>
      <c r="B7" s="1284"/>
      <c r="C7" s="1284"/>
      <c r="D7" s="1284"/>
      <c r="E7" s="7690"/>
      <c r="F7" s="7690"/>
      <c r="G7" s="7690"/>
      <c r="H7" s="7690"/>
      <c r="I7" s="7710"/>
      <c r="J7" s="7687" t="e">
        <f>I6&amp;".1"</f>
        <v>#N/A</v>
      </c>
      <c r="K7" s="1284"/>
      <c r="L7" s="1285" t="s">
        <v>582</v>
      </c>
      <c r="M7" s="460"/>
      <c r="N7" s="1287"/>
      <c r="P7" s="7688"/>
      <c r="Q7" s="7688">
        <v>1</v>
      </c>
      <c r="R7" s="278"/>
      <c r="S7" s="1258" t="e">
        <f>$J7</f>
        <v>#N/A</v>
      </c>
      <c r="T7" s="201" t="s">
        <v>583</v>
      </c>
      <c r="U7" s="214"/>
      <c r="V7" s="7678"/>
      <c r="W7" s="7679"/>
      <c r="X7" s="7679"/>
      <c r="Y7" s="7679"/>
      <c r="Z7" s="7679"/>
      <c r="AA7" s="7679"/>
      <c r="AB7" s="7679"/>
      <c r="AC7" s="7680"/>
      <c r="AD7" s="7678"/>
      <c r="AE7" s="7679"/>
      <c r="AF7" s="7679"/>
      <c r="AG7" s="7679"/>
      <c r="AH7" s="7679"/>
      <c r="AI7" s="7679"/>
      <c r="AJ7" s="7679"/>
      <c r="AK7" s="7679"/>
      <c r="AL7" s="7680"/>
      <c r="AM7" s="1182" t="s">
        <v>584</v>
      </c>
      <c r="AO7" s="424"/>
      <c r="AP7" s="424" t="str">
        <f t="shared" si="0"/>
        <v>Группа потребителей</v>
      </c>
      <c r="AQ7" s="424"/>
      <c r="AR7" s="424"/>
    </row>
    <row r="8" spans="1:44" ht="21" hidden="1" customHeight="1">
      <c r="A8" s="1284"/>
      <c r="B8" s="1284"/>
      <c r="C8" s="1284"/>
      <c r="D8" s="1284"/>
      <c r="E8" s="7690"/>
      <c r="F8" s="7690"/>
      <c r="G8" s="7690"/>
      <c r="H8" s="7690"/>
      <c r="I8" s="7710"/>
      <c r="J8" s="7710"/>
      <c r="K8" s="7687" t="e">
        <f>J7&amp;".1"</f>
        <v>#N/A</v>
      </c>
      <c r="L8" s="1285" t="s">
        <v>585</v>
      </c>
      <c r="M8" s="460"/>
      <c r="N8" s="1287"/>
      <c r="O8" s="1287"/>
      <c r="P8" s="7688"/>
      <c r="Q8" s="7688"/>
      <c r="R8" s="278">
        <v>1</v>
      </c>
      <c r="S8" s="1258" t="e">
        <f>$K8</f>
        <v>#N/A</v>
      </c>
      <c r="T8" s="1269"/>
      <c r="U8" s="214"/>
      <c r="V8" s="666"/>
      <c r="W8" s="246"/>
      <c r="X8" s="666"/>
      <c r="Y8" s="1181"/>
      <c r="Z8" s="7692"/>
      <c r="AA8" s="7540" t="s">
        <v>60</v>
      </c>
      <c r="AB8" s="7692"/>
      <c r="AC8" s="7540" t="s">
        <v>60</v>
      </c>
      <c r="AD8" s="666"/>
      <c r="AE8" s="246"/>
      <c r="AF8" s="666"/>
      <c r="AG8" s="1181"/>
      <c r="AH8" s="7692"/>
      <c r="AI8" s="7540" t="s">
        <v>60</v>
      </c>
      <c r="AJ8" s="7692"/>
      <c r="AK8" s="7540" t="s">
        <v>60</v>
      </c>
      <c r="AL8" s="246"/>
      <c r="AM8" s="7684" t="s">
        <v>586</v>
      </c>
      <c r="AN8" s="435" t="e">
        <f ca="1">STRCHECKDATE(V9:AL9)</f>
        <v>#NAME?</v>
      </c>
      <c r="AO8" s="424"/>
      <c r="AP8" s="424" t="str">
        <f t="shared" si="0"/>
        <v/>
      </c>
      <c r="AQ8" s="424"/>
      <c r="AR8" s="424"/>
    </row>
    <row r="9" spans="1:44" ht="14.25" hidden="1" customHeight="1">
      <c r="A9" s="1284"/>
      <c r="B9" s="1284"/>
      <c r="C9" s="1284"/>
      <c r="D9" s="1284"/>
      <c r="E9" s="7690"/>
      <c r="F9" s="7690"/>
      <c r="G9" s="7690"/>
      <c r="H9" s="7690"/>
      <c r="I9" s="7710"/>
      <c r="J9" s="7710"/>
      <c r="K9" s="7687"/>
      <c r="L9" s="1285"/>
      <c r="M9" s="460"/>
      <c r="N9" s="1287"/>
      <c r="O9" s="1287"/>
      <c r="P9" s="7688"/>
      <c r="Q9" s="7688"/>
      <c r="R9" s="278"/>
      <c r="S9" s="1264"/>
      <c r="T9" s="214"/>
      <c r="U9" s="214"/>
      <c r="V9" s="246"/>
      <c r="W9" s="246"/>
      <c r="X9" s="246"/>
      <c r="Y9" s="250" t="str">
        <f>Z8&amp;"-"&amp;AB8</f>
        <v>-</v>
      </c>
      <c r="Z9" s="7693"/>
      <c r="AA9" s="7540"/>
      <c r="AB9" s="7693"/>
      <c r="AC9" s="7540"/>
      <c r="AD9" s="246"/>
      <c r="AE9" s="246"/>
      <c r="AF9" s="246"/>
      <c r="AG9" s="250" t="str">
        <f>AH8&amp;"-"&amp;AJ8</f>
        <v>-</v>
      </c>
      <c r="AH9" s="7693"/>
      <c r="AI9" s="7540"/>
      <c r="AJ9" s="7693"/>
      <c r="AK9" s="7540"/>
      <c r="AL9" s="246"/>
      <c r="AM9" s="7685"/>
      <c r="AO9" s="424"/>
      <c r="AP9" s="424" t="str">
        <f t="shared" si="0"/>
        <v/>
      </c>
      <c r="AQ9" s="424"/>
      <c r="AR9" s="424"/>
    </row>
    <row r="10" spans="1:44" ht="15" hidden="1" customHeight="1">
      <c r="A10" s="1284"/>
      <c r="B10" s="1284"/>
      <c r="C10" s="1284"/>
      <c r="D10" s="1284"/>
      <c r="E10" s="7690"/>
      <c r="F10" s="7690"/>
      <c r="G10" s="7690"/>
      <c r="H10" s="7690"/>
      <c r="I10" s="7710"/>
      <c r="J10" s="7687"/>
      <c r="K10" s="1284"/>
      <c r="L10" s="1285"/>
      <c r="M10" s="460"/>
      <c r="N10" s="1287"/>
      <c r="P10" s="7688"/>
      <c r="Q10" s="7688"/>
      <c r="R10" s="277"/>
      <c r="S10" s="1203"/>
      <c r="T10" s="202" t="s">
        <v>587</v>
      </c>
      <c r="U10" s="291"/>
      <c r="V10" s="291"/>
      <c r="W10" s="291"/>
      <c r="X10" s="291"/>
      <c r="Y10" s="291"/>
      <c r="Z10" s="291"/>
      <c r="AA10" s="291"/>
      <c r="AB10" s="291"/>
      <c r="AC10" s="291"/>
      <c r="AD10" s="291"/>
      <c r="AE10" s="291"/>
      <c r="AF10" s="291"/>
      <c r="AG10" s="291"/>
      <c r="AH10" s="291"/>
      <c r="AI10" s="291"/>
      <c r="AJ10" s="291"/>
      <c r="AK10" s="291"/>
      <c r="AL10" s="245"/>
      <c r="AM10" s="7686"/>
      <c r="AO10" s="424"/>
      <c r="AP10" s="424" t="str">
        <f t="shared" si="0"/>
        <v>Добавить вид теплоносителя (параметры теплоносителя)</v>
      </c>
      <c r="AQ10" s="424"/>
      <c r="AR10" s="424"/>
    </row>
    <row r="11" spans="1:44" ht="11.25" hidden="1" customHeight="1">
      <c r="A11" s="1284"/>
      <c r="B11" s="1284"/>
      <c r="C11" s="1284"/>
      <c r="D11" s="1284"/>
      <c r="E11" s="7690"/>
      <c r="F11" s="7690"/>
      <c r="G11" s="7690"/>
      <c r="H11" s="7690"/>
      <c r="I11" s="7687"/>
      <c r="J11" s="1284"/>
      <c r="K11" s="1284"/>
      <c r="L11" s="1285"/>
      <c r="M11" s="460"/>
      <c r="P11" s="7688"/>
      <c r="Q11" s="1253"/>
      <c r="R11" s="277"/>
      <c r="S11" s="1203"/>
      <c r="T11" s="288" t="s">
        <v>588</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7690"/>
      <c r="F12" s="7690"/>
      <c r="G12" s="7690"/>
      <c r="H12" s="7689"/>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14.25" hidden="1" customHeight="1">
      <c r="A13" s="1237"/>
      <c r="B13" s="1237"/>
      <c r="C13" s="1237"/>
      <c r="D13" s="1237"/>
      <c r="E13" s="7690"/>
      <c r="F13" s="7690"/>
      <c r="G13" s="7689"/>
      <c r="H13" s="1237"/>
      <c r="I13" s="1237"/>
      <c r="J13" s="1237"/>
      <c r="K13" s="1237"/>
      <c r="L13" s="1261"/>
      <c r="M13" s="1238"/>
      <c r="N13" s="1238"/>
      <c r="P13" s="1239"/>
      <c r="Q13" s="1240"/>
      <c r="R13" s="1239"/>
      <c r="S13" s="1241"/>
      <c r="T13" s="1242" t="s">
        <v>590</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14.25" hidden="1" customHeight="1">
      <c r="A14" s="1237"/>
      <c r="B14" s="1237"/>
      <c r="C14" s="1237"/>
      <c r="D14" s="1237"/>
      <c r="E14" s="7690"/>
      <c r="F14" s="7689"/>
      <c r="G14" s="1237"/>
      <c r="H14" s="1237"/>
      <c r="I14" s="1237"/>
      <c r="J14" s="1237"/>
      <c r="K14" s="1237"/>
      <c r="L14" s="1261"/>
      <c r="M14" s="1244"/>
      <c r="N14" s="1244"/>
      <c r="P14" s="1239"/>
      <c r="Q14" s="1240"/>
      <c r="R14" s="1239"/>
      <c r="S14" s="1245"/>
      <c r="T14" s="1246" t="s">
        <v>325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14.25" hidden="1" customHeight="1">
      <c r="A15" s="1237"/>
      <c r="B15" s="1237"/>
      <c r="C15" s="1237"/>
      <c r="D15" s="1237"/>
      <c r="E15" s="7689"/>
      <c r="F15" s="1237"/>
      <c r="G15" s="1237"/>
      <c r="H15" s="1237"/>
      <c r="I15" s="1237"/>
      <c r="J15" s="1237"/>
      <c r="K15" s="1237"/>
      <c r="L15" s="1261"/>
      <c r="M15" s="1244"/>
      <c r="N15" s="1244"/>
      <c r="P15" s="1239"/>
      <c r="Q15" s="1240"/>
      <c r="R15" s="1239"/>
      <c r="S15" s="1245"/>
      <c r="T15" s="1248" t="s">
        <v>326</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7694"/>
      <c r="AI17" s="7695" t="s">
        <v>60</v>
      </c>
      <c r="AJ17" s="7694"/>
      <c r="AK17" s="7695" t="s">
        <v>60</v>
      </c>
    </row>
    <row r="18" spans="1:44" ht="14.25" hidden="1" customHeight="1">
      <c r="AD18" s="1281"/>
      <c r="AE18" s="1281"/>
      <c r="AF18" s="1281"/>
      <c r="AG18" s="250" t="str">
        <f>AH17&amp;"-"&amp;AJ17</f>
        <v>-</v>
      </c>
      <c r="AH18" s="7695"/>
      <c r="AI18" s="7695"/>
      <c r="AJ18" s="7695"/>
      <c r="AK18" s="7695"/>
    </row>
    <row r="19" spans="1:44" ht="14.25" hidden="1" customHeight="1">
      <c r="AK19" s="249"/>
    </row>
    <row r="20" spans="1:44" s="1287" customFormat="1" ht="22.5" hidden="1" customHeight="1">
      <c r="L20" s="1251"/>
      <c r="M20" s="1283"/>
      <c r="N20" s="1283"/>
      <c r="O20" s="1288" t="s">
        <v>591</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592</v>
      </c>
      <c r="P22" s="1283"/>
      <c r="Q22" s="1292"/>
      <c r="R22" s="1292"/>
      <c r="S22" s="646"/>
      <c r="T22" s="1065" t="s">
        <v>593</v>
      </c>
      <c r="AA22" s="104" t="s">
        <v>594</v>
      </c>
      <c r="AC22" s="104" t="s">
        <v>595</v>
      </c>
      <c r="AD22" s="1065" t="s">
        <v>593</v>
      </c>
      <c r="AI22" s="104" t="s">
        <v>596</v>
      </c>
      <c r="AK22" s="104" t="s">
        <v>595</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 customHeight="1">
      <c r="Q26" s="300"/>
      <c r="R26" s="300"/>
      <c r="S26" s="767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7673"/>
      <c r="U26" s="7673"/>
      <c r="V26" s="7673"/>
      <c r="W26" s="7673"/>
      <c r="X26" s="7673"/>
      <c r="Y26" s="7673"/>
      <c r="Z26" s="7673"/>
      <c r="AA26" s="7673"/>
      <c r="AB26" s="7673"/>
      <c r="AC26" s="7673"/>
      <c r="AD26" s="7673"/>
      <c r="AE26" s="7673"/>
      <c r="AF26" s="7673"/>
      <c r="AG26" s="7673"/>
      <c r="AH26" s="7673"/>
      <c r="AI26" s="7673"/>
      <c r="AJ26" s="7673"/>
      <c r="AK26" s="1157"/>
    </row>
    <row r="27" spans="1:44" ht="14.25" customHeight="1">
      <c r="Q27" s="300"/>
      <c r="R27" s="300"/>
      <c r="S27" s="7620" t="str">
        <f>IF(org=0,"Не определено",org)</f>
        <v>ГУП СК "Ставрополькрайводоканал"</v>
      </c>
      <c r="T27" s="7620"/>
      <c r="U27" s="7620"/>
      <c r="V27" s="7620"/>
      <c r="W27" s="7620"/>
      <c r="X27" s="7620"/>
      <c r="Y27" s="7620"/>
      <c r="Z27" s="7620"/>
      <c r="AA27" s="7620"/>
      <c r="AB27" s="7620"/>
      <c r="AC27" s="7620"/>
      <c r="AD27" s="7620"/>
      <c r="AE27" s="7620"/>
      <c r="AF27" s="7620"/>
      <c r="AG27" s="7620"/>
      <c r="AH27" s="7620"/>
      <c r="AI27" s="7620"/>
      <c r="AJ27" s="7620"/>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7681" t="s">
        <v>38</v>
      </c>
      <c r="T29" s="7681"/>
      <c r="U29" s="1293"/>
      <c r="V29" s="7682" t="str">
        <f>IF(TITLE_NAME_OR_PR_CHANGE="",IF(TITLE_NAME_OR_PR="","",TITLE_NAME_OR_PR),TITLE_NAME_OR_PR_CHANGE)</f>
        <v>Региональная тарифная комиссия Ставропольского края</v>
      </c>
      <c r="W29" s="7682"/>
      <c r="X29" s="7682"/>
      <c r="Y29" s="7682"/>
      <c r="Z29" s="7682"/>
      <c r="AA29" s="7682"/>
      <c r="AB29" s="7682"/>
      <c r="AC29" s="248"/>
      <c r="AD29" s="7682" t="str">
        <f>IF(TITLE_NAME_OR_PR_CHANGE="",IF(TITLE_NAME_OR_PR="","",TITLE_NAME_OR_PR),TITLE_NAME_OR_PR_CHANGE)</f>
        <v>Региональная тарифная комиссия Ставропольского края</v>
      </c>
      <c r="AE29" s="7682"/>
      <c r="AF29" s="7682"/>
      <c r="AG29" s="7682"/>
      <c r="AH29" s="7682"/>
      <c r="AI29" s="7682"/>
      <c r="AJ29" s="7682"/>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7681" t="s">
        <v>597</v>
      </c>
      <c r="T30" s="7681"/>
      <c r="U30" s="1293"/>
      <c r="V30" s="7691">
        <f>IF(TITLE_DATE_PR_CHANGE="",IF(TITLE_DATE_PR="","",TITLE_DATE_PR),TITLE_DATE_PR_CHANGE)</f>
        <v>45278</v>
      </c>
      <c r="W30" s="7691"/>
      <c r="X30" s="7691"/>
      <c r="Y30" s="7691"/>
      <c r="Z30" s="7691"/>
      <c r="AA30" s="7691"/>
      <c r="AB30" s="7691"/>
      <c r="AC30" s="248"/>
      <c r="AD30" s="7691">
        <f>IF(TITLE_DATE_PR_CHANGE="",IF(TITLE_DATE_PR="","",TITLE_DATE_PR),TITLE_DATE_PR_CHANGE)</f>
        <v>45278</v>
      </c>
      <c r="AE30" s="7691"/>
      <c r="AF30" s="7691"/>
      <c r="AG30" s="7691"/>
      <c r="AH30" s="7691"/>
      <c r="AI30" s="7691"/>
      <c r="AJ30" s="7691"/>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7681" t="s">
        <v>598</v>
      </c>
      <c r="T31" s="7681"/>
      <c r="U31" s="1293"/>
      <c r="V31" s="7682" t="str">
        <f>IF(TITLE_NUMBER_PR_CHANGE="",IF(TITLE_NUMBER_PR="","",TITLE_NUMBER_PR),TITLE_NUMBER_PR_CHANGE)</f>
        <v>79/2</v>
      </c>
      <c r="W31" s="7682"/>
      <c r="X31" s="7682"/>
      <c r="Y31" s="7682"/>
      <c r="Z31" s="7682"/>
      <c r="AA31" s="7682"/>
      <c r="AB31" s="7682"/>
      <c r="AC31" s="248"/>
      <c r="AD31" s="7682" t="str">
        <f>IF(TITLE_NUMBER_PR_CHANGE="",IF(TITLE_NUMBER_PR="","",TITLE_NUMBER_PR),TITLE_NUMBER_PR_CHANGE)</f>
        <v>79/2</v>
      </c>
      <c r="AE31" s="7682"/>
      <c r="AF31" s="7682"/>
      <c r="AG31" s="7682"/>
      <c r="AH31" s="7682"/>
      <c r="AI31" s="7682"/>
      <c r="AJ31" s="7682"/>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7681" t="s">
        <v>40</v>
      </c>
      <c r="T32" s="7681"/>
      <c r="U32" s="1293"/>
      <c r="V32" s="7682" t="str">
        <f>IF(TITLE_IST_PUB_CHANGE="",IF(TITLE_IST_PUB="","",TITLE_IST_PUB),TITLE_IST_PUB_CHANGE)</f>
        <v>http://pravo.stavregion.ru/</v>
      </c>
      <c r="W32" s="7682"/>
      <c r="X32" s="7682"/>
      <c r="Y32" s="7682"/>
      <c r="Z32" s="7682"/>
      <c r="AA32" s="7682"/>
      <c r="AB32" s="7682"/>
      <c r="AC32" s="248"/>
      <c r="AD32" s="7682" t="str">
        <f>IF(TITLE_IST_PUB_CHANGE="",IF(TITLE_IST_PUB="","",TITLE_IST_PUB),TITLE_IST_PUB_CHANGE)</f>
        <v>http://pravo.stavregion.ru/</v>
      </c>
      <c r="AE32" s="7682"/>
      <c r="AF32" s="7682"/>
      <c r="AG32" s="7682"/>
      <c r="AH32" s="7682"/>
      <c r="AI32" s="7682"/>
      <c r="AJ32" s="7682"/>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7681" t="s">
        <v>599</v>
      </c>
      <c r="T34" s="7681"/>
      <c r="U34" s="1293"/>
      <c r="V34" s="7691">
        <f>IF(TITLE_DATE_PR_CHANGE="",IF(TITLE_DATE_PR="","",TITLE_DATE_PR),TITLE_DATE_PR_CHANGE)</f>
        <v>45278</v>
      </c>
      <c r="W34" s="7691"/>
      <c r="X34" s="7691"/>
      <c r="Y34" s="7691"/>
      <c r="Z34" s="7691"/>
      <c r="AA34" s="7691"/>
      <c r="AB34" s="7691"/>
      <c r="AC34" s="248"/>
      <c r="AD34" s="7691">
        <f>IF(TITLE_DATE_PR_CHANGE="",IF(TITLE_DATE_PR="","",TITLE_DATE_PR),TITLE_DATE_PR_CHANGE)</f>
        <v>45278</v>
      </c>
      <c r="AE34" s="7691"/>
      <c r="AF34" s="7691"/>
      <c r="AG34" s="7691"/>
      <c r="AH34" s="7691"/>
      <c r="AI34" s="7691"/>
      <c r="AJ34" s="7691"/>
      <c r="AK34" s="248"/>
      <c r="AL34" s="248"/>
      <c r="AM34" s="196"/>
      <c r="AN34" s="292"/>
      <c r="AO34" s="292"/>
      <c r="AP34" s="292"/>
      <c r="AQ34" s="292"/>
      <c r="AR34" s="292"/>
    </row>
    <row r="35" spans="1:44" s="1771" customFormat="1" ht="25.5" hidden="1" customHeight="1">
      <c r="A35" s="1289"/>
      <c r="B35" s="1289"/>
      <c r="C35" s="1289"/>
      <c r="D35" s="1289"/>
      <c r="E35" s="1289"/>
      <c r="F35" s="1289"/>
      <c r="G35" s="1289"/>
      <c r="H35" s="1289"/>
      <c r="I35" s="1289"/>
      <c r="J35" s="1289"/>
      <c r="K35" s="1289"/>
      <c r="L35" s="1290"/>
      <c r="M35" s="1289"/>
      <c r="N35" s="1289"/>
      <c r="O35" s="1289"/>
      <c r="S35" s="7681" t="s">
        <v>600</v>
      </c>
      <c r="T35" s="7681"/>
      <c r="U35" s="1293"/>
      <c r="V35" s="7682" t="str">
        <f>IF(TITLE_NUMBER_PR_CHANGE="",IF(TITLE_NUMBER_PR="","",TITLE_NUMBER_PR),TITLE_NUMBER_PR_CHANGE)</f>
        <v>79/2</v>
      </c>
      <c r="W35" s="7682"/>
      <c r="X35" s="7682"/>
      <c r="Y35" s="7682"/>
      <c r="Z35" s="7682"/>
      <c r="AA35" s="7682"/>
      <c r="AB35" s="7682"/>
      <c r="AC35" s="248"/>
      <c r="AD35" s="7682" t="str">
        <f>IF(TITLE_NUMBER_PR_CHANGE="",IF(TITLE_NUMBER_PR="","",TITLE_NUMBER_PR),TITLE_NUMBER_PR_CHANGE)</f>
        <v>79/2</v>
      </c>
      <c r="AE35" s="7682"/>
      <c r="AF35" s="7682"/>
      <c r="AG35" s="7682"/>
      <c r="AH35" s="7682"/>
      <c r="AI35" s="7682"/>
      <c r="AJ35" s="7682"/>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601</v>
      </c>
      <c r="AD36" s="248"/>
      <c r="AE36" s="248"/>
      <c r="AF36" s="248"/>
      <c r="AG36" s="248"/>
      <c r="AH36" s="248"/>
      <c r="AI36" s="248"/>
      <c r="AJ36" s="248"/>
      <c r="AK36" s="194" t="s">
        <v>601</v>
      </c>
      <c r="AN36" s="292"/>
      <c r="AO36" s="292"/>
      <c r="AP36" s="292"/>
      <c r="AQ36" s="292"/>
      <c r="AR36" s="292"/>
    </row>
    <row r="37" spans="1:44" ht="14.25" customHeight="1">
      <c r="Q37" s="300"/>
      <c r="R37" s="300"/>
      <c r="S37" s="1200"/>
      <c r="T37" s="286"/>
      <c r="U37" s="1158"/>
      <c r="V37" s="7683"/>
      <c r="W37" s="7683"/>
      <c r="X37" s="7683"/>
      <c r="Y37" s="7683"/>
      <c r="Z37" s="7683"/>
      <c r="AA37" s="7683"/>
      <c r="AB37" s="7683"/>
      <c r="AC37" s="7683"/>
      <c r="AD37" s="7683"/>
      <c r="AE37" s="7683"/>
      <c r="AF37" s="7683"/>
      <c r="AG37" s="7683"/>
      <c r="AH37" s="7683"/>
      <c r="AI37" s="7683"/>
      <c r="AJ37" s="7683"/>
      <c r="AK37" s="7683"/>
    </row>
    <row r="38" spans="1:44" ht="14.25" customHeight="1">
      <c r="Q38" s="300"/>
      <c r="R38" s="300"/>
      <c r="S38" s="7559" t="s">
        <v>474</v>
      </c>
      <c r="T38" s="7559"/>
      <c r="U38" s="7559"/>
      <c r="V38" s="7559"/>
      <c r="W38" s="7559"/>
      <c r="X38" s="7559"/>
      <c r="Y38" s="7559"/>
      <c r="Z38" s="7559"/>
      <c r="AA38" s="7559"/>
      <c r="AB38" s="7559"/>
      <c r="AC38" s="7559"/>
      <c r="AD38" s="7559"/>
      <c r="AE38" s="7559"/>
      <c r="AF38" s="7559"/>
      <c r="AG38" s="7559"/>
      <c r="AH38" s="7559"/>
      <c r="AI38" s="7559"/>
      <c r="AJ38" s="7559"/>
      <c r="AK38" s="7559"/>
      <c r="AL38" s="7559"/>
      <c r="AM38" s="7559" t="s">
        <v>475</v>
      </c>
    </row>
    <row r="39" spans="1:44" ht="14.25" customHeight="1">
      <c r="Q39" s="300"/>
      <c r="R39" s="300"/>
      <c r="S39" s="7697" t="s">
        <v>86</v>
      </c>
      <c r="T39" s="7649" t="s">
        <v>602</v>
      </c>
      <c r="U39" s="215"/>
      <c r="V39" s="7698" t="s">
        <v>603</v>
      </c>
      <c r="W39" s="7699"/>
      <c r="X39" s="7699"/>
      <c r="Y39" s="7699"/>
      <c r="Z39" s="7699"/>
      <c r="AA39" s="7699"/>
      <c r="AB39" s="7700"/>
      <c r="AC39" s="7701" t="s">
        <v>604</v>
      </c>
      <c r="AD39" s="7698" t="s">
        <v>603</v>
      </c>
      <c r="AE39" s="7699"/>
      <c r="AF39" s="7699"/>
      <c r="AG39" s="7699"/>
      <c r="AH39" s="7699"/>
      <c r="AI39" s="7699"/>
      <c r="AJ39" s="7700"/>
      <c r="AK39" s="7701" t="s">
        <v>605</v>
      </c>
      <c r="AL39" s="7704" t="s">
        <v>606</v>
      </c>
      <c r="AM39" s="7559"/>
    </row>
    <row r="40" spans="1:44" ht="33.75" customHeight="1">
      <c r="Q40" s="300"/>
      <c r="R40" s="300"/>
      <c r="S40" s="7697"/>
      <c r="T40" s="7649"/>
      <c r="U40" s="942"/>
      <c r="V40" s="7619" t="s">
        <v>607</v>
      </c>
      <c r="W40" s="7707"/>
      <c r="X40" s="7530" t="s">
        <v>609</v>
      </c>
      <c r="Y40" s="7529"/>
      <c r="Z40" s="7530" t="s">
        <v>610</v>
      </c>
      <c r="AA40" s="7536"/>
      <c r="AB40" s="7529"/>
      <c r="AC40" s="7702"/>
      <c r="AD40" s="7619" t="s">
        <v>607</v>
      </c>
      <c r="AE40" s="7707"/>
      <c r="AF40" s="7530" t="s">
        <v>609</v>
      </c>
      <c r="AG40" s="7529"/>
      <c r="AH40" s="7530" t="s">
        <v>610</v>
      </c>
      <c r="AI40" s="7536"/>
      <c r="AJ40" s="7529"/>
      <c r="AK40" s="7702"/>
      <c r="AL40" s="7705"/>
      <c r="AM40" s="7559"/>
    </row>
    <row r="41" spans="1:44" ht="33.75" customHeight="1">
      <c r="A41" s="1291"/>
      <c r="B41" s="1291" t="s">
        <v>249</v>
      </c>
      <c r="C41" s="1291" t="s">
        <v>250</v>
      </c>
      <c r="D41" s="1291" t="s">
        <v>251</v>
      </c>
      <c r="E41" s="1285" t="s">
        <v>611</v>
      </c>
      <c r="F41" s="1285" t="s">
        <v>612</v>
      </c>
      <c r="G41" s="1285" t="s">
        <v>613</v>
      </c>
      <c r="H41" s="1285" t="s">
        <v>614</v>
      </c>
      <c r="I41" s="1285" t="s">
        <v>615</v>
      </c>
      <c r="J41" s="1285" t="s">
        <v>616</v>
      </c>
      <c r="K41" s="1285" t="s">
        <v>617</v>
      </c>
      <c r="L41" s="1285" t="s">
        <v>592</v>
      </c>
      <c r="Q41" s="300"/>
      <c r="R41" s="300"/>
      <c r="S41" s="7697"/>
      <c r="T41" s="7649"/>
      <c r="U41" s="216"/>
      <c r="V41" s="7668"/>
      <c r="W41" s="7708"/>
      <c r="X41" s="1133" t="s">
        <v>618</v>
      </c>
      <c r="Y41" s="1133" t="s">
        <v>619</v>
      </c>
      <c r="Z41" s="1260" t="s">
        <v>620</v>
      </c>
      <c r="AA41" s="7657" t="s">
        <v>621</v>
      </c>
      <c r="AB41" s="7659"/>
      <c r="AC41" s="7703"/>
      <c r="AD41" s="7668"/>
      <c r="AE41" s="7708"/>
      <c r="AF41" s="1133" t="s">
        <v>618</v>
      </c>
      <c r="AG41" s="1133" t="s">
        <v>619</v>
      </c>
      <c r="AH41" s="1260" t="s">
        <v>620</v>
      </c>
      <c r="AI41" s="7657" t="s">
        <v>621</v>
      </c>
      <c r="AJ41" s="7659"/>
      <c r="AK41" s="7703"/>
      <c r="AL41" s="7706"/>
      <c r="AM41" s="7559"/>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100</v>
      </c>
      <c r="U42" s="1159" t="str">
        <f ca="1">OFFSET(U42,0,-1)</f>
        <v>2</v>
      </c>
      <c r="V42" s="1257">
        <f ca="1">OFFSET(V42,0,-1)+1</f>
        <v>3</v>
      </c>
      <c r="W42" s="1257"/>
      <c r="X42" s="1257">
        <f ca="1">OFFSET(X42,0,-1)+1</f>
        <v>1</v>
      </c>
      <c r="Y42" s="1257">
        <f ca="1">OFFSET(Y42,0,-1)+1</f>
        <v>2</v>
      </c>
      <c r="Z42" s="1257">
        <f ca="1">OFFSET(Z42,0,-1)+1</f>
        <v>3</v>
      </c>
      <c r="AA42" s="7696">
        <f ca="1">OFFSET(AA42,0,-1)+1</f>
        <v>4</v>
      </c>
      <c r="AB42" s="7696"/>
      <c r="AC42" s="1257">
        <f ca="1">OFFSET(AC42,0,-2)+1</f>
        <v>5</v>
      </c>
      <c r="AD42" s="1257">
        <f ca="1">OFFSET(AD42,0,-1)+1</f>
        <v>6</v>
      </c>
      <c r="AE42" s="1257"/>
      <c r="AF42" s="1257">
        <f ca="1">OFFSET(AF42,0,-1)+1</f>
        <v>1</v>
      </c>
      <c r="AG42" s="1257">
        <f ca="1">OFFSET(AG42,0,-1)+1</f>
        <v>2</v>
      </c>
      <c r="AH42" s="1257">
        <f ca="1">OFFSET(AH42,0,-1)+1</f>
        <v>3</v>
      </c>
      <c r="AI42" s="7696">
        <f ca="1">OFFSET(AI42,0,-1)+1</f>
        <v>4</v>
      </c>
      <c r="AJ42" s="7696"/>
      <c r="AK42" s="1257">
        <f ca="1">OFFSET(AK42,0,-2)+1</f>
        <v>5</v>
      </c>
      <c r="AL42" s="1159">
        <f ca="1">OFFSET(AL42,0,-1)</f>
        <v>5</v>
      </c>
      <c r="AM42" s="1257">
        <f ca="1">OFFSET(AM42,0,-1)+1</f>
        <v>6</v>
      </c>
      <c r="AN42" s="435"/>
      <c r="AO42" s="435"/>
      <c r="AP42" s="435"/>
      <c r="AQ42" s="435"/>
      <c r="AR42" s="435"/>
    </row>
    <row r="43" spans="1:44" ht="21" customHeight="1">
      <c r="A43" s="1284" t="s">
        <v>294</v>
      </c>
      <c r="B43" s="1284"/>
      <c r="C43" s="1284"/>
      <c r="D43" s="1284"/>
      <c r="E43" s="7689">
        <v>1</v>
      </c>
      <c r="F43" s="1284"/>
      <c r="G43" s="1284"/>
      <c r="H43" s="1284"/>
      <c r="I43" s="1284"/>
      <c r="J43" s="1284"/>
      <c r="K43" s="1284"/>
      <c r="L43" s="1285"/>
      <c r="M43" s="1286"/>
      <c r="N43" s="1286"/>
      <c r="O43" s="1286"/>
      <c r="P43" s="282"/>
      <c r="Q43" s="281"/>
      <c r="R43" s="276"/>
      <c r="S43" s="1258">
        <f>INDEX(PT_DIFFERENTIATION_NUM_NTAR,MATCH(A43,PT_DIFFERENTIATION_NTAR_ID,0))</f>
        <v>0</v>
      </c>
      <c r="T43" s="212" t="s">
        <v>237</v>
      </c>
      <c r="U43" s="214"/>
      <c r="V43" s="7675"/>
      <c r="W43" s="7676"/>
      <c r="X43" s="7676"/>
      <c r="Y43" s="7676"/>
      <c r="Z43" s="7676"/>
      <c r="AA43" s="7676"/>
      <c r="AB43" s="7676"/>
      <c r="AC43" s="7677"/>
      <c r="AD43" s="7675" t="str">
        <f>INDEX(PT_DIFFERENTIATION_NTAR,MATCH(A43,PT_DIFFERENTIATION_NTAR_ID,0))</f>
        <v/>
      </c>
      <c r="AE43" s="7676"/>
      <c r="AF43" s="7676"/>
      <c r="AG43" s="7676"/>
      <c r="AH43" s="7676"/>
      <c r="AI43" s="7676"/>
      <c r="AJ43" s="7676"/>
      <c r="AK43" s="7676"/>
      <c r="AL43" s="7677"/>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294</v>
      </c>
      <c r="B44" s="1284" t="s">
        <v>295</v>
      </c>
      <c r="C44" s="1284"/>
      <c r="D44" s="1284"/>
      <c r="E44" s="7690"/>
      <c r="F44" s="7689">
        <v>1</v>
      </c>
      <c r="G44" s="1284"/>
      <c r="H44" s="1284"/>
      <c r="I44" s="1284"/>
      <c r="J44" s="1284"/>
      <c r="K44" s="1284"/>
      <c r="L44" s="1285"/>
      <c r="M44" s="1286"/>
      <c r="N44" s="1286"/>
      <c r="O44" s="1286"/>
      <c r="P44" s="1254"/>
      <c r="Q44" s="273"/>
      <c r="R44" s="274"/>
      <c r="S44" s="1258" t="str">
        <f>INDEX(PT_DIFFERENTIATION_NUM_TER,MATCH(B44,PT_DIFFERENTIATION_TER_ID,0))</f>
        <v>.</v>
      </c>
      <c r="T44" s="224" t="s">
        <v>573</v>
      </c>
      <c r="U44" s="214"/>
      <c r="V44" s="7675"/>
      <c r="W44" s="7676"/>
      <c r="X44" s="7676"/>
      <c r="Y44" s="7676"/>
      <c r="Z44" s="7676"/>
      <c r="AA44" s="7676"/>
      <c r="AB44" s="7676"/>
      <c r="AC44" s="7677"/>
      <c r="AD44" s="7675" t="str">
        <f>INDEX(PT_DIFFERENTIATION_TER,MATCH(B44,PT_DIFFERENTIATION_TER_ID,0))</f>
        <v/>
      </c>
      <c r="AE44" s="7676"/>
      <c r="AF44" s="7676"/>
      <c r="AG44" s="7676"/>
      <c r="AH44" s="7676"/>
      <c r="AI44" s="7676"/>
      <c r="AJ44" s="7676"/>
      <c r="AK44" s="7676"/>
      <c r="AL44" s="7677"/>
      <c r="AM44" s="1182" t="s">
        <v>574</v>
      </c>
      <c r="AO44" s="424"/>
      <c r="AP44" s="424" t="str">
        <f t="shared" si="1"/>
        <v>Территория действия тарифа</v>
      </c>
      <c r="AQ44" s="424"/>
      <c r="AR44" s="424"/>
    </row>
    <row r="45" spans="1:44" ht="23.25" customHeight="1">
      <c r="A45" s="1284" t="s">
        <v>294</v>
      </c>
      <c r="B45" s="1284" t="s">
        <v>295</v>
      </c>
      <c r="C45" s="1284" t="s">
        <v>296</v>
      </c>
      <c r="D45" s="1284"/>
      <c r="E45" s="7690"/>
      <c r="F45" s="7690"/>
      <c r="G45" s="7689">
        <v>1</v>
      </c>
      <c r="H45" s="1284"/>
      <c r="I45" s="1284"/>
      <c r="J45" s="1284"/>
      <c r="K45" s="1284"/>
      <c r="L45" s="1285"/>
      <c r="M45" s="1286"/>
      <c r="N45" s="1286"/>
      <c r="O45" s="1286"/>
      <c r="P45" s="275"/>
      <c r="Q45" s="273"/>
      <c r="R45" s="274"/>
      <c r="S45" s="1258" t="str">
        <f>INDEX(PT_DIFFERENTIATION_NUM_CS,MATCH(C45,PT_DIFFERENTIATION_CS_ID,0))</f>
        <v>..</v>
      </c>
      <c r="T45" s="225" t="s">
        <v>575</v>
      </c>
      <c r="U45" s="214"/>
      <c r="V45" s="7675"/>
      <c r="W45" s="7676"/>
      <c r="X45" s="7676"/>
      <c r="Y45" s="7676"/>
      <c r="Z45" s="7676"/>
      <c r="AA45" s="7676"/>
      <c r="AB45" s="7676"/>
      <c r="AC45" s="7677"/>
      <c r="AD45" s="7675" t="str">
        <f>INDEX(PT_DIFFERENTIATION_CS,MATCH(C45,PT_DIFFERENTIATION_CS_ID,0))</f>
        <v/>
      </c>
      <c r="AE45" s="7676"/>
      <c r="AF45" s="7676"/>
      <c r="AG45" s="7676"/>
      <c r="AH45" s="7676"/>
      <c r="AI45" s="7676"/>
      <c r="AJ45" s="7676"/>
      <c r="AK45" s="7676"/>
      <c r="AL45" s="7677"/>
      <c r="AM45" s="1182" t="s">
        <v>576</v>
      </c>
      <c r="AO45" s="424"/>
      <c r="AP45" s="424" t="str">
        <f t="shared" si="1"/>
        <v xml:space="preserve">Наименование системы теплоснабжения </v>
      </c>
      <c r="AQ45" s="424"/>
      <c r="AR45" s="424"/>
    </row>
    <row r="46" spans="1:44" ht="21" customHeight="1">
      <c r="A46" s="1284" t="s">
        <v>294</v>
      </c>
      <c r="B46" s="1284" t="s">
        <v>295</v>
      </c>
      <c r="C46" s="1284" t="s">
        <v>296</v>
      </c>
      <c r="D46" s="1284" t="s">
        <v>297</v>
      </c>
      <c r="E46" s="7690"/>
      <c r="F46" s="7690"/>
      <c r="G46" s="7690"/>
      <c r="H46" s="7689">
        <v>1</v>
      </c>
      <c r="I46" s="1284"/>
      <c r="J46" s="1284"/>
      <c r="K46" s="1284"/>
      <c r="L46" s="1285"/>
      <c r="M46" s="1286"/>
      <c r="N46" s="1286"/>
      <c r="O46" s="1286"/>
      <c r="P46" s="275"/>
      <c r="Q46" s="273"/>
      <c r="R46" s="274"/>
      <c r="S46" s="1258" t="str">
        <f>INDEX(PT_DIFFERENTIATION_NUM_IST_TE,MATCH(D46,PT_DIFFERENTIATION_IST_TE_ID,0))</f>
        <v>...</v>
      </c>
      <c r="T46" s="226" t="s">
        <v>577</v>
      </c>
      <c r="U46" s="214"/>
      <c r="V46" s="7675"/>
      <c r="W46" s="7676"/>
      <c r="X46" s="7676"/>
      <c r="Y46" s="7676"/>
      <c r="Z46" s="7676"/>
      <c r="AA46" s="7676"/>
      <c r="AB46" s="7676"/>
      <c r="AC46" s="7677"/>
      <c r="AD46" s="7675" t="str">
        <f>INDEX(PT_DIFFERENTIATION_IST_TE,MATCH(D46,PT_DIFFERENTIATION_IST_TE_ID,0))</f>
        <v/>
      </c>
      <c r="AE46" s="7676"/>
      <c r="AF46" s="7676"/>
      <c r="AG46" s="7676"/>
      <c r="AH46" s="7676"/>
      <c r="AI46" s="7676"/>
      <c r="AJ46" s="7676"/>
      <c r="AK46" s="7676"/>
      <c r="AL46" s="7677"/>
      <c r="AM46" s="1182" t="s">
        <v>578</v>
      </c>
      <c r="AO46" s="424"/>
      <c r="AP46" s="424" t="str">
        <f t="shared" si="1"/>
        <v xml:space="preserve">Источник тепловой энергии  </v>
      </c>
      <c r="AQ46" s="424"/>
      <c r="AR46" s="424"/>
    </row>
    <row r="47" spans="1:44" s="1562" customFormat="1" ht="0" hidden="1" customHeight="1">
      <c r="A47" s="1265" t="s">
        <v>294</v>
      </c>
      <c r="B47" s="1265" t="s">
        <v>295</v>
      </c>
      <c r="C47" s="1265" t="s">
        <v>296</v>
      </c>
      <c r="D47" s="1265" t="s">
        <v>297</v>
      </c>
      <c r="E47" s="7690"/>
      <c r="F47" s="7690"/>
      <c r="G47" s="7690"/>
      <c r="H47" s="7690"/>
      <c r="I47" s="7687" t="str">
        <f>S46&amp;".1"</f>
        <v>....1</v>
      </c>
      <c r="J47" s="1265"/>
      <c r="K47" s="1265"/>
      <c r="L47" s="1268" t="s">
        <v>579</v>
      </c>
      <c r="M47" s="434"/>
      <c r="N47" s="434"/>
      <c r="O47" s="434"/>
      <c r="P47" s="7688">
        <v>1</v>
      </c>
      <c r="Q47" s="1253"/>
      <c r="R47" s="277"/>
      <c r="S47" s="953"/>
      <c r="T47" s="1304"/>
      <c r="U47" s="1305"/>
      <c r="V47" s="7716"/>
      <c r="W47" s="7717"/>
      <c r="X47" s="7717"/>
      <c r="Y47" s="7717"/>
      <c r="Z47" s="7717"/>
      <c r="AA47" s="7717"/>
      <c r="AB47" s="7717"/>
      <c r="AC47" s="7718"/>
      <c r="AD47" s="7716"/>
      <c r="AE47" s="7717"/>
      <c r="AF47" s="7717"/>
      <c r="AG47" s="7717"/>
      <c r="AH47" s="7717"/>
      <c r="AI47" s="7717"/>
      <c r="AJ47" s="7717"/>
      <c r="AK47" s="7717"/>
      <c r="AL47" s="7718"/>
      <c r="AM47" s="1306"/>
      <c r="AO47" s="424"/>
      <c r="AP47" s="424" t="str">
        <f t="shared" si="1"/>
        <v/>
      </c>
      <c r="AQ47" s="424"/>
      <c r="AR47" s="424"/>
    </row>
    <row r="48" spans="1:44" ht="21" customHeight="1">
      <c r="A48" s="1284" t="s">
        <v>294</v>
      </c>
      <c r="B48" s="1284" t="s">
        <v>295</v>
      </c>
      <c r="C48" s="1284" t="s">
        <v>296</v>
      </c>
      <c r="D48" s="1284" t="s">
        <v>297</v>
      </c>
      <c r="E48" s="7690"/>
      <c r="F48" s="7690"/>
      <c r="G48" s="7690"/>
      <c r="H48" s="7690"/>
      <c r="I48" s="7710"/>
      <c r="J48" s="7687" t="str">
        <f>S46&amp;".1"</f>
        <v>....1</v>
      </c>
      <c r="K48" s="1284"/>
      <c r="L48" s="1285" t="s">
        <v>582</v>
      </c>
      <c r="P48" s="7688"/>
      <c r="Q48" s="7688">
        <v>1</v>
      </c>
      <c r="R48" s="278"/>
      <c r="S48" s="1258" t="str">
        <f>$J48</f>
        <v>....1</v>
      </c>
      <c r="T48" s="201" t="s">
        <v>583</v>
      </c>
      <c r="U48" s="214"/>
      <c r="V48" s="7678"/>
      <c r="W48" s="7679"/>
      <c r="X48" s="7679"/>
      <c r="Y48" s="7679"/>
      <c r="Z48" s="7679"/>
      <c r="AA48" s="7679"/>
      <c r="AB48" s="7679"/>
      <c r="AC48" s="7680"/>
      <c r="AD48" s="7678"/>
      <c r="AE48" s="7679"/>
      <c r="AF48" s="7679"/>
      <c r="AG48" s="7679"/>
      <c r="AH48" s="7679"/>
      <c r="AI48" s="7679"/>
      <c r="AJ48" s="7679"/>
      <c r="AK48" s="7679"/>
      <c r="AL48" s="7680"/>
      <c r="AM48" s="1182" t="s">
        <v>584</v>
      </c>
      <c r="AO48" s="424"/>
      <c r="AP48" s="424" t="str">
        <f t="shared" si="1"/>
        <v>Группа потребителей</v>
      </c>
      <c r="AQ48" s="424"/>
      <c r="AR48" s="424"/>
    </row>
    <row r="49" spans="1:44" ht="21" customHeight="1">
      <c r="A49" s="1284" t="s">
        <v>294</v>
      </c>
      <c r="B49" s="1284" t="s">
        <v>295</v>
      </c>
      <c r="C49" s="1284" t="s">
        <v>296</v>
      </c>
      <c r="D49" s="1284" t="s">
        <v>297</v>
      </c>
      <c r="E49" s="7690"/>
      <c r="F49" s="7690"/>
      <c r="G49" s="7690"/>
      <c r="H49" s="7690"/>
      <c r="I49" s="7710"/>
      <c r="J49" s="7710"/>
      <c r="K49" s="7687" t="str">
        <f>J48&amp;".1"</f>
        <v>....1.1</v>
      </c>
      <c r="L49" s="1285" t="s">
        <v>585</v>
      </c>
      <c r="P49" s="7688"/>
      <c r="Q49" s="7688"/>
      <c r="R49" s="278">
        <v>1</v>
      </c>
      <c r="S49" s="1258" t="str">
        <f>$K49</f>
        <v>....1.1</v>
      </c>
      <c r="T49" s="1269"/>
      <c r="U49" s="214"/>
      <c r="V49" s="666"/>
      <c r="W49" s="246"/>
      <c r="X49" s="666"/>
      <c r="Y49" s="1181"/>
      <c r="Z49" s="7692"/>
      <c r="AA49" s="7540" t="s">
        <v>60</v>
      </c>
      <c r="AB49" s="7692"/>
      <c r="AC49" s="7540" t="s">
        <v>60</v>
      </c>
      <c r="AD49" s="666"/>
      <c r="AE49" s="246"/>
      <c r="AF49" s="666"/>
      <c r="AG49" s="1181"/>
      <c r="AH49" s="7692"/>
      <c r="AI49" s="7540" t="s">
        <v>60</v>
      </c>
      <c r="AJ49" s="7711"/>
      <c r="AK49" s="7540" t="s">
        <v>60</v>
      </c>
      <c r="AL49" s="1270"/>
      <c r="AM49" s="7684" t="s">
        <v>623</v>
      </c>
      <c r="AN49" s="435" t="e">
        <f ca="1">STRCHECKDATE(V50:AL50)</f>
        <v>#NAME?</v>
      </c>
      <c r="AO49" s="424"/>
      <c r="AP49" s="424" t="str">
        <f t="shared" si="1"/>
        <v/>
      </c>
      <c r="AQ49" s="424"/>
      <c r="AR49" s="424"/>
    </row>
    <row r="50" spans="1:44" ht="0" hidden="1" customHeight="1">
      <c r="A50" s="1284" t="s">
        <v>294</v>
      </c>
      <c r="B50" s="1284" t="s">
        <v>295</v>
      </c>
      <c r="C50" s="1284" t="s">
        <v>296</v>
      </c>
      <c r="D50" s="1284" t="s">
        <v>297</v>
      </c>
      <c r="E50" s="7690"/>
      <c r="F50" s="7690"/>
      <c r="G50" s="7690"/>
      <c r="H50" s="7690"/>
      <c r="I50" s="7710"/>
      <c r="J50" s="7710"/>
      <c r="K50" s="7687"/>
      <c r="L50" s="1285"/>
      <c r="P50" s="7688"/>
      <c r="Q50" s="7688"/>
      <c r="R50" s="278"/>
      <c r="S50" s="1264"/>
      <c r="T50" s="214"/>
      <c r="U50" s="214"/>
      <c r="V50" s="246"/>
      <c r="W50" s="246"/>
      <c r="X50" s="246"/>
      <c r="Y50" s="250" t="str">
        <f>Z49&amp;"-"&amp;AB49</f>
        <v>-</v>
      </c>
      <c r="Z50" s="7693"/>
      <c r="AA50" s="7540"/>
      <c r="AB50" s="7693"/>
      <c r="AC50" s="7540"/>
      <c r="AD50" s="246"/>
      <c r="AE50" s="246"/>
      <c r="AF50" s="246"/>
      <c r="AG50" s="250" t="str">
        <f>AH49&amp;"-"&amp;AJ49</f>
        <v>-</v>
      </c>
      <c r="AH50" s="7693"/>
      <c r="AI50" s="7540"/>
      <c r="AJ50" s="7712"/>
      <c r="AK50" s="7540"/>
      <c r="AL50" s="1271"/>
      <c r="AM50" s="7685"/>
      <c r="AO50" s="424"/>
      <c r="AP50" s="424" t="str">
        <f t="shared" si="1"/>
        <v/>
      </c>
      <c r="AQ50" s="424"/>
      <c r="AR50" s="424"/>
    </row>
    <row r="51" spans="1:44" ht="11.25" customHeight="1">
      <c r="A51" s="1284" t="s">
        <v>294</v>
      </c>
      <c r="B51" s="1284" t="s">
        <v>295</v>
      </c>
      <c r="C51" s="1284" t="s">
        <v>296</v>
      </c>
      <c r="D51" s="1284" t="s">
        <v>297</v>
      </c>
      <c r="E51" s="7690"/>
      <c r="F51" s="7690"/>
      <c r="G51" s="7690"/>
      <c r="H51" s="7690"/>
      <c r="I51" s="7710"/>
      <c r="J51" s="7687"/>
      <c r="K51" s="1284"/>
      <c r="L51" s="1285"/>
      <c r="P51" s="7688"/>
      <c r="Q51" s="7688"/>
      <c r="R51" s="277"/>
      <c r="S51" s="1203"/>
      <c r="T51" s="202" t="s">
        <v>587</v>
      </c>
      <c r="U51" s="291"/>
      <c r="V51" s="291"/>
      <c r="W51" s="291"/>
      <c r="X51" s="291"/>
      <c r="Y51" s="291"/>
      <c r="Z51" s="291"/>
      <c r="AA51" s="291"/>
      <c r="AB51" s="291"/>
      <c r="AC51" s="291"/>
      <c r="AD51" s="291"/>
      <c r="AE51" s="291"/>
      <c r="AF51" s="291"/>
      <c r="AG51" s="291"/>
      <c r="AH51" s="291"/>
      <c r="AI51" s="291"/>
      <c r="AJ51" s="291"/>
      <c r="AK51" s="291"/>
      <c r="AL51" s="245"/>
      <c r="AM51" s="7686"/>
      <c r="AO51" s="424"/>
      <c r="AP51" s="424" t="str">
        <f t="shared" si="1"/>
        <v>Добавить вид теплоносителя (параметры теплоносителя)</v>
      </c>
      <c r="AQ51" s="424"/>
      <c r="AR51" s="424"/>
    </row>
    <row r="52" spans="1:44" ht="11.25" customHeight="1">
      <c r="A52" s="1284" t="s">
        <v>294</v>
      </c>
      <c r="B52" s="1284" t="s">
        <v>295</v>
      </c>
      <c r="C52" s="1284" t="s">
        <v>296</v>
      </c>
      <c r="D52" s="1284" t="s">
        <v>297</v>
      </c>
      <c r="E52" s="7690"/>
      <c r="F52" s="7690"/>
      <c r="G52" s="7690"/>
      <c r="H52" s="7690"/>
      <c r="I52" s="7687"/>
      <c r="J52" s="1284"/>
      <c r="K52" s="1284"/>
      <c r="L52" s="1285"/>
      <c r="P52" s="7688"/>
      <c r="Q52" s="1253"/>
      <c r="R52" s="277"/>
      <c r="S52" s="1203"/>
      <c r="T52" s="288" t="s">
        <v>588</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294</v>
      </c>
      <c r="B53" s="1284" t="s">
        <v>295</v>
      </c>
      <c r="C53" s="1284" t="s">
        <v>296</v>
      </c>
      <c r="D53" s="1284" t="s">
        <v>297</v>
      </c>
      <c r="E53" s="7690"/>
      <c r="F53" s="7690"/>
      <c r="G53" s="7690"/>
      <c r="H53" s="7689"/>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 hidden="1" customHeight="1">
      <c r="A54" s="1265" t="s">
        <v>294</v>
      </c>
      <c r="B54" s="1265" t="s">
        <v>295</v>
      </c>
      <c r="C54" s="1265" t="s">
        <v>296</v>
      </c>
      <c r="D54" s="1237"/>
      <c r="E54" s="7690"/>
      <c r="F54" s="7690"/>
      <c r="G54" s="7689"/>
      <c r="H54" s="1237"/>
      <c r="I54" s="1237"/>
      <c r="J54" s="1237"/>
      <c r="K54" s="1237"/>
      <c r="L54" s="1261"/>
      <c r="M54" s="1238"/>
      <c r="N54" s="1238"/>
      <c r="P54" s="1239"/>
      <c r="Q54" s="1240"/>
      <c r="R54" s="1239"/>
      <c r="S54" s="1245"/>
      <c r="T54" s="1248" t="s">
        <v>590</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 hidden="1" customHeight="1">
      <c r="A55" s="1265" t="s">
        <v>294</v>
      </c>
      <c r="B55" s="1265" t="s">
        <v>295</v>
      </c>
      <c r="C55" s="1237"/>
      <c r="D55" s="1237"/>
      <c r="E55" s="7690"/>
      <c r="F55" s="7689"/>
      <c r="G55" s="1237"/>
      <c r="H55" s="1237"/>
      <c r="I55" s="1237"/>
      <c r="J55" s="1237"/>
      <c r="K55" s="1237"/>
      <c r="L55" s="1261"/>
      <c r="M55" s="1244"/>
      <c r="N55" s="1244"/>
      <c r="P55" s="1239"/>
      <c r="Q55" s="1240"/>
      <c r="R55" s="1239"/>
      <c r="S55" s="1245"/>
      <c r="T55" s="1248" t="s">
        <v>325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 hidden="1" customHeight="1">
      <c r="A56" s="1265" t="s">
        <v>294</v>
      </c>
      <c r="B56" s="1265"/>
      <c r="C56" s="1265"/>
      <c r="D56" s="1265"/>
      <c r="E56" s="7689"/>
      <c r="F56" s="1265"/>
      <c r="G56" s="1265"/>
      <c r="H56" s="1265"/>
      <c r="I56" s="1265"/>
      <c r="J56" s="1265"/>
      <c r="K56" s="1265"/>
      <c r="L56" s="1268"/>
      <c r="M56" s="1244"/>
      <c r="N56" s="1244"/>
      <c r="O56" s="442"/>
      <c r="P56" s="308"/>
      <c r="Q56" s="1266"/>
      <c r="R56" s="308"/>
      <c r="S56" s="1245"/>
      <c r="T56" s="1248" t="s">
        <v>326</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5.25" customHeight="1">
      <c r="A57" s="1237"/>
      <c r="B57" s="1237"/>
      <c r="C57" s="1237"/>
      <c r="D57" s="1237"/>
      <c r="E57" s="1265"/>
      <c r="F57" s="1237"/>
      <c r="G57" s="1237"/>
      <c r="H57" s="1237"/>
      <c r="I57" s="1237"/>
      <c r="J57" s="1237"/>
      <c r="K57" s="1237"/>
      <c r="L57" s="1261"/>
      <c r="M57" s="1244"/>
      <c r="N57" s="1244"/>
      <c r="P57" s="1239"/>
      <c r="Q57" s="1240"/>
      <c r="R57" s="1239"/>
      <c r="S57" s="1245"/>
      <c r="T57" s="1248" t="s">
        <v>402</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14.25" customHeight="1">
      <c r="O59" s="460"/>
      <c r="S59" s="1169"/>
      <c r="T59" s="7709"/>
      <c r="U59" s="7709"/>
      <c r="V59" s="7709"/>
      <c r="W59" s="7709"/>
      <c r="X59" s="7709"/>
      <c r="Y59" s="7709"/>
      <c r="Z59" s="7709"/>
      <c r="AA59" s="7709"/>
      <c r="AB59" s="7709"/>
      <c r="AC59" s="7709"/>
      <c r="AD59" s="7709"/>
      <c r="AE59" s="7709"/>
      <c r="AF59" s="7709"/>
      <c r="AG59" s="7709"/>
      <c r="AH59" s="7709"/>
      <c r="AI59" s="7709"/>
      <c r="AJ59" s="7709"/>
      <c r="AK59" s="7709"/>
      <c r="AL59" s="7709"/>
      <c r="AM59" s="7709"/>
    </row>
    <row r="60" spans="1:44" ht="14.25" customHeight="1">
      <c r="O60" s="460"/>
      <c r="T60" s="7709"/>
      <c r="U60" s="7709"/>
      <c r="V60" s="7709"/>
      <c r="W60" s="7709"/>
      <c r="X60" s="7709"/>
      <c r="Y60" s="7709"/>
      <c r="Z60" s="7709"/>
      <c r="AA60" s="7709"/>
      <c r="AB60" s="7709"/>
      <c r="AC60" s="7709"/>
      <c r="AD60" s="7709"/>
      <c r="AE60" s="7709"/>
      <c r="AF60" s="7709"/>
      <c r="AG60" s="7709"/>
      <c r="AH60" s="7709"/>
      <c r="AI60" s="7709"/>
      <c r="AJ60" s="7709"/>
      <c r="AK60" s="7709"/>
      <c r="AL60" s="7709"/>
      <c r="AM60" s="7709"/>
    </row>
    <row r="61" spans="1:44" ht="14.25" customHeight="1">
      <c r="O61" s="460"/>
      <c r="T61" s="7709"/>
      <c r="U61" s="7709"/>
      <c r="V61" s="7709"/>
      <c r="W61" s="7709"/>
      <c r="X61" s="7709"/>
      <c r="Y61" s="7709"/>
      <c r="Z61" s="7709"/>
      <c r="AA61" s="7709"/>
      <c r="AB61" s="7709"/>
      <c r="AC61" s="7709"/>
      <c r="AD61" s="7709"/>
      <c r="AE61" s="7709"/>
      <c r="AF61" s="7709"/>
      <c r="AG61" s="7709"/>
      <c r="AH61" s="7709"/>
      <c r="AI61" s="7709"/>
      <c r="AJ61" s="7709"/>
      <c r="AK61" s="7709"/>
      <c r="AL61" s="7709"/>
      <c r="AM61" s="7709"/>
    </row>
    <row r="62" spans="1:44" ht="14.25" customHeight="1">
      <c r="O62" s="460"/>
    </row>
    <row r="63" spans="1:44" ht="14.25" customHeight="1">
      <c r="O63" s="460"/>
      <c r="S63" s="1169"/>
      <c r="T63" s="7609"/>
      <c r="U63" s="7709"/>
      <c r="V63" s="7709"/>
      <c r="W63" s="7709"/>
      <c r="X63" s="7709"/>
      <c r="Y63" s="7709"/>
      <c r="Z63" s="7709"/>
      <c r="AA63" s="7709"/>
      <c r="AB63" s="7709"/>
      <c r="AC63" s="7709"/>
      <c r="AD63" s="7709"/>
      <c r="AE63" s="7709"/>
      <c r="AF63" s="7709"/>
      <c r="AG63" s="7709"/>
      <c r="AH63" s="7709"/>
      <c r="AI63" s="7709"/>
      <c r="AJ63" s="7709"/>
      <c r="AK63" s="7709"/>
      <c r="AL63" s="7709"/>
      <c r="AM63" s="7709"/>
    </row>
    <row r="64" spans="1:44" ht="14.25" customHeight="1">
      <c r="O64" s="460"/>
      <c r="T64" s="7709"/>
      <c r="U64" s="7709"/>
      <c r="V64" s="7709"/>
      <c r="W64" s="7709"/>
      <c r="X64" s="7709"/>
      <c r="Y64" s="7709"/>
      <c r="Z64" s="7709"/>
      <c r="AA64" s="7709"/>
      <c r="AB64" s="7709"/>
      <c r="AC64" s="7709"/>
      <c r="AD64" s="7709"/>
      <c r="AE64" s="7709"/>
      <c r="AF64" s="7709"/>
      <c r="AG64" s="7709"/>
      <c r="AH64" s="7709"/>
      <c r="AI64" s="7709"/>
      <c r="AJ64" s="7709"/>
      <c r="AK64" s="7709"/>
      <c r="AL64" s="7709"/>
      <c r="AM64" s="7709"/>
    </row>
    <row r="65" spans="20:39" ht="14.25" customHeight="1">
      <c r="T65" s="7709"/>
      <c r="U65" s="7709"/>
      <c r="V65" s="7709"/>
      <c r="W65" s="7709"/>
      <c r="X65" s="7709"/>
      <c r="Y65" s="7709"/>
      <c r="Z65" s="7709"/>
      <c r="AA65" s="7709"/>
      <c r="AB65" s="7709"/>
      <c r="AC65" s="7709"/>
      <c r="AD65" s="7709"/>
      <c r="AE65" s="7709"/>
      <c r="AF65" s="7709"/>
      <c r="AG65" s="7709"/>
      <c r="AH65" s="7709"/>
      <c r="AI65" s="7709"/>
      <c r="AJ65" s="7709"/>
      <c r="AK65" s="7709"/>
      <c r="AL65" s="7709"/>
      <c r="AM65" s="7709"/>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555" hidden="1"/>
    <col min="2" max="2" width="11" style="1555" hidden="1" customWidth="1"/>
    <col min="3" max="3" width="10.5703125" style="1555" hidden="1"/>
    <col min="4" max="4" width="11.85546875" style="1555" hidden="1" customWidth="1"/>
    <col min="5" max="5" width="10" style="1555" hidden="1" customWidth="1"/>
    <col min="6" max="6" width="8.7109375" style="1555" hidden="1" customWidth="1"/>
    <col min="7" max="7" width="7.5703125" style="1555" hidden="1" customWidth="1"/>
    <col min="8" max="8" width="11.42578125" style="1555" hidden="1" customWidth="1"/>
    <col min="9" max="9" width="12" style="1555" hidden="1" customWidth="1"/>
    <col min="10" max="10" width="9.85546875" style="1555" hidden="1" customWidth="1"/>
    <col min="11" max="12" width="11.42578125" style="1555" hidden="1" customWidth="1"/>
    <col min="13" max="13" width="19.140625" style="1807" hidden="1" customWidth="1"/>
    <col min="14" max="15" width="12.28515625" style="1817" hidden="1" customWidth="1"/>
    <col min="16" max="16" width="23.42578125" style="1817" hidden="1" customWidth="1"/>
    <col min="17" max="17" width="3.7109375" style="1817" hidden="1" customWidth="1"/>
    <col min="18" max="20" width="3.7109375" style="265" customWidth="1"/>
    <col min="21" max="21" width="12.7109375" style="1820" customWidth="1"/>
    <col min="22" max="22" width="32" style="1555" customWidth="1"/>
    <col min="23" max="23" width="0.140625" style="1555" customWidth="1"/>
    <col min="24" max="28" width="21.7109375" style="1555" hidden="1" customWidth="1"/>
    <col min="29" max="29" width="11.7109375" style="1555" hidden="1" customWidth="1"/>
    <col min="30" max="30" width="3.7109375" style="1555" hidden="1" customWidth="1"/>
    <col min="31" max="31" width="11.7109375" style="1555" hidden="1" customWidth="1"/>
    <col min="32" max="32" width="8.5703125" style="1555" hidden="1" customWidth="1"/>
    <col min="33" max="37" width="21.7109375" style="1555" customWidth="1"/>
    <col min="38" max="38" width="11.7109375" style="1555" customWidth="1"/>
    <col min="39" max="39" width="3.7109375" style="1555" customWidth="1"/>
    <col min="40" max="40" width="11.7109375" style="1555" customWidth="1"/>
    <col min="41" max="41" width="8.5703125" style="1555" customWidth="1"/>
    <col min="42" max="42" width="4.7109375" style="1555" customWidth="1"/>
    <col min="43" max="43" width="115.7109375" style="1555" customWidth="1"/>
    <col min="44" max="45" width="10.5703125" style="1562"/>
    <col min="46" max="46" width="11.140625" style="1562" customWidth="1"/>
    <col min="47" max="48" width="10.5703125" style="1562"/>
  </cols>
  <sheetData>
    <row r="1" spans="1:48" ht="14.25" hidden="1" customHeight="1">
      <c r="AB1" s="249"/>
      <c r="AC1" s="249"/>
      <c r="AK1" s="249"/>
      <c r="AL1" s="249"/>
    </row>
    <row r="2" spans="1:48" ht="21" hidden="1" customHeight="1">
      <c r="A2" s="1191"/>
      <c r="B2" s="1191"/>
      <c r="C2" s="1191"/>
      <c r="D2" s="1191"/>
      <c r="E2" s="7719">
        <v>1</v>
      </c>
      <c r="F2" s="1191"/>
      <c r="G2" s="1191"/>
      <c r="H2" s="1191"/>
      <c r="I2" s="1191"/>
      <c r="J2" s="1191"/>
      <c r="K2" s="1191"/>
      <c r="L2" s="1191"/>
      <c r="M2" s="1233"/>
      <c r="N2" s="606"/>
      <c r="O2" s="606"/>
      <c r="P2" s="606"/>
      <c r="Q2" s="282"/>
      <c r="R2" s="281"/>
      <c r="S2" s="281"/>
      <c r="T2" s="276"/>
      <c r="U2" s="1258" t="e">
        <f>INDEX(PT_DIFFERENTIATION_NUM_NTAR,MATCH(A2,PT_DIFFERENTIATION_NTAR_ID,0))</f>
        <v>#N/A</v>
      </c>
      <c r="V2" s="212" t="s">
        <v>237</v>
      </c>
      <c r="W2" s="214"/>
      <c r="X2" s="7675"/>
      <c r="Y2" s="7676"/>
      <c r="Z2" s="7676"/>
      <c r="AA2" s="7676"/>
      <c r="AB2" s="7676"/>
      <c r="AC2" s="7676"/>
      <c r="AD2" s="7676"/>
      <c r="AE2" s="7676"/>
      <c r="AF2" s="7677"/>
      <c r="AG2" s="7675" t="e">
        <f>INDEX(PT_DIFFERENTIATION_NTAR,MATCH(A2,PT_DIFFERENTIATION_NTAR_ID,0))</f>
        <v>#N/A</v>
      </c>
      <c r="AH2" s="7676"/>
      <c r="AI2" s="7676"/>
      <c r="AJ2" s="7676"/>
      <c r="AK2" s="7676"/>
      <c r="AL2" s="7676"/>
      <c r="AM2" s="7676"/>
      <c r="AN2" s="7676"/>
      <c r="AO2" s="7676"/>
      <c r="AP2" s="7677"/>
      <c r="AQ2" s="1182" t="s">
        <v>572</v>
      </c>
      <c r="AS2" s="424"/>
      <c r="AT2" s="424" t="str">
        <f t="shared" ref="AT2:AT8" si="0">IF(V2="","",V2)</f>
        <v>Наименование тарифа</v>
      </c>
      <c r="AU2" s="424"/>
      <c r="AV2" s="424"/>
    </row>
    <row r="3" spans="1:48" ht="21" hidden="1" customHeight="1">
      <c r="A3" s="1191"/>
      <c r="B3" s="1191"/>
      <c r="C3" s="1191"/>
      <c r="D3" s="1191"/>
      <c r="E3" s="7720"/>
      <c r="F3" s="7719">
        <v>1</v>
      </c>
      <c r="G3" s="1191"/>
      <c r="H3" s="1191"/>
      <c r="I3" s="1191"/>
      <c r="J3" s="1191"/>
      <c r="K3" s="1191"/>
      <c r="L3" s="1191"/>
      <c r="M3" s="1233"/>
      <c r="N3" s="606"/>
      <c r="O3" s="606"/>
      <c r="P3" s="606"/>
      <c r="Q3" s="1254"/>
      <c r="R3" s="273"/>
      <c r="S3" s="433"/>
      <c r="T3" s="274"/>
      <c r="U3" s="1258" t="e">
        <f>INDEX(PT_DIFFERENTIATION_NUM_TER,MATCH(B3,PT_DIFFERENTIATION_TER_ID,0))</f>
        <v>#N/A</v>
      </c>
      <c r="V3" s="224" t="s">
        <v>573</v>
      </c>
      <c r="W3" s="214"/>
      <c r="X3" s="7675"/>
      <c r="Y3" s="7676"/>
      <c r="Z3" s="7676"/>
      <c r="AA3" s="7676"/>
      <c r="AB3" s="7676"/>
      <c r="AC3" s="7676"/>
      <c r="AD3" s="7676"/>
      <c r="AE3" s="7676"/>
      <c r="AF3" s="7677"/>
      <c r="AG3" s="7675" t="e">
        <f>INDEX(PT_DIFFERENTIATION_TER,MATCH(B3,PT_DIFFERENTIATION_TER_ID,0))</f>
        <v>#N/A</v>
      </c>
      <c r="AH3" s="7676"/>
      <c r="AI3" s="7676"/>
      <c r="AJ3" s="7676"/>
      <c r="AK3" s="7676"/>
      <c r="AL3" s="7676"/>
      <c r="AM3" s="7676"/>
      <c r="AN3" s="7676"/>
      <c r="AO3" s="7676"/>
      <c r="AP3" s="7677"/>
      <c r="AQ3" s="1182" t="s">
        <v>574</v>
      </c>
      <c r="AS3" s="424"/>
      <c r="AT3" s="424" t="str">
        <f t="shared" si="0"/>
        <v>Территория действия тарифа</v>
      </c>
      <c r="AU3" s="424"/>
      <c r="AV3" s="424"/>
    </row>
    <row r="4" spans="1:48" ht="22.5" hidden="1" customHeight="1">
      <c r="A4" s="1191"/>
      <c r="B4" s="1191"/>
      <c r="C4" s="1191"/>
      <c r="D4" s="1191"/>
      <c r="E4" s="7720"/>
      <c r="F4" s="7720"/>
      <c r="G4" s="7719">
        <v>1</v>
      </c>
      <c r="H4" s="1191"/>
      <c r="I4" s="1191"/>
      <c r="J4" s="1191"/>
      <c r="K4" s="1191"/>
      <c r="L4" s="1191"/>
      <c r="M4" s="1233"/>
      <c r="N4" s="606"/>
      <c r="O4" s="606"/>
      <c r="P4" s="606"/>
      <c r="Q4" s="275"/>
      <c r="R4" s="273"/>
      <c r="S4" s="433"/>
      <c r="T4" s="274"/>
      <c r="U4" s="1258" t="e">
        <f>INDEX(PT_DIFFERENTIATION_NUM_CS,MATCH(C4,PT_DIFFERENTIATION_CS_ID,0))</f>
        <v>#N/A</v>
      </c>
      <c r="V4" s="225" t="s">
        <v>575</v>
      </c>
      <c r="W4" s="214"/>
      <c r="X4" s="7675"/>
      <c r="Y4" s="7676"/>
      <c r="Z4" s="7676"/>
      <c r="AA4" s="7676"/>
      <c r="AB4" s="7676"/>
      <c r="AC4" s="7676"/>
      <c r="AD4" s="7676"/>
      <c r="AE4" s="7676"/>
      <c r="AF4" s="7677"/>
      <c r="AG4" s="7675" t="e">
        <f>INDEX(PT_DIFFERENTIATION_CS,MATCH(C4,PT_DIFFERENTIATION_CS_ID,0))</f>
        <v>#N/A</v>
      </c>
      <c r="AH4" s="7676"/>
      <c r="AI4" s="7676"/>
      <c r="AJ4" s="7676"/>
      <c r="AK4" s="7676"/>
      <c r="AL4" s="7676"/>
      <c r="AM4" s="7676"/>
      <c r="AN4" s="7676"/>
      <c r="AO4" s="7676"/>
      <c r="AP4" s="7677"/>
      <c r="AQ4" s="1182" t="s">
        <v>576</v>
      </c>
      <c r="AS4" s="424"/>
      <c r="AT4" s="424" t="str">
        <f t="shared" si="0"/>
        <v xml:space="preserve">Наименование системы теплоснабжения </v>
      </c>
      <c r="AU4" s="424"/>
      <c r="AV4" s="424"/>
    </row>
    <row r="5" spans="1:48" ht="21" hidden="1" customHeight="1">
      <c r="A5" s="1191"/>
      <c r="B5" s="1191"/>
      <c r="C5" s="1191"/>
      <c r="D5" s="1191"/>
      <c r="E5" s="7720"/>
      <c r="F5" s="7720"/>
      <c r="G5" s="7720"/>
      <c r="H5" s="7719">
        <v>1</v>
      </c>
      <c r="I5" s="1191"/>
      <c r="J5" s="1191"/>
      <c r="K5" s="1191"/>
      <c r="L5" s="1191"/>
      <c r="M5" s="1233"/>
      <c r="N5" s="606"/>
      <c r="O5" s="606"/>
      <c r="P5" s="606"/>
      <c r="Q5" s="275"/>
      <c r="R5" s="273"/>
      <c r="S5" s="433"/>
      <c r="T5" s="274"/>
      <c r="U5" s="1258" t="e">
        <f>INDEX(PT_DIFFERENTIATION_NUM_IST_TE,MATCH(D5,PT_DIFFERENTIATION_IST_TE_ID,0))</f>
        <v>#N/A</v>
      </c>
      <c r="V5" s="226" t="s">
        <v>577</v>
      </c>
      <c r="W5" s="214"/>
      <c r="X5" s="7675"/>
      <c r="Y5" s="7676"/>
      <c r="Z5" s="7676"/>
      <c r="AA5" s="7676"/>
      <c r="AB5" s="7676"/>
      <c r="AC5" s="7676"/>
      <c r="AD5" s="7676"/>
      <c r="AE5" s="7676"/>
      <c r="AF5" s="7677"/>
      <c r="AG5" s="7675" t="e">
        <f>INDEX(PT_DIFFERENTIATION_IST_TE,MATCH(D5,PT_DIFFERENTIATION_IST_TE_ID,0))</f>
        <v>#N/A</v>
      </c>
      <c r="AH5" s="7676"/>
      <c r="AI5" s="7676"/>
      <c r="AJ5" s="7676"/>
      <c r="AK5" s="7676"/>
      <c r="AL5" s="7676"/>
      <c r="AM5" s="7676"/>
      <c r="AN5" s="7676"/>
      <c r="AO5" s="7676"/>
      <c r="AP5" s="7677"/>
      <c r="AQ5" s="1182" t="s">
        <v>578</v>
      </c>
      <c r="AS5" s="424"/>
      <c r="AT5" s="424" t="str">
        <f t="shared" si="0"/>
        <v xml:space="preserve">Источник тепловой энергии  </v>
      </c>
      <c r="AU5" s="424"/>
      <c r="AV5" s="424"/>
    </row>
    <row r="6" spans="1:48" ht="14.25" hidden="1" customHeight="1">
      <c r="A6" s="1191"/>
      <c r="B6" s="1191"/>
      <c r="C6" s="1191"/>
      <c r="D6" s="1191"/>
      <c r="E6" s="7720"/>
      <c r="F6" s="7720"/>
      <c r="G6" s="7720"/>
      <c r="H6" s="7720"/>
      <c r="I6" s="7559" t="e">
        <f>U5&amp;".1"</f>
        <v>#N/A</v>
      </c>
      <c r="J6" s="1191"/>
      <c r="K6" s="1191"/>
      <c r="L6" s="1191"/>
      <c r="M6" s="1233" t="s">
        <v>579</v>
      </c>
      <c r="N6" s="433"/>
      <c r="Q6" s="7688">
        <v>1</v>
      </c>
      <c r="R6" s="1253"/>
      <c r="S6" s="1253"/>
      <c r="T6" s="277"/>
      <c r="U6" s="953"/>
      <c r="V6" s="1304"/>
      <c r="W6" s="1305"/>
      <c r="X6" s="7716"/>
      <c r="Y6" s="7717"/>
      <c r="Z6" s="7717"/>
      <c r="AA6" s="7717"/>
      <c r="AB6" s="7717"/>
      <c r="AC6" s="7717"/>
      <c r="AD6" s="7717"/>
      <c r="AE6" s="7717"/>
      <c r="AF6" s="7718"/>
      <c r="AG6" s="7716"/>
      <c r="AH6" s="7717"/>
      <c r="AI6" s="7717"/>
      <c r="AJ6" s="7717"/>
      <c r="AK6" s="7717"/>
      <c r="AL6" s="7717"/>
      <c r="AM6" s="7717"/>
      <c r="AN6" s="7717"/>
      <c r="AO6" s="7717"/>
      <c r="AP6" s="7718"/>
      <c r="AQ6" s="1306"/>
      <c r="AS6" s="424"/>
      <c r="AT6" s="424" t="str">
        <f t="shared" si="0"/>
        <v/>
      </c>
      <c r="AU6" s="424"/>
      <c r="AV6" s="424"/>
    </row>
    <row r="7" spans="1:48" ht="21" hidden="1" customHeight="1">
      <c r="A7" s="1191"/>
      <c r="B7" s="1191"/>
      <c r="C7" s="1191"/>
      <c r="D7" s="1191"/>
      <c r="E7" s="7720"/>
      <c r="F7" s="7720"/>
      <c r="G7" s="7720"/>
      <c r="H7" s="7720"/>
      <c r="I7" s="7530"/>
      <c r="J7" s="7559" t="e">
        <f>I6&amp;".1"</f>
        <v>#N/A</v>
      </c>
      <c r="K7" s="1191"/>
      <c r="L7" s="1191"/>
      <c r="M7" s="1233" t="s">
        <v>582</v>
      </c>
      <c r="N7" s="433"/>
      <c r="O7" s="249"/>
      <c r="Q7" s="7688"/>
      <c r="R7" s="7688">
        <v>1</v>
      </c>
      <c r="S7" s="442"/>
      <c r="T7" s="278"/>
      <c r="U7" s="1258" t="e">
        <f>$J7</f>
        <v>#N/A</v>
      </c>
      <c r="V7" s="201" t="s">
        <v>583</v>
      </c>
      <c r="W7" s="214"/>
      <c r="X7" s="7678"/>
      <c r="Y7" s="7679"/>
      <c r="Z7" s="7679"/>
      <c r="AA7" s="7679"/>
      <c r="AB7" s="7679"/>
      <c r="AC7" s="7671"/>
      <c r="AD7" s="7671"/>
      <c r="AE7" s="7671"/>
      <c r="AF7" s="7721"/>
      <c r="AG7" s="7678"/>
      <c r="AH7" s="7679"/>
      <c r="AI7" s="7679"/>
      <c r="AJ7" s="7679"/>
      <c r="AK7" s="7679"/>
      <c r="AL7" s="7679"/>
      <c r="AM7" s="7679"/>
      <c r="AN7" s="7679"/>
      <c r="AO7" s="7679"/>
      <c r="AP7" s="7680"/>
      <c r="AQ7" s="1182" t="s">
        <v>584</v>
      </c>
      <c r="AS7" s="424"/>
      <c r="AT7" s="424" t="str">
        <f t="shared" si="0"/>
        <v>Группа потребителей</v>
      </c>
      <c r="AU7" s="424"/>
      <c r="AV7" s="424"/>
    </row>
    <row r="8" spans="1:48" ht="21" hidden="1" customHeight="1">
      <c r="A8" s="1191"/>
      <c r="B8" s="1191"/>
      <c r="C8" s="1191"/>
      <c r="D8" s="1191"/>
      <c r="E8" s="7720"/>
      <c r="F8" s="7720"/>
      <c r="G8" s="7720"/>
      <c r="H8" s="7720"/>
      <c r="I8" s="7530"/>
      <c r="J8" s="7530"/>
      <c r="K8" s="7559" t="e">
        <f>J7&amp;".1"</f>
        <v>#N/A</v>
      </c>
      <c r="L8" s="61"/>
      <c r="M8" s="1233" t="s">
        <v>585</v>
      </c>
      <c r="N8" s="433"/>
      <c r="O8" s="249"/>
      <c r="P8" s="249"/>
      <c r="Q8" s="7688"/>
      <c r="R8" s="7688"/>
      <c r="S8" s="7688">
        <v>1</v>
      </c>
      <c r="T8" s="278"/>
      <c r="U8" s="1258" t="e">
        <f>$K8</f>
        <v>#N/A</v>
      </c>
      <c r="V8" s="1269"/>
      <c r="W8" s="214"/>
      <c r="X8" s="666"/>
      <c r="Y8" s="666"/>
      <c r="Z8" s="666"/>
      <c r="AA8" s="666"/>
      <c r="AB8" s="1326"/>
      <c r="AC8" s="7692"/>
      <c r="AD8" s="7540" t="s">
        <v>60</v>
      </c>
      <c r="AE8" s="7692"/>
      <c r="AF8" s="7540" t="s">
        <v>60</v>
      </c>
      <c r="AG8" s="1328"/>
      <c r="AH8" s="666"/>
      <c r="AI8" s="666"/>
      <c r="AJ8" s="666"/>
      <c r="AK8" s="1181"/>
      <c r="AL8" s="7692"/>
      <c r="AM8" s="7540" t="s">
        <v>60</v>
      </c>
      <c r="AN8" s="7692"/>
      <c r="AO8" s="7540" t="s">
        <v>60</v>
      </c>
      <c r="AP8" s="246"/>
      <c r="AQ8" s="1231" t="s">
        <v>624</v>
      </c>
      <c r="AR8" s="435" t="e">
        <f ca="1">STRCHECKDATE(X10:AP10)</f>
        <v>#NAME?</v>
      </c>
      <c r="AS8" s="424"/>
      <c r="AT8" s="424" t="str">
        <f t="shared" si="0"/>
        <v/>
      </c>
      <c r="AU8" s="424"/>
      <c r="AV8" s="424"/>
    </row>
    <row r="9" spans="1:48" ht="21" hidden="1" customHeight="1">
      <c r="A9" s="1191"/>
      <c r="B9" s="1191"/>
      <c r="C9" s="1191"/>
      <c r="D9" s="1191"/>
      <c r="E9" s="7720"/>
      <c r="F9" s="7720"/>
      <c r="G9" s="7720"/>
      <c r="H9" s="7720"/>
      <c r="I9" s="7530"/>
      <c r="J9" s="7530"/>
      <c r="K9" s="7530"/>
      <c r="L9" s="7559" t="e">
        <f>K8&amp;".1"</f>
        <v>#N/A</v>
      </c>
      <c r="M9" s="1233"/>
      <c r="N9" s="433"/>
      <c r="O9" s="249"/>
      <c r="P9" s="249"/>
      <c r="Q9" s="7688"/>
      <c r="R9" s="7688"/>
      <c r="S9" s="7688"/>
      <c r="T9" s="278"/>
      <c r="U9" s="1258" t="e">
        <f>$L9</f>
        <v>#N/A</v>
      </c>
      <c r="V9" s="1312"/>
      <c r="W9" s="214"/>
      <c r="X9" s="246"/>
      <c r="Y9" s="666"/>
      <c r="Z9" s="666"/>
      <c r="AA9" s="666"/>
      <c r="AB9" s="1326"/>
      <c r="AC9" s="7693"/>
      <c r="AD9" s="7540"/>
      <c r="AE9" s="7693"/>
      <c r="AF9" s="7540"/>
      <c r="AG9" s="1328"/>
      <c r="AH9" s="666"/>
      <c r="AI9" s="666"/>
      <c r="AJ9" s="666"/>
      <c r="AK9" s="1181"/>
      <c r="AL9" s="7693"/>
      <c r="AM9" s="7540"/>
      <c r="AN9" s="7693"/>
      <c r="AO9" s="7540"/>
      <c r="AP9" s="246"/>
      <c r="AQ9" s="7684" t="s">
        <v>625</v>
      </c>
      <c r="AS9" s="424"/>
      <c r="AT9" s="424"/>
      <c r="AU9" s="424"/>
      <c r="AV9" s="424"/>
    </row>
    <row r="10" spans="1:48" ht="14.25" hidden="1" customHeight="1">
      <c r="A10" s="1191"/>
      <c r="B10" s="1191"/>
      <c r="C10" s="1191"/>
      <c r="D10" s="1191"/>
      <c r="E10" s="7720"/>
      <c r="F10" s="7720"/>
      <c r="G10" s="7720"/>
      <c r="H10" s="7720"/>
      <c r="I10" s="7530"/>
      <c r="J10" s="7530"/>
      <c r="K10" s="7530"/>
      <c r="L10" s="7559"/>
      <c r="M10" s="1233"/>
      <c r="N10" s="433"/>
      <c r="O10" s="249"/>
      <c r="P10" s="249"/>
      <c r="Q10" s="7688"/>
      <c r="R10" s="7688"/>
      <c r="S10" s="7688"/>
      <c r="T10" s="278"/>
      <c r="U10" s="1264"/>
      <c r="V10" s="214"/>
      <c r="W10" s="214"/>
      <c r="X10" s="246"/>
      <c r="Y10" s="246"/>
      <c r="Z10" s="246"/>
      <c r="AA10" s="246"/>
      <c r="AB10" s="1327" t="str">
        <f>AC8&amp;"-"&amp;AE8</f>
        <v>-</v>
      </c>
      <c r="AC10" s="7693"/>
      <c r="AD10" s="7540"/>
      <c r="AE10" s="7693"/>
      <c r="AF10" s="7540"/>
      <c r="AG10" s="1303"/>
      <c r="AH10" s="246"/>
      <c r="AI10" s="246"/>
      <c r="AJ10" s="246"/>
      <c r="AK10" s="250" t="str">
        <f>AL8&amp;"-"&amp;AN8</f>
        <v>-</v>
      </c>
      <c r="AL10" s="7693"/>
      <c r="AM10" s="7540"/>
      <c r="AN10" s="7693"/>
      <c r="AO10" s="7540"/>
      <c r="AP10" s="246"/>
      <c r="AQ10" s="7685"/>
      <c r="AS10" s="424"/>
      <c r="AT10" s="424" t="str">
        <f>IF(V10="","",V10)</f>
        <v/>
      </c>
      <c r="AU10" s="424"/>
      <c r="AV10" s="424"/>
    </row>
    <row r="11" spans="1:48" ht="11.25" hidden="1" customHeight="1">
      <c r="A11" s="1191"/>
      <c r="B11" s="1191"/>
      <c r="C11" s="1191"/>
      <c r="D11" s="1191"/>
      <c r="E11" s="7720"/>
      <c r="F11" s="7720"/>
      <c r="G11" s="7720"/>
      <c r="H11" s="7720"/>
      <c r="I11" s="7530"/>
      <c r="J11" s="7530"/>
      <c r="K11" s="7559"/>
      <c r="L11" s="1191"/>
      <c r="M11" s="1233"/>
      <c r="N11" s="433"/>
      <c r="O11" s="249"/>
      <c r="P11" s="249"/>
      <c r="Q11" s="7688"/>
      <c r="R11" s="7688"/>
      <c r="S11" s="7688"/>
      <c r="T11" s="278"/>
      <c r="U11" s="1203"/>
      <c r="V11" s="203" t="s">
        <v>626</v>
      </c>
      <c r="W11" s="1313"/>
      <c r="X11" s="1314"/>
      <c r="Y11" s="1314"/>
      <c r="Z11" s="1314"/>
      <c r="AA11" s="1314"/>
      <c r="AB11" s="1315"/>
      <c r="AC11" s="7693"/>
      <c r="AD11" s="7540"/>
      <c r="AE11" s="7693"/>
      <c r="AF11" s="7540"/>
      <c r="AG11" s="1314"/>
      <c r="AH11" s="1314"/>
      <c r="AI11" s="1314"/>
      <c r="AJ11" s="1314"/>
      <c r="AK11" s="1315"/>
      <c r="AL11" s="7693"/>
      <c r="AM11" s="7540"/>
      <c r="AN11" s="7693"/>
      <c r="AO11" s="7540"/>
      <c r="AP11" s="1316"/>
      <c r="AQ11" s="7685"/>
      <c r="AS11" s="424"/>
      <c r="AT11" s="424"/>
      <c r="AU11" s="424"/>
      <c r="AV11" s="424"/>
    </row>
    <row r="12" spans="1:48" ht="15" hidden="1" customHeight="1">
      <c r="A12" s="1191"/>
      <c r="B12" s="1191"/>
      <c r="C12" s="1191"/>
      <c r="D12" s="1191"/>
      <c r="E12" s="7720"/>
      <c r="F12" s="7720"/>
      <c r="G12" s="7720"/>
      <c r="H12" s="7720"/>
      <c r="I12" s="7530"/>
      <c r="J12" s="7559"/>
      <c r="K12" s="1191"/>
      <c r="L12" s="1191"/>
      <c r="M12" s="1233"/>
      <c r="N12" s="433"/>
      <c r="O12" s="249"/>
      <c r="Q12" s="7688"/>
      <c r="R12" s="7688"/>
      <c r="S12" s="1253"/>
      <c r="T12" s="277"/>
      <c r="U12" s="1203"/>
      <c r="V12" s="202" t="s">
        <v>587</v>
      </c>
      <c r="W12" s="291"/>
      <c r="X12" s="291"/>
      <c r="Y12" s="291"/>
      <c r="Z12" s="291"/>
      <c r="AA12" s="291"/>
      <c r="AB12" s="291"/>
      <c r="AC12" s="1329"/>
      <c r="AD12" s="1329"/>
      <c r="AE12" s="1329"/>
      <c r="AF12" s="1329"/>
      <c r="AG12" s="291"/>
      <c r="AH12" s="291"/>
      <c r="AI12" s="291"/>
      <c r="AJ12" s="291"/>
      <c r="AK12" s="291"/>
      <c r="AL12" s="291"/>
      <c r="AM12" s="291"/>
      <c r="AN12" s="291"/>
      <c r="AO12" s="291"/>
      <c r="AP12" s="245"/>
      <c r="AQ12" s="7686"/>
      <c r="AS12" s="424"/>
      <c r="AT12" s="424" t="str">
        <f t="shared" ref="AT12:AT17" si="1">IF(V12="","",V12)</f>
        <v>Добавить вид теплоносителя (параметры теплоносителя)</v>
      </c>
      <c r="AU12" s="424"/>
      <c r="AV12" s="424"/>
    </row>
    <row r="13" spans="1:48" ht="11.25" hidden="1" customHeight="1">
      <c r="A13" s="1191"/>
      <c r="B13" s="1191"/>
      <c r="C13" s="1191"/>
      <c r="D13" s="1191"/>
      <c r="E13" s="7720"/>
      <c r="F13" s="7720"/>
      <c r="G13" s="7720"/>
      <c r="H13" s="7720"/>
      <c r="I13" s="7559"/>
      <c r="J13" s="1191"/>
      <c r="K13" s="1191"/>
      <c r="L13" s="1191"/>
      <c r="M13" s="1233"/>
      <c r="N13" s="433"/>
      <c r="Q13" s="7688"/>
      <c r="R13" s="1253"/>
      <c r="S13" s="1253"/>
      <c r="T13" s="277"/>
      <c r="U13" s="1203"/>
      <c r="V13" s="288" t="s">
        <v>588</v>
      </c>
      <c r="W13" s="291"/>
      <c r="X13" s="291"/>
      <c r="Y13" s="291"/>
      <c r="Z13" s="291"/>
      <c r="AA13" s="291"/>
      <c r="AB13" s="291"/>
      <c r="AC13" s="291"/>
      <c r="AD13" s="291"/>
      <c r="AE13" s="291"/>
      <c r="AF13" s="290"/>
      <c r="AG13" s="291"/>
      <c r="AH13" s="291"/>
      <c r="AI13" s="291"/>
      <c r="AJ13" s="291"/>
      <c r="AK13" s="291"/>
      <c r="AL13" s="291"/>
      <c r="AM13" s="291"/>
      <c r="AN13" s="291"/>
      <c r="AO13" s="290"/>
      <c r="AP13" s="291"/>
      <c r="AQ13" s="217"/>
      <c r="AS13" s="424"/>
      <c r="AT13" s="424" t="str">
        <f t="shared" si="1"/>
        <v>Добавить группу потребителей</v>
      </c>
      <c r="AU13" s="424"/>
      <c r="AV13" s="424"/>
    </row>
    <row r="14" spans="1:48" ht="14.25" hidden="1" customHeight="1">
      <c r="A14" s="1191"/>
      <c r="B14" s="1191"/>
      <c r="C14" s="1191"/>
      <c r="D14" s="1191"/>
      <c r="E14" s="7720"/>
      <c r="F14" s="7720"/>
      <c r="G14" s="7720"/>
      <c r="H14" s="7719"/>
      <c r="I14" s="1191"/>
      <c r="J14" s="1191"/>
      <c r="K14" s="1191"/>
      <c r="L14" s="1191"/>
      <c r="M14" s="1233"/>
      <c r="N14" s="606"/>
      <c r="O14" s="606"/>
      <c r="P14" s="433"/>
      <c r="Q14" s="281"/>
      <c r="R14" s="299"/>
      <c r="S14" s="276"/>
      <c r="T14" s="281"/>
      <c r="U14" s="1307"/>
      <c r="V14" s="1308"/>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10"/>
      <c r="AS14" s="424"/>
      <c r="AT14" s="424" t="str">
        <f t="shared" si="1"/>
        <v/>
      </c>
      <c r="AU14" s="424"/>
      <c r="AV14" s="424"/>
    </row>
    <row r="15" spans="1:48" s="1562" customFormat="1" ht="14.25" hidden="1" customHeight="1">
      <c r="A15" s="1295"/>
      <c r="B15" s="1295"/>
      <c r="C15" s="1295"/>
      <c r="D15" s="1295"/>
      <c r="E15" s="7720"/>
      <c r="F15" s="7720"/>
      <c r="G15" s="7719"/>
      <c r="H15" s="1295"/>
      <c r="I15" s="1295"/>
      <c r="J15" s="1295"/>
      <c r="K15" s="1295"/>
      <c r="L15" s="1295"/>
      <c r="M15" s="1298"/>
      <c r="N15" s="1299"/>
      <c r="O15" s="1299"/>
      <c r="P15" s="272"/>
      <c r="Q15" s="1239"/>
      <c r="R15" s="1240"/>
      <c r="S15" s="1239"/>
      <c r="T15" s="1239"/>
      <c r="U15" s="1241"/>
      <c r="V15" s="1242" t="s">
        <v>590</v>
      </c>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S15" s="703"/>
      <c r="AT15" s="703" t="str">
        <f t="shared" si="1"/>
        <v>Добавить источник для дифференциации</v>
      </c>
      <c r="AU15" s="703"/>
      <c r="AV15" s="703"/>
    </row>
    <row r="16" spans="1:48" s="1562" customFormat="1" ht="14.25" hidden="1" customHeight="1">
      <c r="A16" s="1295"/>
      <c r="B16" s="1295"/>
      <c r="C16" s="1295"/>
      <c r="D16" s="1295"/>
      <c r="E16" s="7720"/>
      <c r="F16" s="7719"/>
      <c r="G16" s="1295"/>
      <c r="H16" s="1295"/>
      <c r="I16" s="1295"/>
      <c r="J16" s="1295"/>
      <c r="K16" s="1295"/>
      <c r="L16" s="1295"/>
      <c r="M16" s="1298"/>
      <c r="N16" s="1300"/>
      <c r="O16" s="1300"/>
      <c r="P16" s="272"/>
      <c r="Q16" s="1239"/>
      <c r="R16" s="1240"/>
      <c r="S16" s="1239"/>
      <c r="T16" s="1239"/>
      <c r="U16" s="1245"/>
      <c r="V16" s="1246" t="s">
        <v>325</v>
      </c>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S16" s="703"/>
      <c r="AT16" s="703" t="str">
        <f t="shared" si="1"/>
        <v>Добавить централизованную систему для дифференциации</v>
      </c>
      <c r="AU16" s="703"/>
      <c r="AV16" s="703"/>
    </row>
    <row r="17" spans="1:48" s="1562" customFormat="1" ht="14.25" hidden="1" customHeight="1">
      <c r="A17" s="1295"/>
      <c r="B17" s="1295"/>
      <c r="C17" s="1295"/>
      <c r="D17" s="1295"/>
      <c r="E17" s="7719"/>
      <c r="F17" s="1295"/>
      <c r="G17" s="1295"/>
      <c r="H17" s="1295"/>
      <c r="I17" s="1295"/>
      <c r="J17" s="1295"/>
      <c r="K17" s="1295"/>
      <c r="L17" s="1295"/>
      <c r="M17" s="1298"/>
      <c r="N17" s="1300"/>
      <c r="O17" s="1300"/>
      <c r="P17" s="272"/>
      <c r="Q17" s="1239"/>
      <c r="R17" s="1240"/>
      <c r="S17" s="1239"/>
      <c r="T17" s="1239"/>
      <c r="U17" s="1245"/>
      <c r="V17" s="1248" t="s">
        <v>326</v>
      </c>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S17" s="703"/>
      <c r="AT17" s="703" t="str">
        <f t="shared" si="1"/>
        <v>Добавить территорию для дифференциации</v>
      </c>
      <c r="AU17" s="703"/>
      <c r="AV17" s="703"/>
    </row>
    <row r="18" spans="1:48" ht="14.25" hidden="1" customHeight="1">
      <c r="AF18" s="249"/>
      <c r="AO18" s="249"/>
    </row>
    <row r="19" spans="1:48" ht="14.25" hidden="1" customHeight="1">
      <c r="AG19" s="1281"/>
      <c r="AH19" s="1281"/>
      <c r="AI19" s="1281"/>
      <c r="AJ19" s="1281"/>
      <c r="AK19" s="1282"/>
      <c r="AL19" s="7694"/>
      <c r="AM19" s="7695" t="s">
        <v>60</v>
      </c>
      <c r="AN19" s="7694"/>
      <c r="AO19" s="7695" t="s">
        <v>60</v>
      </c>
    </row>
    <row r="20" spans="1:48" ht="14.25" hidden="1" customHeight="1">
      <c r="AG20" s="1281"/>
      <c r="AH20" s="1281"/>
      <c r="AI20" s="1281"/>
      <c r="AJ20" s="1281"/>
      <c r="AK20" s="1282"/>
      <c r="AL20" s="7694"/>
      <c r="AM20" s="7695"/>
      <c r="AN20" s="7694"/>
      <c r="AO20" s="7695"/>
    </row>
    <row r="21" spans="1:48" ht="14.25" hidden="1" customHeight="1">
      <c r="AG21" s="1281"/>
      <c r="AH21" s="1281"/>
      <c r="AI21" s="1281"/>
      <c r="AJ21" s="1281"/>
      <c r="AK21" s="1282"/>
      <c r="AL21" s="7694"/>
      <c r="AM21" s="7695"/>
      <c r="AN21" s="7694"/>
      <c r="AO21" s="7695"/>
    </row>
    <row r="22" spans="1:48" ht="14.25" hidden="1" customHeight="1">
      <c r="AG22" s="1281"/>
      <c r="AH22" s="1281"/>
      <c r="AI22" s="1281"/>
      <c r="AJ22" s="1281"/>
      <c r="AK22" s="250" t="str">
        <f>AL19&amp;"-"&amp;AN19</f>
        <v>-</v>
      </c>
      <c r="AL22" s="7695"/>
      <c r="AM22" s="7695"/>
      <c r="AN22" s="7695"/>
      <c r="AO22" s="7695"/>
    </row>
    <row r="23" spans="1:48" ht="14.25" hidden="1" customHeight="1">
      <c r="AO23" s="249"/>
    </row>
    <row r="24" spans="1:48" s="1287" customFormat="1" ht="22.5" hidden="1" customHeight="1">
      <c r="A24" s="1060"/>
      <c r="B24" s="1060"/>
      <c r="C24" s="1060"/>
      <c r="D24" s="1060"/>
      <c r="E24" s="1060"/>
      <c r="F24" s="1060"/>
      <c r="G24" s="1060"/>
      <c r="H24" s="1060"/>
      <c r="I24" s="1060"/>
      <c r="J24" s="1060"/>
      <c r="K24" s="1060"/>
      <c r="L24" s="1060"/>
      <c r="M24" s="1249"/>
      <c r="N24" s="1250"/>
      <c r="O24" s="1250"/>
      <c r="P24" s="1267" t="s">
        <v>591</v>
      </c>
      <c r="Q24" s="1283"/>
      <c r="R24" s="1292"/>
      <c r="S24" s="1292"/>
      <c r="T24" s="1292"/>
      <c r="U24" s="646"/>
      <c r="AC24" s="1288"/>
      <c r="AE24" s="1288"/>
      <c r="AL24" s="1288"/>
      <c r="AN24" s="1288"/>
      <c r="AR24" s="435"/>
      <c r="AS24" s="435"/>
      <c r="AT24" s="435"/>
      <c r="AU24" s="435"/>
      <c r="AV24" s="435"/>
    </row>
    <row r="25" spans="1:48" s="1287" customFormat="1" ht="14.25" hidden="1" customHeight="1">
      <c r="A25" s="1060"/>
      <c r="B25" s="1060"/>
      <c r="C25" s="1060"/>
      <c r="D25" s="1060"/>
      <c r="E25" s="1060"/>
      <c r="F25" s="1060"/>
      <c r="G25" s="1060"/>
      <c r="H25" s="1060"/>
      <c r="I25" s="1060"/>
      <c r="J25" s="1060"/>
      <c r="K25" s="1060"/>
      <c r="L25" s="1060"/>
      <c r="M25" s="1249"/>
      <c r="N25" s="1250"/>
      <c r="O25" s="1250"/>
      <c r="P25" s="1250"/>
      <c r="Q25" s="1283"/>
      <c r="R25" s="1292"/>
      <c r="S25" s="1292"/>
      <c r="T25" s="1292"/>
      <c r="U25" s="646"/>
      <c r="AR25" s="435"/>
      <c r="AS25" s="435"/>
      <c r="AT25" s="435"/>
      <c r="AU25" s="435"/>
      <c r="AV25" s="435"/>
    </row>
    <row r="26" spans="1:48" s="1287" customFormat="1" ht="14.25" hidden="1" customHeight="1">
      <c r="A26" s="1060"/>
      <c r="B26" s="1060"/>
      <c r="C26" s="1060"/>
      <c r="D26" s="1060"/>
      <c r="E26" s="1060"/>
      <c r="F26" s="1060"/>
      <c r="G26" s="1060"/>
      <c r="H26" s="1060"/>
      <c r="I26" s="1060"/>
      <c r="J26" s="1060"/>
      <c r="K26" s="1060"/>
      <c r="L26" s="1060"/>
      <c r="M26" s="1249"/>
      <c r="N26" s="1250"/>
      <c r="O26" s="1250"/>
      <c r="P26" s="1233" t="s">
        <v>592</v>
      </c>
      <c r="Q26" s="1283"/>
      <c r="R26" s="1292"/>
      <c r="S26" s="1292"/>
      <c r="T26" s="1292"/>
      <c r="U26" s="646"/>
      <c r="V26" s="1065" t="s">
        <v>593</v>
      </c>
      <c r="AD26" s="104" t="s">
        <v>594</v>
      </c>
      <c r="AF26" s="104" t="s">
        <v>595</v>
      </c>
      <c r="AG26" s="1065" t="s">
        <v>593</v>
      </c>
      <c r="AM26" s="104" t="s">
        <v>596</v>
      </c>
      <c r="AO26" s="104" t="s">
        <v>595</v>
      </c>
      <c r="AR26" s="435"/>
      <c r="AS26" s="435"/>
      <c r="AT26" s="435"/>
      <c r="AU26" s="435"/>
      <c r="AV26" s="435"/>
    </row>
    <row r="27" spans="1:48" ht="14.25" hidden="1" customHeight="1">
      <c r="P27" s="1233"/>
    </row>
    <row r="28" spans="1:48" ht="14.25" hidden="1" customHeight="1">
      <c r="P28" s="1233"/>
    </row>
    <row r="29" spans="1:48" ht="14.25" customHeight="1">
      <c r="R29" s="300"/>
      <c r="S29" s="300"/>
      <c r="T29" s="300"/>
      <c r="U29" s="1200"/>
      <c r="V29" s="286"/>
      <c r="W29" s="286"/>
      <c r="X29" s="433"/>
      <c r="Y29" s="433"/>
      <c r="Z29" s="433"/>
      <c r="AA29" s="433"/>
      <c r="AB29" s="433"/>
      <c r="AC29" s="433"/>
      <c r="AD29" s="433"/>
      <c r="AE29" s="433"/>
      <c r="AF29" s="433"/>
      <c r="AG29" s="433"/>
      <c r="AH29" s="433"/>
      <c r="AI29" s="433"/>
      <c r="AJ29" s="433"/>
      <c r="AK29" s="433"/>
      <c r="AL29" s="433"/>
      <c r="AM29" s="433"/>
      <c r="AN29" s="433"/>
      <c r="AO29" s="433"/>
    </row>
    <row r="30" spans="1:48" ht="54" customHeight="1">
      <c r="R30" s="300"/>
      <c r="S30" s="300"/>
      <c r="T30" s="300"/>
      <c r="U30" s="767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7673"/>
      <c r="W30" s="7673"/>
      <c r="X30" s="7673"/>
      <c r="Y30" s="7673"/>
      <c r="Z30" s="7673"/>
      <c r="AA30" s="7673"/>
      <c r="AB30" s="7673"/>
      <c r="AC30" s="7673"/>
      <c r="AD30" s="7673"/>
      <c r="AE30" s="7673"/>
      <c r="AF30" s="7673"/>
      <c r="AG30" s="7673"/>
      <c r="AH30" s="7673"/>
      <c r="AI30" s="7673"/>
      <c r="AJ30" s="7673"/>
      <c r="AK30" s="7673"/>
      <c r="AL30" s="7673"/>
      <c r="AM30" s="7673"/>
      <c r="AN30" s="7673"/>
      <c r="AO30" s="1157"/>
    </row>
    <row r="31" spans="1:48" ht="14.25" customHeight="1">
      <c r="R31" s="300"/>
      <c r="S31" s="300"/>
      <c r="T31" s="300"/>
      <c r="U31" s="7620" t="str">
        <f>IF(org=0,"Не определено",org)</f>
        <v>ГУП СК "Ставрополькрайводоканал"</v>
      </c>
      <c r="V31" s="7620"/>
      <c r="W31" s="7620"/>
      <c r="X31" s="7620"/>
      <c r="Y31" s="7620"/>
      <c r="Z31" s="7620"/>
      <c r="AA31" s="7620"/>
      <c r="AB31" s="7620"/>
      <c r="AC31" s="7620"/>
      <c r="AD31" s="7620"/>
      <c r="AE31" s="7620"/>
      <c r="AF31" s="7620"/>
      <c r="AG31" s="7620"/>
      <c r="AH31" s="7620"/>
      <c r="AI31" s="7620"/>
      <c r="AJ31" s="7620"/>
      <c r="AK31" s="7620"/>
      <c r="AL31" s="7620"/>
      <c r="AM31" s="7620"/>
      <c r="AN31" s="7620"/>
      <c r="AO31" s="1157"/>
    </row>
    <row r="32" spans="1:48" ht="14.25" customHeight="1">
      <c r="R32" s="300"/>
      <c r="S32" s="300"/>
      <c r="T32" s="300"/>
      <c r="U32" s="1200"/>
      <c r="V32" s="286"/>
      <c r="W32" s="286"/>
      <c r="X32" s="242"/>
      <c r="Y32" s="242"/>
      <c r="Z32" s="242"/>
      <c r="AA32" s="242"/>
      <c r="AB32" s="242"/>
      <c r="AC32" s="242"/>
      <c r="AD32" s="242"/>
      <c r="AE32" s="242"/>
      <c r="AF32" s="242"/>
      <c r="AG32" s="242"/>
      <c r="AH32" s="242"/>
      <c r="AI32" s="242"/>
      <c r="AJ32" s="242"/>
      <c r="AK32" s="242"/>
      <c r="AL32" s="242"/>
      <c r="AM32" s="242"/>
      <c r="AN32" s="242"/>
      <c r="AO32" s="242"/>
      <c r="AP32" s="433"/>
    </row>
    <row r="33" spans="1:48" s="1771" customFormat="1" ht="25.5" customHeight="1">
      <c r="A33" s="1163"/>
      <c r="B33" s="1163"/>
      <c r="C33" s="1163"/>
      <c r="D33" s="1163"/>
      <c r="E33" s="1163"/>
      <c r="F33" s="1163"/>
      <c r="G33" s="1163"/>
      <c r="H33" s="1163"/>
      <c r="I33" s="1163"/>
      <c r="J33" s="1163"/>
      <c r="K33" s="1163"/>
      <c r="L33" s="1163"/>
      <c r="M33" s="1301"/>
      <c r="N33" s="1163"/>
      <c r="O33" s="1163"/>
      <c r="P33" s="1163"/>
      <c r="U33" s="7681" t="s">
        <v>38</v>
      </c>
      <c r="V33" s="7681"/>
      <c r="W33" s="1293"/>
      <c r="X33" s="7682" t="str">
        <f>IF(TITLE_NAME_OR_PR_CHANGE="",IF(TITLE_NAME_OR_PR="","",TITLE_NAME_OR_PR),TITLE_NAME_OR_PR_CHANGE)</f>
        <v>Региональная тарифная комиссия Ставропольского края</v>
      </c>
      <c r="Y33" s="7682"/>
      <c r="Z33" s="7682"/>
      <c r="AA33" s="7682"/>
      <c r="AB33" s="7682"/>
      <c r="AC33" s="7682"/>
      <c r="AD33" s="7682"/>
      <c r="AE33" s="7682"/>
      <c r="AF33" s="248"/>
      <c r="AG33" s="7682" t="str">
        <f>IF(TITLE_NAME_OR_PR_CHANGE="",IF(TITLE_NAME_OR_PR="","",TITLE_NAME_OR_PR),TITLE_NAME_OR_PR_CHANGE)</f>
        <v>Региональная тарифная комиссия Ставропольского края</v>
      </c>
      <c r="AH33" s="7682"/>
      <c r="AI33" s="7682"/>
      <c r="AJ33" s="7682"/>
      <c r="AK33" s="7682"/>
      <c r="AL33" s="7682"/>
      <c r="AM33" s="7682"/>
      <c r="AN33" s="7682"/>
      <c r="AO33" s="248"/>
      <c r="AP33" s="248"/>
      <c r="AQ33" s="196"/>
      <c r="AR33" s="292"/>
      <c r="AS33" s="292"/>
      <c r="AT33" s="292"/>
      <c r="AU33" s="292"/>
      <c r="AV33" s="292"/>
    </row>
    <row r="34" spans="1:48" s="1771" customFormat="1" ht="18.75" customHeight="1">
      <c r="A34" s="1163"/>
      <c r="B34" s="1163"/>
      <c r="C34" s="1163"/>
      <c r="D34" s="1163"/>
      <c r="E34" s="1163"/>
      <c r="F34" s="1163"/>
      <c r="G34" s="1163"/>
      <c r="H34" s="1163"/>
      <c r="I34" s="1163"/>
      <c r="J34" s="1163"/>
      <c r="K34" s="1163"/>
      <c r="L34" s="1163"/>
      <c r="M34" s="1301"/>
      <c r="N34" s="1163"/>
      <c r="O34" s="1163"/>
      <c r="P34" s="1163"/>
      <c r="U34" s="7681" t="s">
        <v>597</v>
      </c>
      <c r="V34" s="7681"/>
      <c r="W34" s="1293"/>
      <c r="X34" s="7691">
        <f>IF(TITLE_DATE_PR_CHANGE="",IF(TITLE_DATE_PR="","",TITLE_DATE_PR),TITLE_DATE_PR_CHANGE)</f>
        <v>45278</v>
      </c>
      <c r="Y34" s="7691"/>
      <c r="Z34" s="7691"/>
      <c r="AA34" s="7691"/>
      <c r="AB34" s="7691"/>
      <c r="AC34" s="7691"/>
      <c r="AD34" s="7691"/>
      <c r="AE34" s="7691"/>
      <c r="AF34" s="248"/>
      <c r="AG34" s="7691">
        <f>IF(TITLE_DATE_PR_CHANGE="",IF(TITLE_DATE_PR="","",TITLE_DATE_PR),TITLE_DATE_PR_CHANGE)</f>
        <v>45278</v>
      </c>
      <c r="AH34" s="7691"/>
      <c r="AI34" s="7691"/>
      <c r="AJ34" s="7691"/>
      <c r="AK34" s="7691"/>
      <c r="AL34" s="7691"/>
      <c r="AM34" s="7691"/>
      <c r="AN34" s="7691"/>
      <c r="AO34" s="248"/>
      <c r="AP34" s="248"/>
      <c r="AQ34" s="196"/>
      <c r="AR34" s="292"/>
      <c r="AS34" s="292"/>
      <c r="AT34" s="292"/>
      <c r="AU34" s="292"/>
      <c r="AV34" s="292"/>
    </row>
    <row r="35" spans="1:48" s="1771" customFormat="1" ht="18.75" customHeight="1">
      <c r="A35" s="1163"/>
      <c r="B35" s="1163"/>
      <c r="C35" s="1163"/>
      <c r="D35" s="1163"/>
      <c r="E35" s="1163"/>
      <c r="F35" s="1163"/>
      <c r="G35" s="1163"/>
      <c r="H35" s="1163"/>
      <c r="I35" s="1163"/>
      <c r="J35" s="1163"/>
      <c r="K35" s="1163"/>
      <c r="L35" s="1163"/>
      <c r="M35" s="1301"/>
      <c r="N35" s="1163"/>
      <c r="O35" s="1163"/>
      <c r="P35" s="1163"/>
      <c r="U35" s="7681" t="s">
        <v>598</v>
      </c>
      <c r="V35" s="7681"/>
      <c r="W35" s="1293"/>
      <c r="X35" s="7682" t="str">
        <f>IF(TITLE_NUMBER_PR_CHANGE="",IF(TITLE_NUMBER_PR="","",TITLE_NUMBER_PR),TITLE_NUMBER_PR_CHANGE)</f>
        <v>79/2</v>
      </c>
      <c r="Y35" s="7682"/>
      <c r="Z35" s="7682"/>
      <c r="AA35" s="7682"/>
      <c r="AB35" s="7682"/>
      <c r="AC35" s="7682"/>
      <c r="AD35" s="7682"/>
      <c r="AE35" s="7682"/>
      <c r="AF35" s="248"/>
      <c r="AG35" s="7682" t="str">
        <f>IF(TITLE_NUMBER_PR_CHANGE="",IF(TITLE_NUMBER_PR="","",TITLE_NUMBER_PR),TITLE_NUMBER_PR_CHANGE)</f>
        <v>79/2</v>
      </c>
      <c r="AH35" s="7682"/>
      <c r="AI35" s="7682"/>
      <c r="AJ35" s="7682"/>
      <c r="AK35" s="7682"/>
      <c r="AL35" s="7682"/>
      <c r="AM35" s="7682"/>
      <c r="AN35" s="7682"/>
      <c r="AO35" s="248"/>
      <c r="AP35" s="248"/>
      <c r="AQ35" s="196"/>
      <c r="AR35" s="292"/>
      <c r="AS35" s="292"/>
      <c r="AT35" s="292"/>
      <c r="AU35" s="292"/>
      <c r="AV35" s="292"/>
    </row>
    <row r="36" spans="1:48" s="1771" customFormat="1" ht="18.75" customHeight="1">
      <c r="A36" s="1163"/>
      <c r="B36" s="1163"/>
      <c r="C36" s="1163"/>
      <c r="D36" s="1163"/>
      <c r="E36" s="1163"/>
      <c r="F36" s="1163"/>
      <c r="G36" s="1163"/>
      <c r="H36" s="1163"/>
      <c r="I36" s="1163"/>
      <c r="J36" s="1163"/>
      <c r="K36" s="1163"/>
      <c r="L36" s="1163"/>
      <c r="M36" s="1301"/>
      <c r="N36" s="1163"/>
      <c r="O36" s="1163"/>
      <c r="P36" s="1163"/>
      <c r="U36" s="7681" t="s">
        <v>40</v>
      </c>
      <c r="V36" s="7681"/>
      <c r="W36" s="1293"/>
      <c r="X36" s="7682" t="str">
        <f>IF(TITLE_IST_PUB_CHANGE="",IF(TITLE_IST_PUB="","",TITLE_IST_PUB),TITLE_IST_PUB_CHANGE)</f>
        <v>http://pravo.stavregion.ru/</v>
      </c>
      <c r="Y36" s="7682"/>
      <c r="Z36" s="7682"/>
      <c r="AA36" s="7682"/>
      <c r="AB36" s="7682"/>
      <c r="AC36" s="7682"/>
      <c r="AD36" s="7682"/>
      <c r="AE36" s="7682"/>
      <c r="AF36" s="248"/>
      <c r="AG36" s="7682" t="str">
        <f>IF(TITLE_IST_PUB_CHANGE="",IF(TITLE_IST_PUB="","",TITLE_IST_PUB),TITLE_IST_PUB_CHANGE)</f>
        <v>http://pravo.stavregion.ru/</v>
      </c>
      <c r="AH36" s="7682"/>
      <c r="AI36" s="7682"/>
      <c r="AJ36" s="7682"/>
      <c r="AK36" s="7682"/>
      <c r="AL36" s="7682"/>
      <c r="AM36" s="7682"/>
      <c r="AN36" s="7682"/>
      <c r="AO36" s="248"/>
      <c r="AP36" s="248"/>
      <c r="AQ36" s="196"/>
      <c r="AR36" s="292"/>
      <c r="AS36" s="292"/>
      <c r="AT36" s="292"/>
      <c r="AU36" s="292"/>
      <c r="AV36" s="292"/>
    </row>
    <row r="37" spans="1:48" ht="14.25" hidden="1" customHeight="1">
      <c r="R37" s="300"/>
      <c r="S37" s="300"/>
      <c r="T37" s="300"/>
      <c r="U37" s="1200"/>
      <c r="V37" s="286"/>
      <c r="W37" s="286"/>
      <c r="X37" s="242"/>
      <c r="Y37" s="242"/>
      <c r="Z37" s="242"/>
      <c r="AA37" s="242"/>
      <c r="AB37" s="242"/>
      <c r="AC37" s="242"/>
      <c r="AD37" s="242"/>
      <c r="AE37" s="242"/>
      <c r="AF37" s="242"/>
      <c r="AG37" s="242"/>
      <c r="AH37" s="242"/>
      <c r="AI37" s="242"/>
      <c r="AJ37" s="242"/>
      <c r="AK37" s="242"/>
      <c r="AL37" s="242"/>
      <c r="AM37" s="242"/>
      <c r="AN37" s="242"/>
      <c r="AO37" s="242"/>
      <c r="AP37" s="433"/>
    </row>
    <row r="38" spans="1:48" s="1771" customFormat="1" ht="18.75" hidden="1" customHeight="1">
      <c r="A38" s="1163"/>
      <c r="B38" s="1163"/>
      <c r="C38" s="1163"/>
      <c r="D38" s="1163"/>
      <c r="E38" s="1163"/>
      <c r="F38" s="1163"/>
      <c r="G38" s="1163"/>
      <c r="H38" s="1163"/>
      <c r="I38" s="1163"/>
      <c r="J38" s="1163"/>
      <c r="K38" s="1163"/>
      <c r="L38" s="1163"/>
      <c r="M38" s="1301"/>
      <c r="N38" s="1163"/>
      <c r="O38" s="1163"/>
      <c r="P38" s="1163"/>
      <c r="U38" s="7681" t="s">
        <v>599</v>
      </c>
      <c r="V38" s="7681"/>
      <c r="W38" s="1293"/>
      <c r="X38" s="7691">
        <f>IF(TITLE_DATE_PR_CHANGE="",IF(TITLE_DATE_PR="","",TITLE_DATE_PR),TITLE_DATE_PR_CHANGE)</f>
        <v>45278</v>
      </c>
      <c r="Y38" s="7691"/>
      <c r="Z38" s="7691"/>
      <c r="AA38" s="7691"/>
      <c r="AB38" s="7691"/>
      <c r="AC38" s="7691"/>
      <c r="AD38" s="7691"/>
      <c r="AE38" s="7691"/>
      <c r="AF38" s="248"/>
      <c r="AG38" s="7691">
        <f>IF(TITLE_DATE_PR_CHANGE="",IF(TITLE_DATE_PR="","",TITLE_DATE_PR),TITLE_DATE_PR_CHANGE)</f>
        <v>45278</v>
      </c>
      <c r="AH38" s="7691"/>
      <c r="AI38" s="7691"/>
      <c r="AJ38" s="7691"/>
      <c r="AK38" s="7691"/>
      <c r="AL38" s="7691"/>
      <c r="AM38" s="7691"/>
      <c r="AN38" s="7691"/>
      <c r="AO38" s="248"/>
      <c r="AP38" s="248"/>
      <c r="AQ38" s="196"/>
      <c r="AR38" s="292"/>
      <c r="AS38" s="292"/>
      <c r="AT38" s="292"/>
      <c r="AU38" s="292"/>
      <c r="AV38" s="292"/>
    </row>
    <row r="39" spans="1:48" s="1771" customFormat="1" ht="18.75" hidden="1" customHeight="1">
      <c r="A39" s="1163"/>
      <c r="B39" s="1163"/>
      <c r="C39" s="1163"/>
      <c r="D39" s="1163"/>
      <c r="E39" s="1163"/>
      <c r="F39" s="1163"/>
      <c r="G39" s="1163"/>
      <c r="H39" s="1163"/>
      <c r="I39" s="1163"/>
      <c r="J39" s="1163"/>
      <c r="K39" s="1163"/>
      <c r="L39" s="1163"/>
      <c r="M39" s="1301"/>
      <c r="N39" s="1163"/>
      <c r="O39" s="1163"/>
      <c r="P39" s="1163"/>
      <c r="U39" s="7681" t="s">
        <v>600</v>
      </c>
      <c r="V39" s="7681"/>
      <c r="W39" s="1293"/>
      <c r="X39" s="7682" t="str">
        <f>IF(TITLE_NUMBER_PR_CHANGE="",IF(TITLE_NUMBER_PR="","",TITLE_NUMBER_PR),TITLE_NUMBER_PR_CHANGE)</f>
        <v>79/2</v>
      </c>
      <c r="Y39" s="7682"/>
      <c r="Z39" s="7682"/>
      <c r="AA39" s="7682"/>
      <c r="AB39" s="7682"/>
      <c r="AC39" s="7682"/>
      <c r="AD39" s="7682"/>
      <c r="AE39" s="7682"/>
      <c r="AF39" s="248"/>
      <c r="AG39" s="7682" t="str">
        <f>IF(TITLE_NUMBER_PR_CHANGE="",IF(TITLE_NUMBER_PR="","",TITLE_NUMBER_PR),TITLE_NUMBER_PR_CHANGE)</f>
        <v>79/2</v>
      </c>
      <c r="AH39" s="7682"/>
      <c r="AI39" s="7682"/>
      <c r="AJ39" s="7682"/>
      <c r="AK39" s="7682"/>
      <c r="AL39" s="7682"/>
      <c r="AM39" s="7682"/>
      <c r="AN39" s="7682"/>
      <c r="AO39" s="248"/>
      <c r="AP39" s="248"/>
      <c r="AQ39" s="196"/>
      <c r="AR39" s="292"/>
      <c r="AS39" s="292"/>
      <c r="AT39" s="292"/>
      <c r="AU39" s="292"/>
      <c r="AV39" s="292"/>
    </row>
    <row r="40" spans="1:48" s="1771" customFormat="1" ht="0" hidden="1" customHeight="1">
      <c r="A40" s="1163"/>
      <c r="B40" s="1163"/>
      <c r="C40" s="1163"/>
      <c r="D40" s="1163"/>
      <c r="E40" s="1163"/>
      <c r="F40" s="1163"/>
      <c r="G40" s="1163"/>
      <c r="H40" s="1163"/>
      <c r="I40" s="1163"/>
      <c r="J40" s="1163"/>
      <c r="K40" s="1163"/>
      <c r="L40" s="1163"/>
      <c r="M40" s="1301"/>
      <c r="N40" s="1163"/>
      <c r="O40" s="1163"/>
      <c r="P40" s="1163"/>
      <c r="U40" s="244"/>
      <c r="V40" s="244"/>
      <c r="W40" s="1262"/>
      <c r="X40" s="248"/>
      <c r="Y40" s="248"/>
      <c r="Z40" s="248"/>
      <c r="AA40" s="248"/>
      <c r="AB40" s="248"/>
      <c r="AC40" s="248"/>
      <c r="AD40" s="248"/>
      <c r="AE40" s="248"/>
      <c r="AF40" s="194" t="s">
        <v>601</v>
      </c>
      <c r="AG40" s="248"/>
      <c r="AH40" s="248"/>
      <c r="AI40" s="248"/>
      <c r="AJ40" s="248"/>
      <c r="AK40" s="248"/>
      <c r="AL40" s="248"/>
      <c r="AM40" s="248"/>
      <c r="AN40" s="248"/>
      <c r="AO40" s="194" t="s">
        <v>601</v>
      </c>
      <c r="AR40" s="292"/>
      <c r="AS40" s="292"/>
      <c r="AT40" s="292"/>
      <c r="AU40" s="292"/>
      <c r="AV40" s="292"/>
    </row>
    <row r="41" spans="1:48" ht="14.25" customHeight="1">
      <c r="R41" s="300"/>
      <c r="S41" s="300"/>
      <c r="T41" s="300"/>
      <c r="U41" s="1200"/>
      <c r="V41" s="286"/>
      <c r="W41" s="1158"/>
      <c r="X41" s="7683"/>
      <c r="Y41" s="7683"/>
      <c r="Z41" s="7683"/>
      <c r="AA41" s="7683"/>
      <c r="AB41" s="7683"/>
      <c r="AC41" s="7683"/>
      <c r="AD41" s="7683"/>
      <c r="AE41" s="7683"/>
      <c r="AF41" s="7683"/>
      <c r="AG41" s="7683"/>
      <c r="AH41" s="7683"/>
      <c r="AI41" s="7683"/>
      <c r="AJ41" s="7683"/>
      <c r="AK41" s="7683"/>
      <c r="AL41" s="7683"/>
      <c r="AM41" s="7683"/>
      <c r="AN41" s="7683"/>
      <c r="AO41" s="7683"/>
    </row>
    <row r="42" spans="1:48" ht="14.25" customHeight="1">
      <c r="R42" s="300"/>
      <c r="S42" s="300"/>
      <c r="T42" s="300"/>
      <c r="U42" s="7559" t="s">
        <v>474</v>
      </c>
      <c r="V42" s="7559"/>
      <c r="W42" s="7559"/>
      <c r="X42" s="7559"/>
      <c r="Y42" s="7559"/>
      <c r="Z42" s="7559"/>
      <c r="AA42" s="7559"/>
      <c r="AB42" s="7559"/>
      <c r="AC42" s="7559"/>
      <c r="AD42" s="7559"/>
      <c r="AE42" s="7559"/>
      <c r="AF42" s="7559"/>
      <c r="AG42" s="7559"/>
      <c r="AH42" s="7559"/>
      <c r="AI42" s="7559"/>
      <c r="AJ42" s="7559"/>
      <c r="AK42" s="7559"/>
      <c r="AL42" s="7559"/>
      <c r="AM42" s="7559"/>
      <c r="AN42" s="7559"/>
      <c r="AO42" s="7559"/>
      <c r="AP42" s="7559"/>
      <c r="AQ42" s="7559" t="s">
        <v>475</v>
      </c>
    </row>
    <row r="43" spans="1:48" ht="14.25" customHeight="1">
      <c r="R43" s="300"/>
      <c r="S43" s="300"/>
      <c r="T43" s="300"/>
      <c r="U43" s="7697" t="s">
        <v>86</v>
      </c>
      <c r="V43" s="7649" t="s">
        <v>602</v>
      </c>
      <c r="W43" s="215"/>
      <c r="X43" s="7698" t="s">
        <v>603</v>
      </c>
      <c r="Y43" s="7713"/>
      <c r="Z43" s="7713"/>
      <c r="AA43" s="7713"/>
      <c r="AB43" s="7713"/>
      <c r="AC43" s="7699"/>
      <c r="AD43" s="7699"/>
      <c r="AE43" s="7700"/>
      <c r="AF43" s="7701" t="s">
        <v>604</v>
      </c>
      <c r="AG43" s="7698" t="s">
        <v>603</v>
      </c>
      <c r="AH43" s="7713"/>
      <c r="AI43" s="7713"/>
      <c r="AJ43" s="7713"/>
      <c r="AK43" s="7713"/>
      <c r="AL43" s="7699"/>
      <c r="AM43" s="7699"/>
      <c r="AN43" s="7700"/>
      <c r="AO43" s="7701" t="s">
        <v>605</v>
      </c>
      <c r="AP43" s="7704" t="s">
        <v>606</v>
      </c>
      <c r="AQ43" s="7559"/>
    </row>
    <row r="44" spans="1:48" ht="33.75" customHeight="1">
      <c r="R44" s="300"/>
      <c r="S44" s="300"/>
      <c r="T44" s="300"/>
      <c r="U44" s="7697"/>
      <c r="V44" s="7649"/>
      <c r="W44" s="942"/>
      <c r="X44" s="7634" t="s">
        <v>627</v>
      </c>
      <c r="Y44" s="7559" t="s">
        <v>628</v>
      </c>
      <c r="Z44" s="7559"/>
      <c r="AA44" s="7559"/>
      <c r="AB44" s="7559"/>
      <c r="AC44" s="7634" t="s">
        <v>610</v>
      </c>
      <c r="AD44" s="7722"/>
      <c r="AE44" s="7635"/>
      <c r="AF44" s="7702"/>
      <c r="AG44" s="7634" t="s">
        <v>627</v>
      </c>
      <c r="AH44" s="7559" t="s">
        <v>628</v>
      </c>
      <c r="AI44" s="7559"/>
      <c r="AJ44" s="7559"/>
      <c r="AK44" s="7559"/>
      <c r="AL44" s="7634" t="s">
        <v>610</v>
      </c>
      <c r="AM44" s="7722"/>
      <c r="AN44" s="7635"/>
      <c r="AO44" s="7702"/>
      <c r="AP44" s="7705"/>
      <c r="AQ44" s="7559"/>
    </row>
    <row r="45" spans="1:48" ht="14.25" customHeight="1">
      <c r="R45" s="300"/>
      <c r="S45" s="300"/>
      <c r="T45" s="300"/>
      <c r="U45" s="7697"/>
      <c r="V45" s="7649"/>
      <c r="W45" s="942"/>
      <c r="X45" s="7636"/>
      <c r="Y45" s="7662" t="s">
        <v>629</v>
      </c>
      <c r="Z45" s="7657" t="s">
        <v>630</v>
      </c>
      <c r="AA45" s="7658"/>
      <c r="AB45" s="7659"/>
      <c r="AC45" s="7639"/>
      <c r="AD45" s="7723"/>
      <c r="AE45" s="7640"/>
      <c r="AF45" s="7702"/>
      <c r="AG45" s="7636"/>
      <c r="AH45" s="7662" t="s">
        <v>629</v>
      </c>
      <c r="AI45" s="7657" t="s">
        <v>630</v>
      </c>
      <c r="AJ45" s="7658"/>
      <c r="AK45" s="7659"/>
      <c r="AL45" s="7639"/>
      <c r="AM45" s="7723"/>
      <c r="AN45" s="7640"/>
      <c r="AO45" s="7702"/>
      <c r="AP45" s="7705"/>
      <c r="AQ45" s="7559"/>
    </row>
    <row r="46" spans="1:48" ht="25.5" customHeight="1">
      <c r="R46" s="300"/>
      <c r="S46" s="300"/>
      <c r="T46" s="300"/>
      <c r="U46" s="7697"/>
      <c r="V46" s="7649"/>
      <c r="W46" s="942"/>
      <c r="X46" s="7636"/>
      <c r="Y46" s="7724"/>
      <c r="Z46" s="7662" t="s">
        <v>631</v>
      </c>
      <c r="AA46" s="7657" t="s">
        <v>632</v>
      </c>
      <c r="AB46" s="7659"/>
      <c r="AC46" s="7662" t="s">
        <v>620</v>
      </c>
      <c r="AD46" s="7664" t="s">
        <v>621</v>
      </c>
      <c r="AE46" s="7666"/>
      <c r="AF46" s="7702"/>
      <c r="AG46" s="7636"/>
      <c r="AH46" s="7724"/>
      <c r="AI46" s="7662" t="s">
        <v>631</v>
      </c>
      <c r="AJ46" s="7657" t="s">
        <v>632</v>
      </c>
      <c r="AK46" s="7659"/>
      <c r="AL46" s="7662" t="s">
        <v>620</v>
      </c>
      <c r="AM46" s="7664" t="s">
        <v>621</v>
      </c>
      <c r="AN46" s="7666"/>
      <c r="AO46" s="7702"/>
      <c r="AP46" s="7705"/>
      <c r="AQ46" s="7559"/>
    </row>
    <row r="47" spans="1:48" ht="62.25" customHeight="1">
      <c r="A47" s="1184"/>
      <c r="B47" s="1184" t="s">
        <v>249</v>
      </c>
      <c r="C47" s="1184" t="s">
        <v>250</v>
      </c>
      <c r="D47" s="1184" t="s">
        <v>251</v>
      </c>
      <c r="E47" s="1233" t="s">
        <v>611</v>
      </c>
      <c r="F47" s="1233" t="s">
        <v>612</v>
      </c>
      <c r="G47" s="1233" t="s">
        <v>613</v>
      </c>
      <c r="H47" s="1233" t="s">
        <v>614</v>
      </c>
      <c r="I47" s="1233" t="s">
        <v>615</v>
      </c>
      <c r="J47" s="1233" t="s">
        <v>616</v>
      </c>
      <c r="K47" s="1233" t="s">
        <v>617</v>
      </c>
      <c r="L47" s="1233" t="s">
        <v>633</v>
      </c>
      <c r="M47" s="1233" t="s">
        <v>592</v>
      </c>
      <c r="R47" s="300"/>
      <c r="S47" s="300"/>
      <c r="T47" s="300"/>
      <c r="U47" s="7697"/>
      <c r="V47" s="7649"/>
      <c r="W47" s="216"/>
      <c r="X47" s="7639"/>
      <c r="Y47" s="7663"/>
      <c r="Z47" s="7663"/>
      <c r="AA47" s="1133" t="s">
        <v>634</v>
      </c>
      <c r="AB47" s="1133" t="s">
        <v>635</v>
      </c>
      <c r="AC47" s="7663"/>
      <c r="AD47" s="7665"/>
      <c r="AE47" s="7667"/>
      <c r="AF47" s="7703"/>
      <c r="AG47" s="7639"/>
      <c r="AH47" s="7663"/>
      <c r="AI47" s="7663"/>
      <c r="AJ47" s="1133" t="s">
        <v>634</v>
      </c>
      <c r="AK47" s="1133" t="s">
        <v>635</v>
      </c>
      <c r="AL47" s="7663"/>
      <c r="AM47" s="7665"/>
      <c r="AN47" s="7667"/>
      <c r="AO47" s="7703"/>
      <c r="AP47" s="7706"/>
      <c r="AQ47" s="7559"/>
    </row>
    <row r="48" spans="1:48" s="1561" customFormat="1" ht="11.25" hidden="1" customHeight="1">
      <c r="A48" s="1184"/>
      <c r="B48" s="1184"/>
      <c r="C48" s="1184"/>
      <c r="D48" s="1184"/>
      <c r="E48" s="1184"/>
      <c r="F48" s="1184"/>
      <c r="G48" s="1184"/>
      <c r="H48" s="1184"/>
      <c r="I48" s="1184"/>
      <c r="J48" s="1184"/>
      <c r="K48" s="1184"/>
      <c r="L48" s="1184"/>
      <c r="M48" s="1233"/>
      <c r="N48" s="1250"/>
      <c r="O48" s="1250"/>
      <c r="P48" s="1250"/>
      <c r="Q48" s="1160"/>
      <c r="R48" s="1161"/>
      <c r="S48" s="1176">
        <v>1</v>
      </c>
      <c r="T48" s="1176"/>
      <c r="U48" s="1202" t="s">
        <v>97</v>
      </c>
      <c r="V48" s="1177" t="s">
        <v>100</v>
      </c>
      <c r="W48" s="1159" t="str">
        <f ca="1">OFFSET(W48,0,-1)</f>
        <v>2</v>
      </c>
      <c r="X48" s="1257">
        <f ca="1">OFFSET(X48,0,-1)+1</f>
        <v>3</v>
      </c>
      <c r="Y48" s="1263"/>
      <c r="Z48" s="1263"/>
      <c r="AA48" s="1263">
        <f ca="1">OFFSET(AA48,0,-1)+1</f>
        <v>1</v>
      </c>
      <c r="AB48" s="1263">
        <f ca="1">OFFSET(AB48,0,-1)+1</f>
        <v>2</v>
      </c>
      <c r="AC48" s="1257">
        <f ca="1">OFFSET(AC48,0,-1)+1</f>
        <v>3</v>
      </c>
      <c r="AD48" s="7696">
        <f ca="1">OFFSET(AD48,0,-1)+1</f>
        <v>4</v>
      </c>
      <c r="AE48" s="7696"/>
      <c r="AF48" s="1257">
        <f ca="1">OFFSET(AF48,0,-2)+1</f>
        <v>5</v>
      </c>
      <c r="AG48" s="1257">
        <f ca="1">OFFSET(AG48,0,-1)+1</f>
        <v>6</v>
      </c>
      <c r="AH48" s="1257"/>
      <c r="AI48" s="1257"/>
      <c r="AJ48" s="1257">
        <f ca="1">OFFSET(AJ48,0,-1)+1</f>
        <v>1</v>
      </c>
      <c r="AK48" s="1257">
        <f ca="1">OFFSET(AK48,0,-1)+1</f>
        <v>2</v>
      </c>
      <c r="AL48" s="1257">
        <f ca="1">OFFSET(AL48,0,-1)+1</f>
        <v>3</v>
      </c>
      <c r="AM48" s="7696">
        <f ca="1">OFFSET(AM48,0,-1)+1</f>
        <v>4</v>
      </c>
      <c r="AN48" s="7696"/>
      <c r="AO48" s="1257">
        <f ca="1">OFFSET(AO48,0,-2)+1</f>
        <v>5</v>
      </c>
      <c r="AP48" s="1159">
        <f ca="1">OFFSET(AP48,0,-1)</f>
        <v>5</v>
      </c>
      <c r="AQ48" s="1257">
        <f ca="1">OFFSET(AQ48,0,-1)+1</f>
        <v>6</v>
      </c>
      <c r="AR48" s="435"/>
      <c r="AS48" s="435"/>
      <c r="AT48" s="435"/>
      <c r="AU48" s="435"/>
      <c r="AV48" s="435"/>
    </row>
    <row r="49" spans="1:48" ht="21" customHeight="1">
      <c r="A49" s="1191" t="s">
        <v>282</v>
      </c>
      <c r="B49" s="1191"/>
      <c r="C49" s="1191"/>
      <c r="D49" s="1191"/>
      <c r="E49" s="7719">
        <v>1</v>
      </c>
      <c r="F49" s="1191"/>
      <c r="G49" s="1191"/>
      <c r="H49" s="1191"/>
      <c r="I49" s="1191"/>
      <c r="J49" s="1191"/>
      <c r="K49" s="1191"/>
      <c r="L49" s="1191"/>
      <c r="M49" s="1233"/>
      <c r="N49" s="606"/>
      <c r="O49" s="606"/>
      <c r="P49" s="606"/>
      <c r="Q49" s="282"/>
      <c r="R49" s="281"/>
      <c r="S49" s="281"/>
      <c r="T49" s="276"/>
      <c r="U49" s="1258">
        <f>INDEX(PT_DIFFERENTIATION_NUM_NTAR,MATCH(A49,PT_DIFFERENTIATION_NTAR_ID,0))</f>
        <v>0</v>
      </c>
      <c r="V49" s="212" t="s">
        <v>237</v>
      </c>
      <c r="W49" s="214"/>
      <c r="X49" s="7675"/>
      <c r="Y49" s="7676"/>
      <c r="Z49" s="7676"/>
      <c r="AA49" s="7676"/>
      <c r="AB49" s="7676"/>
      <c r="AC49" s="7676"/>
      <c r="AD49" s="7676"/>
      <c r="AE49" s="7676"/>
      <c r="AF49" s="7677"/>
      <c r="AG49" s="7675" t="str">
        <f>INDEX(PT_DIFFERENTIATION_NTAR,MATCH(A49,PT_DIFFERENTIATION_NTAR_ID,0))</f>
        <v/>
      </c>
      <c r="AH49" s="7676"/>
      <c r="AI49" s="7676"/>
      <c r="AJ49" s="7676"/>
      <c r="AK49" s="7676"/>
      <c r="AL49" s="7676"/>
      <c r="AM49" s="7676"/>
      <c r="AN49" s="7676"/>
      <c r="AO49" s="7676"/>
      <c r="AP49" s="7677"/>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4"/>
      <c r="AT49" s="424" t="str">
        <f t="shared" ref="AT49:AT65" si="2">IF(V49="","",V49)</f>
        <v>Наименование тарифа</v>
      </c>
      <c r="AU49" s="424"/>
      <c r="AV49" s="424"/>
    </row>
    <row r="50" spans="1:48" ht="21" customHeight="1">
      <c r="A50" s="1191" t="s">
        <v>282</v>
      </c>
      <c r="B50" s="1191" t="s">
        <v>283</v>
      </c>
      <c r="C50" s="1191"/>
      <c r="D50" s="1191"/>
      <c r="E50" s="7720"/>
      <c r="F50" s="7719">
        <v>1</v>
      </c>
      <c r="G50" s="1191"/>
      <c r="H50" s="1191"/>
      <c r="I50" s="1191"/>
      <c r="J50" s="1191"/>
      <c r="K50" s="1191"/>
      <c r="L50" s="1191"/>
      <c r="M50" s="1233"/>
      <c r="N50" s="606"/>
      <c r="O50" s="606"/>
      <c r="P50" s="606"/>
      <c r="Q50" s="1254"/>
      <c r="R50" s="273"/>
      <c r="S50" s="433"/>
      <c r="T50" s="274"/>
      <c r="U50" s="1258" t="str">
        <f>INDEX(PT_DIFFERENTIATION_NUM_TER,MATCH(B50,PT_DIFFERENTIATION_TER_ID,0))</f>
        <v>.</v>
      </c>
      <c r="V50" s="224" t="s">
        <v>573</v>
      </c>
      <c r="W50" s="214"/>
      <c r="X50" s="7675"/>
      <c r="Y50" s="7676"/>
      <c r="Z50" s="7676"/>
      <c r="AA50" s="7676"/>
      <c r="AB50" s="7676"/>
      <c r="AC50" s="7676"/>
      <c r="AD50" s="7676"/>
      <c r="AE50" s="7676"/>
      <c r="AF50" s="7677"/>
      <c r="AG50" s="7675" t="str">
        <f>INDEX(PT_DIFFERENTIATION_TER,MATCH(B50,PT_DIFFERENTIATION_TER_ID,0))</f>
        <v/>
      </c>
      <c r="AH50" s="7676"/>
      <c r="AI50" s="7676"/>
      <c r="AJ50" s="7676"/>
      <c r="AK50" s="7676"/>
      <c r="AL50" s="7676"/>
      <c r="AM50" s="7676"/>
      <c r="AN50" s="7676"/>
      <c r="AO50" s="7676"/>
      <c r="AP50" s="7677"/>
      <c r="AQ50" s="1182" t="s">
        <v>574</v>
      </c>
      <c r="AS50" s="424"/>
      <c r="AT50" s="424" t="str">
        <f t="shared" si="2"/>
        <v>Территория действия тарифа</v>
      </c>
      <c r="AU50" s="424"/>
      <c r="AV50" s="424"/>
    </row>
    <row r="51" spans="1:48" ht="22.5" customHeight="1">
      <c r="A51" s="1191" t="s">
        <v>282</v>
      </c>
      <c r="B51" s="1191" t="s">
        <v>283</v>
      </c>
      <c r="C51" s="1191" t="s">
        <v>284</v>
      </c>
      <c r="D51" s="1191"/>
      <c r="E51" s="7720"/>
      <c r="F51" s="7720"/>
      <c r="G51" s="7719">
        <v>1</v>
      </c>
      <c r="H51" s="1191"/>
      <c r="I51" s="1191"/>
      <c r="J51" s="1191"/>
      <c r="K51" s="1191"/>
      <c r="L51" s="1191"/>
      <c r="M51" s="1233"/>
      <c r="N51" s="606"/>
      <c r="O51" s="606"/>
      <c r="P51" s="606"/>
      <c r="Q51" s="275"/>
      <c r="R51" s="273"/>
      <c r="S51" s="433"/>
      <c r="T51" s="274"/>
      <c r="U51" s="1258" t="str">
        <f>INDEX(PT_DIFFERENTIATION_NUM_CS,MATCH(C51,PT_DIFFERENTIATION_CS_ID,0))</f>
        <v>..</v>
      </c>
      <c r="V51" s="225" t="s">
        <v>575</v>
      </c>
      <c r="W51" s="214"/>
      <c r="X51" s="7675"/>
      <c r="Y51" s="7676"/>
      <c r="Z51" s="7676"/>
      <c r="AA51" s="7676"/>
      <c r="AB51" s="7676"/>
      <c r="AC51" s="7676"/>
      <c r="AD51" s="7676"/>
      <c r="AE51" s="7676"/>
      <c r="AF51" s="7677"/>
      <c r="AG51" s="7675" t="str">
        <f>INDEX(PT_DIFFERENTIATION_CS,MATCH(C51,PT_DIFFERENTIATION_CS_ID,0))</f>
        <v/>
      </c>
      <c r="AH51" s="7676"/>
      <c r="AI51" s="7676"/>
      <c r="AJ51" s="7676"/>
      <c r="AK51" s="7676"/>
      <c r="AL51" s="7676"/>
      <c r="AM51" s="7676"/>
      <c r="AN51" s="7676"/>
      <c r="AO51" s="7676"/>
      <c r="AP51" s="7677"/>
      <c r="AQ51" s="1182" t="s">
        <v>576</v>
      </c>
      <c r="AS51" s="424"/>
      <c r="AT51" s="424" t="str">
        <f t="shared" si="2"/>
        <v xml:space="preserve">Наименование системы теплоснабжения </v>
      </c>
      <c r="AU51" s="424"/>
      <c r="AV51" s="424"/>
    </row>
    <row r="52" spans="1:48" ht="21" customHeight="1">
      <c r="A52" s="1191" t="s">
        <v>282</v>
      </c>
      <c r="B52" s="1191" t="s">
        <v>283</v>
      </c>
      <c r="C52" s="1191" t="s">
        <v>284</v>
      </c>
      <c r="D52" s="1191" t="s">
        <v>285</v>
      </c>
      <c r="E52" s="7720"/>
      <c r="F52" s="7720"/>
      <c r="G52" s="7720"/>
      <c r="H52" s="7719">
        <v>1</v>
      </c>
      <c r="I52" s="1191"/>
      <c r="J52" s="1191"/>
      <c r="K52" s="1191"/>
      <c r="L52" s="1191"/>
      <c r="M52" s="1233"/>
      <c r="N52" s="606"/>
      <c r="O52" s="606"/>
      <c r="P52" s="606"/>
      <c r="Q52" s="275"/>
      <c r="R52" s="273"/>
      <c r="S52" s="433"/>
      <c r="T52" s="274"/>
      <c r="U52" s="1258" t="str">
        <f>INDEX(PT_DIFFERENTIATION_NUM_IST_TE,MATCH(D52,PT_DIFFERENTIATION_IST_TE_ID,0))</f>
        <v>...</v>
      </c>
      <c r="V52" s="226" t="s">
        <v>577</v>
      </c>
      <c r="W52" s="214"/>
      <c r="X52" s="7675"/>
      <c r="Y52" s="7676"/>
      <c r="Z52" s="7676"/>
      <c r="AA52" s="7676"/>
      <c r="AB52" s="7676"/>
      <c r="AC52" s="7676"/>
      <c r="AD52" s="7676"/>
      <c r="AE52" s="7676"/>
      <c r="AF52" s="7677"/>
      <c r="AG52" s="7675" t="str">
        <f>INDEX(PT_DIFFERENTIATION_IST_TE,MATCH(D52,PT_DIFFERENTIATION_IST_TE_ID,0))</f>
        <v/>
      </c>
      <c r="AH52" s="7676"/>
      <c r="AI52" s="7676"/>
      <c r="AJ52" s="7676"/>
      <c r="AK52" s="7676"/>
      <c r="AL52" s="7676"/>
      <c r="AM52" s="7676"/>
      <c r="AN52" s="7676"/>
      <c r="AO52" s="7676"/>
      <c r="AP52" s="7677"/>
      <c r="AQ52" s="1182" t="s">
        <v>578</v>
      </c>
      <c r="AS52" s="424"/>
      <c r="AT52" s="424" t="str">
        <f t="shared" si="2"/>
        <v xml:space="preserve">Источник тепловой энергии  </v>
      </c>
      <c r="AU52" s="424"/>
      <c r="AV52" s="424"/>
    </row>
    <row r="53" spans="1:48" s="1562" customFormat="1" ht="0" hidden="1" customHeight="1">
      <c r="A53" s="1296" t="s">
        <v>282</v>
      </c>
      <c r="B53" s="1296" t="s">
        <v>283</v>
      </c>
      <c r="C53" s="1296" t="s">
        <v>284</v>
      </c>
      <c r="D53" s="1296" t="s">
        <v>285</v>
      </c>
      <c r="E53" s="7720"/>
      <c r="F53" s="7720"/>
      <c r="G53" s="7720"/>
      <c r="H53" s="7720"/>
      <c r="I53" s="7559" t="str">
        <f>U52&amp;".1"</f>
        <v>....1</v>
      </c>
      <c r="J53" s="1296"/>
      <c r="K53" s="1296"/>
      <c r="L53" s="1296"/>
      <c r="M53" s="1302" t="s">
        <v>579</v>
      </c>
      <c r="N53" s="1160"/>
      <c r="O53" s="1160"/>
      <c r="P53" s="1160"/>
      <c r="Q53" s="7688">
        <v>1</v>
      </c>
      <c r="R53" s="1253"/>
      <c r="S53" s="1253"/>
      <c r="T53" s="277"/>
      <c r="U53" s="953"/>
      <c r="V53" s="1304"/>
      <c r="W53" s="1305"/>
      <c r="X53" s="7716"/>
      <c r="Y53" s="7717"/>
      <c r="Z53" s="7717"/>
      <c r="AA53" s="7717"/>
      <c r="AB53" s="7717"/>
      <c r="AC53" s="7717"/>
      <c r="AD53" s="7717"/>
      <c r="AE53" s="7717"/>
      <c r="AF53" s="7718"/>
      <c r="AG53" s="7716"/>
      <c r="AH53" s="7717"/>
      <c r="AI53" s="7717"/>
      <c r="AJ53" s="7717"/>
      <c r="AK53" s="7717"/>
      <c r="AL53" s="7717"/>
      <c r="AM53" s="7717"/>
      <c r="AN53" s="7717"/>
      <c r="AO53" s="7717"/>
      <c r="AP53" s="7718"/>
      <c r="AQ53" s="1306"/>
      <c r="AS53" s="424"/>
      <c r="AT53" s="424" t="str">
        <f t="shared" si="2"/>
        <v/>
      </c>
      <c r="AU53" s="424"/>
      <c r="AV53" s="424"/>
    </row>
    <row r="54" spans="1:48" ht="21" customHeight="1">
      <c r="A54" s="1191" t="s">
        <v>282</v>
      </c>
      <c r="B54" s="1191" t="s">
        <v>283</v>
      </c>
      <c r="C54" s="1191" t="s">
        <v>284</v>
      </c>
      <c r="D54" s="1191" t="s">
        <v>285</v>
      </c>
      <c r="E54" s="7720"/>
      <c r="F54" s="7720"/>
      <c r="G54" s="7720"/>
      <c r="H54" s="7720"/>
      <c r="I54" s="7530"/>
      <c r="J54" s="7559" t="str">
        <f>I53&amp;".1"</f>
        <v>....1.1</v>
      </c>
      <c r="K54" s="1191"/>
      <c r="L54" s="1191"/>
      <c r="M54" s="1233" t="s">
        <v>582</v>
      </c>
      <c r="Q54" s="7688"/>
      <c r="R54" s="7688">
        <v>1</v>
      </c>
      <c r="S54" s="442"/>
      <c r="T54" s="278"/>
      <c r="U54" s="1258" t="str">
        <f>$J54</f>
        <v>....1.1</v>
      </c>
      <c r="V54" s="201" t="s">
        <v>583</v>
      </c>
      <c r="W54" s="214"/>
      <c r="X54" s="7678"/>
      <c r="Y54" s="7679"/>
      <c r="Z54" s="7679"/>
      <c r="AA54" s="7679"/>
      <c r="AB54" s="7679"/>
      <c r="AC54" s="7671"/>
      <c r="AD54" s="7671"/>
      <c r="AE54" s="7671"/>
      <c r="AF54" s="7721"/>
      <c r="AG54" s="7678"/>
      <c r="AH54" s="7679"/>
      <c r="AI54" s="7679"/>
      <c r="AJ54" s="7679"/>
      <c r="AK54" s="7679"/>
      <c r="AL54" s="7679"/>
      <c r="AM54" s="7679"/>
      <c r="AN54" s="7679"/>
      <c r="AO54" s="7679"/>
      <c r="AP54" s="7680"/>
      <c r="AQ54" s="1182" t="s">
        <v>584</v>
      </c>
      <c r="AS54" s="424"/>
      <c r="AT54" s="424" t="str">
        <f t="shared" si="2"/>
        <v>Группа потребителей</v>
      </c>
      <c r="AU54" s="424"/>
      <c r="AV54" s="424"/>
    </row>
    <row r="55" spans="1:48" ht="21" customHeight="1">
      <c r="A55" s="1191" t="s">
        <v>282</v>
      </c>
      <c r="B55" s="1191" t="s">
        <v>283</v>
      </c>
      <c r="C55" s="1191" t="s">
        <v>284</v>
      </c>
      <c r="D55" s="1191" t="s">
        <v>285</v>
      </c>
      <c r="E55" s="7720"/>
      <c r="F55" s="7720"/>
      <c r="G55" s="7720"/>
      <c r="H55" s="7720"/>
      <c r="I55" s="7530"/>
      <c r="J55" s="7530"/>
      <c r="K55" s="7559" t="str">
        <f>J54&amp;".1"</f>
        <v>....1.1.1</v>
      </c>
      <c r="L55" s="61"/>
      <c r="M55" s="1233" t="s">
        <v>585</v>
      </c>
      <c r="Q55" s="7688"/>
      <c r="R55" s="7688"/>
      <c r="S55" s="442">
        <v>1</v>
      </c>
      <c r="T55" s="278"/>
      <c r="U55" s="1258" t="str">
        <f>$K55</f>
        <v>....1.1.1</v>
      </c>
      <c r="V55" s="1269"/>
      <c r="W55" s="214"/>
      <c r="X55" s="666"/>
      <c r="Y55" s="666"/>
      <c r="Z55" s="666"/>
      <c r="AA55" s="666"/>
      <c r="AB55" s="1326"/>
      <c r="AC55" s="7692"/>
      <c r="AD55" s="7540" t="s">
        <v>60</v>
      </c>
      <c r="AE55" s="7692"/>
      <c r="AF55" s="7540" t="s">
        <v>60</v>
      </c>
      <c r="AG55" s="1328"/>
      <c r="AH55" s="666"/>
      <c r="AI55" s="666"/>
      <c r="AJ55" s="666"/>
      <c r="AK55" s="1181"/>
      <c r="AL55" s="7692"/>
      <c r="AM55" s="7540" t="s">
        <v>60</v>
      </c>
      <c r="AN55" s="7692"/>
      <c r="AO55" s="7540" t="s">
        <v>60</v>
      </c>
      <c r="AP55" s="1270"/>
      <c r="AQ55" s="1231" t="s">
        <v>624</v>
      </c>
      <c r="AR55" s="435" t="e">
        <f ca="1">STRCHECKDATE(X57:AP57)</f>
        <v>#NAME?</v>
      </c>
      <c r="AS55" s="424"/>
      <c r="AT55" s="424" t="str">
        <f t="shared" si="2"/>
        <v/>
      </c>
      <c r="AU55" s="424"/>
      <c r="AV55" s="424"/>
    </row>
    <row r="56" spans="1:48" ht="11.25" customHeight="1">
      <c r="A56" s="1191" t="s">
        <v>282</v>
      </c>
      <c r="B56" s="1191" t="s">
        <v>283</v>
      </c>
      <c r="C56" s="1191" t="s">
        <v>284</v>
      </c>
      <c r="D56" s="1191" t="s">
        <v>285</v>
      </c>
      <c r="E56" s="7720"/>
      <c r="F56" s="7720"/>
      <c r="G56" s="7720"/>
      <c r="H56" s="7720"/>
      <c r="I56" s="7530"/>
      <c r="J56" s="7530"/>
      <c r="K56" s="7530"/>
      <c r="L56" s="7559" t="str">
        <f>K55&amp;".1"</f>
        <v>....1.1.1.1</v>
      </c>
      <c r="M56" s="1233"/>
      <c r="Q56" s="7688"/>
      <c r="R56" s="7688"/>
      <c r="S56" s="442">
        <v>1</v>
      </c>
      <c r="T56" s="278"/>
      <c r="U56" s="1258" t="str">
        <f>$L56</f>
        <v>....1.1.1.1</v>
      </c>
      <c r="V56" s="1312"/>
      <c r="W56" s="214"/>
      <c r="X56" s="246"/>
      <c r="Y56" s="666"/>
      <c r="Z56" s="666"/>
      <c r="AA56" s="666"/>
      <c r="AB56" s="1326"/>
      <c r="AC56" s="7693"/>
      <c r="AD56" s="7540"/>
      <c r="AE56" s="7693"/>
      <c r="AF56" s="7540"/>
      <c r="AG56" s="1328"/>
      <c r="AH56" s="666"/>
      <c r="AI56" s="666"/>
      <c r="AJ56" s="666"/>
      <c r="AK56" s="1181"/>
      <c r="AL56" s="7693"/>
      <c r="AM56" s="7540"/>
      <c r="AN56" s="7693"/>
      <c r="AO56" s="7540"/>
      <c r="AP56" s="1270"/>
      <c r="AQ56" s="7684" t="s">
        <v>625</v>
      </c>
      <c r="AR56" s="435" t="e">
        <f ca="1">STRCHECKDATE(X58:AP58)</f>
        <v>#NAME?</v>
      </c>
      <c r="AS56" s="424"/>
      <c r="AT56" s="424" t="str">
        <f t="shared" si="2"/>
        <v/>
      </c>
      <c r="AU56" s="424"/>
      <c r="AV56" s="424"/>
    </row>
    <row r="57" spans="1:48" ht="0" hidden="1" customHeight="1">
      <c r="A57" s="1191" t="s">
        <v>282</v>
      </c>
      <c r="B57" s="1191" t="s">
        <v>283</v>
      </c>
      <c r="C57" s="1191" t="s">
        <v>284</v>
      </c>
      <c r="D57" s="1191" t="s">
        <v>285</v>
      </c>
      <c r="E57" s="7720"/>
      <c r="F57" s="7720"/>
      <c r="G57" s="7720"/>
      <c r="H57" s="7720"/>
      <c r="I57" s="7530"/>
      <c r="J57" s="7530"/>
      <c r="K57" s="7530"/>
      <c r="L57" s="7559"/>
      <c r="M57" s="1233"/>
      <c r="Q57" s="7688"/>
      <c r="R57" s="7688"/>
      <c r="S57" s="442"/>
      <c r="T57" s="278"/>
      <c r="U57" s="1264"/>
      <c r="V57" s="214"/>
      <c r="W57" s="214"/>
      <c r="X57" s="246"/>
      <c r="Y57" s="246"/>
      <c r="Z57" s="246"/>
      <c r="AA57" s="246"/>
      <c r="AB57" s="1327" t="str">
        <f>AC55&amp;"-"&amp;AE55</f>
        <v>-</v>
      </c>
      <c r="AC57" s="7693"/>
      <c r="AD57" s="7540"/>
      <c r="AE57" s="7693"/>
      <c r="AF57" s="7540"/>
      <c r="AG57" s="1303"/>
      <c r="AH57" s="246"/>
      <c r="AI57" s="246"/>
      <c r="AJ57" s="246"/>
      <c r="AK57" s="250" t="str">
        <f>AL55&amp;"-"&amp;AN55</f>
        <v>-</v>
      </c>
      <c r="AL57" s="7693"/>
      <c r="AM57" s="7540"/>
      <c r="AN57" s="7693"/>
      <c r="AO57" s="7540"/>
      <c r="AP57" s="1271"/>
      <c r="AQ57" s="7685"/>
      <c r="AS57" s="424"/>
      <c r="AT57" s="424" t="str">
        <f t="shared" si="2"/>
        <v/>
      </c>
      <c r="AU57" s="424"/>
      <c r="AV57" s="424"/>
    </row>
    <row r="58" spans="1:48" ht="11.25" customHeight="1">
      <c r="A58" s="1191" t="s">
        <v>282</v>
      </c>
      <c r="B58" s="1191" t="s">
        <v>283</v>
      </c>
      <c r="C58" s="1191" t="s">
        <v>284</v>
      </c>
      <c r="D58" s="1191" t="s">
        <v>285</v>
      </c>
      <c r="E58" s="7720"/>
      <c r="F58" s="7720"/>
      <c r="G58" s="7720"/>
      <c r="H58" s="7720"/>
      <c r="I58" s="7530"/>
      <c r="J58" s="7530"/>
      <c r="K58" s="7559"/>
      <c r="L58" s="1191"/>
      <c r="M58" s="1233"/>
      <c r="Q58" s="7688"/>
      <c r="R58" s="7688"/>
      <c r="S58" s="1253"/>
      <c r="T58" s="277"/>
      <c r="U58" s="1203"/>
      <c r="V58" s="203" t="s">
        <v>626</v>
      </c>
      <c r="W58" s="291"/>
      <c r="X58" s="291"/>
      <c r="Y58" s="291"/>
      <c r="Z58" s="291"/>
      <c r="AA58" s="291"/>
      <c r="AB58" s="291"/>
      <c r="AC58" s="7693"/>
      <c r="AD58" s="7540"/>
      <c r="AE58" s="7693"/>
      <c r="AF58" s="7540"/>
      <c r="AG58" s="291"/>
      <c r="AH58" s="291"/>
      <c r="AI58" s="291"/>
      <c r="AJ58" s="291"/>
      <c r="AK58" s="291"/>
      <c r="AL58" s="7693"/>
      <c r="AM58" s="7540"/>
      <c r="AN58" s="7693"/>
      <c r="AO58" s="7540"/>
      <c r="AP58" s="245"/>
      <c r="AQ58" s="7685"/>
      <c r="AS58" s="424"/>
      <c r="AT58" s="424" t="str">
        <f t="shared" si="2"/>
        <v>Добавить наименование поставщика</v>
      </c>
      <c r="AU58" s="424"/>
      <c r="AV58" s="424"/>
    </row>
    <row r="59" spans="1:48" ht="11.25" customHeight="1">
      <c r="A59" s="1191" t="s">
        <v>282</v>
      </c>
      <c r="B59" s="1191" t="s">
        <v>283</v>
      </c>
      <c r="C59" s="1191" t="s">
        <v>284</v>
      </c>
      <c r="D59" s="1191" t="s">
        <v>285</v>
      </c>
      <c r="E59" s="7720"/>
      <c r="F59" s="7720"/>
      <c r="G59" s="7720"/>
      <c r="H59" s="7720"/>
      <c r="I59" s="7530"/>
      <c r="J59" s="7559"/>
      <c r="K59" s="1191"/>
      <c r="L59" s="1191"/>
      <c r="M59" s="1233"/>
      <c r="Q59" s="7688"/>
      <c r="R59" s="7688"/>
      <c r="S59" s="1253"/>
      <c r="T59" s="277"/>
      <c r="U59" s="1203"/>
      <c r="V59" s="202" t="s">
        <v>587</v>
      </c>
      <c r="W59" s="291"/>
      <c r="X59" s="291"/>
      <c r="Y59" s="291"/>
      <c r="Z59" s="291"/>
      <c r="AA59" s="291"/>
      <c r="AB59" s="291"/>
      <c r="AC59" s="1329"/>
      <c r="AD59" s="1329"/>
      <c r="AE59" s="1329"/>
      <c r="AF59" s="1329"/>
      <c r="AG59" s="291"/>
      <c r="AH59" s="291"/>
      <c r="AI59" s="291"/>
      <c r="AJ59" s="291"/>
      <c r="AK59" s="291"/>
      <c r="AL59" s="291"/>
      <c r="AM59" s="291"/>
      <c r="AN59" s="291"/>
      <c r="AO59" s="291"/>
      <c r="AP59" s="245"/>
      <c r="AQ59" s="7686"/>
      <c r="AS59" s="424"/>
      <c r="AT59" s="424" t="str">
        <f t="shared" si="2"/>
        <v>Добавить вид теплоносителя (параметры теплоносителя)</v>
      </c>
      <c r="AU59" s="424"/>
      <c r="AV59" s="424"/>
    </row>
    <row r="60" spans="1:48" ht="11.25" customHeight="1">
      <c r="A60" s="1191" t="s">
        <v>282</v>
      </c>
      <c r="B60" s="1191" t="s">
        <v>283</v>
      </c>
      <c r="C60" s="1191" t="s">
        <v>284</v>
      </c>
      <c r="D60" s="1191" t="s">
        <v>285</v>
      </c>
      <c r="E60" s="7720"/>
      <c r="F60" s="7720"/>
      <c r="G60" s="7720"/>
      <c r="H60" s="7720"/>
      <c r="I60" s="7559"/>
      <c r="J60" s="1191"/>
      <c r="K60" s="1191"/>
      <c r="L60" s="1191"/>
      <c r="M60" s="1233"/>
      <c r="Q60" s="7688"/>
      <c r="R60" s="1253"/>
      <c r="S60" s="1253"/>
      <c r="T60" s="277"/>
      <c r="U60" s="1203"/>
      <c r="V60" s="288" t="s">
        <v>588</v>
      </c>
      <c r="W60" s="291"/>
      <c r="X60" s="291"/>
      <c r="Y60" s="291"/>
      <c r="Z60" s="291"/>
      <c r="AA60" s="291"/>
      <c r="AB60" s="291"/>
      <c r="AC60" s="291"/>
      <c r="AD60" s="291"/>
      <c r="AE60" s="291"/>
      <c r="AF60" s="290"/>
      <c r="AG60" s="291"/>
      <c r="AH60" s="291"/>
      <c r="AI60" s="291"/>
      <c r="AJ60" s="291"/>
      <c r="AK60" s="291"/>
      <c r="AL60" s="291"/>
      <c r="AM60" s="291"/>
      <c r="AN60" s="291"/>
      <c r="AO60" s="290"/>
      <c r="AP60" s="291"/>
      <c r="AQ60" s="217"/>
      <c r="AS60" s="424"/>
      <c r="AT60" s="424" t="str">
        <f t="shared" si="2"/>
        <v>Добавить группу потребителей</v>
      </c>
      <c r="AU60" s="424"/>
      <c r="AV60" s="424"/>
    </row>
    <row r="61" spans="1:48" ht="0" hidden="1" customHeight="1">
      <c r="A61" s="1191" t="s">
        <v>282</v>
      </c>
      <c r="B61" s="1191" t="s">
        <v>283</v>
      </c>
      <c r="C61" s="1191" t="s">
        <v>284</v>
      </c>
      <c r="D61" s="1191" t="s">
        <v>285</v>
      </c>
      <c r="E61" s="7720"/>
      <c r="F61" s="7720"/>
      <c r="G61" s="7720"/>
      <c r="H61" s="7719"/>
      <c r="I61" s="1191"/>
      <c r="J61" s="1191"/>
      <c r="K61" s="1191"/>
      <c r="L61" s="1191"/>
      <c r="M61" s="1233"/>
      <c r="N61" s="606"/>
      <c r="O61" s="606"/>
      <c r="P61" s="433"/>
      <c r="Q61" s="281"/>
      <c r="R61" s="299"/>
      <c r="S61" s="276"/>
      <c r="T61" s="281"/>
      <c r="U61" s="1307"/>
      <c r="V61" s="1308"/>
      <c r="W61" s="1309"/>
      <c r="X61" s="1309"/>
      <c r="Y61" s="1309"/>
      <c r="Z61" s="1309"/>
      <c r="AA61" s="1309"/>
      <c r="AB61" s="1309"/>
      <c r="AC61" s="1309"/>
      <c r="AD61" s="1309"/>
      <c r="AE61" s="1309"/>
      <c r="AF61" s="1309"/>
      <c r="AG61" s="1309"/>
      <c r="AH61" s="1309"/>
      <c r="AI61" s="1309"/>
      <c r="AJ61" s="1309"/>
      <c r="AK61" s="1309"/>
      <c r="AL61" s="1309"/>
      <c r="AM61" s="1309"/>
      <c r="AN61" s="1309"/>
      <c r="AO61" s="1309"/>
      <c r="AP61" s="1309"/>
      <c r="AQ61" s="1310"/>
      <c r="AS61" s="424"/>
      <c r="AT61" s="424" t="str">
        <f t="shared" si="2"/>
        <v/>
      </c>
      <c r="AU61" s="424"/>
      <c r="AV61" s="424"/>
    </row>
    <row r="62" spans="1:48" s="1562" customFormat="1" ht="0" hidden="1" customHeight="1">
      <c r="A62" s="1296" t="s">
        <v>282</v>
      </c>
      <c r="B62" s="1296" t="s">
        <v>283</v>
      </c>
      <c r="C62" s="1296" t="s">
        <v>284</v>
      </c>
      <c r="D62" s="1295"/>
      <c r="E62" s="7720"/>
      <c r="F62" s="7720"/>
      <c r="G62" s="7719"/>
      <c r="H62" s="1295"/>
      <c r="I62" s="1295"/>
      <c r="J62" s="1295"/>
      <c r="K62" s="1295"/>
      <c r="L62" s="1295"/>
      <c r="M62" s="1298"/>
      <c r="N62" s="1299"/>
      <c r="O62" s="1299"/>
      <c r="P62" s="272"/>
      <c r="Q62" s="1239"/>
      <c r="R62" s="1240"/>
      <c r="S62" s="1239"/>
      <c r="T62" s="1239"/>
      <c r="U62" s="1245"/>
      <c r="V62" s="1248" t="s">
        <v>590</v>
      </c>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S62" s="703"/>
      <c r="AT62" s="703" t="str">
        <f t="shared" si="2"/>
        <v>Добавить источник для дифференциации</v>
      </c>
      <c r="AU62" s="703"/>
      <c r="AV62" s="703"/>
    </row>
    <row r="63" spans="1:48" s="1562" customFormat="1" ht="0" hidden="1" customHeight="1">
      <c r="A63" s="1296" t="s">
        <v>282</v>
      </c>
      <c r="B63" s="1296" t="s">
        <v>283</v>
      </c>
      <c r="C63" s="1295"/>
      <c r="D63" s="1295"/>
      <c r="E63" s="7720"/>
      <c r="F63" s="7719"/>
      <c r="G63" s="1295"/>
      <c r="H63" s="1295"/>
      <c r="I63" s="1295"/>
      <c r="J63" s="1295"/>
      <c r="K63" s="1295"/>
      <c r="L63" s="1295"/>
      <c r="M63" s="1298"/>
      <c r="N63" s="1300"/>
      <c r="O63" s="1300"/>
      <c r="P63" s="272"/>
      <c r="Q63" s="1239"/>
      <c r="R63" s="1240"/>
      <c r="S63" s="1239"/>
      <c r="T63" s="1239"/>
      <c r="U63" s="1245"/>
      <c r="V63" s="1248" t="s">
        <v>325</v>
      </c>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S63" s="703"/>
      <c r="AT63" s="703" t="str">
        <f t="shared" si="2"/>
        <v>Добавить централизованную систему для дифференциации</v>
      </c>
      <c r="AU63" s="703"/>
      <c r="AV63" s="703"/>
    </row>
    <row r="64" spans="1:48" s="1562" customFormat="1" ht="0" hidden="1" customHeight="1">
      <c r="A64" s="1296" t="s">
        <v>282</v>
      </c>
      <c r="B64" s="1296"/>
      <c r="C64" s="1296"/>
      <c r="D64" s="1296"/>
      <c r="E64" s="7719"/>
      <c r="F64" s="1296"/>
      <c r="G64" s="1296"/>
      <c r="H64" s="1296"/>
      <c r="I64" s="1296"/>
      <c r="J64" s="1296"/>
      <c r="K64" s="1296"/>
      <c r="L64" s="1296"/>
      <c r="M64" s="1302"/>
      <c r="N64" s="1300"/>
      <c r="O64" s="1300"/>
      <c r="P64" s="272"/>
      <c r="Q64" s="308"/>
      <c r="R64" s="1266"/>
      <c r="S64" s="308"/>
      <c r="T64" s="308"/>
      <c r="U64" s="1245"/>
      <c r="V64" s="1248" t="s">
        <v>326</v>
      </c>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S64" s="424"/>
      <c r="AT64" s="424" t="str">
        <f t="shared" si="2"/>
        <v>Добавить территорию для дифференциации</v>
      </c>
      <c r="AU64" s="424"/>
      <c r="AV64" s="424"/>
    </row>
    <row r="65" spans="1:48" s="1562" customFormat="1" ht="5.25" customHeight="1">
      <c r="A65" s="1295"/>
      <c r="B65" s="1295"/>
      <c r="C65" s="1295"/>
      <c r="D65" s="1295"/>
      <c r="E65" s="1296"/>
      <c r="F65" s="1295"/>
      <c r="G65" s="1295"/>
      <c r="H65" s="1295"/>
      <c r="I65" s="1295"/>
      <c r="J65" s="1295"/>
      <c r="K65" s="1295"/>
      <c r="L65" s="1295"/>
      <c r="M65" s="1298"/>
      <c r="N65" s="1300"/>
      <c r="O65" s="1300"/>
      <c r="P65" s="272"/>
      <c r="Q65" s="1239"/>
      <c r="R65" s="1240"/>
      <c r="S65" s="1239"/>
      <c r="T65" s="1239"/>
      <c r="U65" s="1245"/>
      <c r="V65" s="1248" t="s">
        <v>402</v>
      </c>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S65" s="703"/>
      <c r="AT65" s="703" t="str">
        <f t="shared" si="2"/>
        <v>Добавить наименование тарифа</v>
      </c>
      <c r="AU65" s="703"/>
      <c r="AV65" s="703"/>
    </row>
    <row r="66" spans="1:48" ht="11.25" customHeight="1">
      <c r="N66" s="1060"/>
      <c r="O66" s="1060"/>
      <c r="P66" s="433"/>
      <c r="Q66" s="1060"/>
      <c r="R66" s="1060"/>
      <c r="S66" s="1060"/>
      <c r="T66" s="1060"/>
      <c r="U66" s="1060"/>
      <c r="AR66" s="1060"/>
      <c r="AS66" s="1060"/>
      <c r="AT66" s="1060"/>
      <c r="AU66" s="1060"/>
      <c r="AV66" s="1060"/>
    </row>
    <row r="67" spans="1:48" ht="33.75" customHeight="1">
      <c r="P67" s="433"/>
      <c r="U67" s="1169"/>
      <c r="V67" s="7709"/>
      <c r="W67" s="7709"/>
      <c r="X67" s="7709"/>
      <c r="Y67" s="7709"/>
      <c r="Z67" s="7709"/>
      <c r="AA67" s="7709"/>
      <c r="AB67" s="7709"/>
      <c r="AC67" s="7709"/>
      <c r="AD67" s="7709"/>
      <c r="AE67" s="7709"/>
      <c r="AF67" s="7709"/>
      <c r="AG67" s="7709"/>
      <c r="AH67" s="7709"/>
      <c r="AI67" s="7709"/>
      <c r="AJ67" s="7709"/>
      <c r="AK67" s="7709"/>
      <c r="AL67" s="7709"/>
      <c r="AM67" s="7709"/>
      <c r="AN67" s="7709"/>
      <c r="AO67" s="7709"/>
      <c r="AP67" s="7709"/>
      <c r="AQ67" s="7709"/>
    </row>
    <row r="68" spans="1:48" ht="19.5" customHeight="1">
      <c r="P68" s="433"/>
      <c r="V68" s="7709"/>
      <c r="W68" s="7709"/>
      <c r="X68" s="7709"/>
      <c r="Y68" s="7709"/>
      <c r="Z68" s="7709"/>
      <c r="AA68" s="7709"/>
      <c r="AB68" s="7709"/>
      <c r="AC68" s="7709"/>
      <c r="AD68" s="7709"/>
      <c r="AE68" s="7709"/>
      <c r="AF68" s="7709"/>
      <c r="AG68" s="7709"/>
      <c r="AH68" s="7709"/>
      <c r="AI68" s="7709"/>
      <c r="AJ68" s="7709"/>
      <c r="AK68" s="7709"/>
      <c r="AL68" s="7709"/>
      <c r="AM68" s="7709"/>
      <c r="AN68" s="7709"/>
      <c r="AO68" s="7709"/>
      <c r="AP68" s="7709"/>
      <c r="AQ68" s="7709"/>
    </row>
    <row r="69" spans="1:48" ht="14.25" customHeight="1">
      <c r="P69" s="433"/>
    </row>
    <row r="70" spans="1:48" ht="27" customHeight="1">
      <c r="P70" s="433"/>
      <c r="V70" s="7709"/>
      <c r="W70" s="7709"/>
      <c r="X70" s="7709"/>
      <c r="Y70" s="7709"/>
      <c r="Z70" s="7709"/>
      <c r="AA70" s="7709"/>
      <c r="AB70" s="7709"/>
      <c r="AC70" s="7709"/>
      <c r="AD70" s="7709"/>
      <c r="AE70" s="7709"/>
      <c r="AF70" s="7709"/>
      <c r="AG70" s="7709"/>
      <c r="AH70" s="7709"/>
      <c r="AI70" s="7709"/>
      <c r="AJ70" s="7709"/>
      <c r="AK70" s="7709"/>
      <c r="AL70" s="7709"/>
      <c r="AM70" s="7709"/>
      <c r="AN70" s="7709"/>
      <c r="AO70" s="7709"/>
      <c r="AP70" s="7709"/>
      <c r="AQ70" s="7709"/>
    </row>
    <row r="71" spans="1:48" ht="18" customHeight="1">
      <c r="P71" s="433"/>
      <c r="V71" s="7709"/>
      <c r="W71" s="7709"/>
      <c r="X71" s="7709"/>
      <c r="Y71" s="7709"/>
      <c r="Z71" s="7709"/>
      <c r="AA71" s="7709"/>
      <c r="AB71" s="7709"/>
      <c r="AC71" s="7709"/>
      <c r="AD71" s="7709"/>
      <c r="AE71" s="7709"/>
      <c r="AF71" s="7709"/>
      <c r="AG71" s="7709"/>
      <c r="AH71" s="7709"/>
      <c r="AI71" s="7709"/>
      <c r="AJ71" s="7709"/>
      <c r="AK71" s="7709"/>
      <c r="AL71" s="7709"/>
      <c r="AM71" s="7709"/>
      <c r="AN71" s="7709"/>
      <c r="AO71" s="7709"/>
      <c r="AP71" s="7709"/>
      <c r="AQ71" s="7709"/>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5"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20" customWidth="1"/>
    <col min="20" max="20" width="32" style="1555" customWidth="1"/>
    <col min="21" max="21" width="0.140625" style="1555" customWidth="1"/>
    <col min="22" max="23" width="21.7109375" style="1555" hidden="1" customWidth="1"/>
    <col min="24" max="24" width="11.7109375" style="1555" hidden="1" customWidth="1"/>
    <col min="25" max="25" width="3.7109375" style="1555" hidden="1" customWidth="1"/>
    <col min="26" max="26" width="11.7109375" style="1555" hidden="1" customWidth="1"/>
    <col min="27" max="27" width="8.5703125" style="1555" hidden="1" customWidth="1"/>
    <col min="28" max="28" width="5.42578125" style="1555" customWidth="1"/>
    <col min="29" max="30" width="3.7109375" style="1555" customWidth="1"/>
    <col min="31" max="31" width="24.7109375" style="1555" customWidth="1"/>
    <col min="32" max="34" width="3.7109375" style="1555" customWidth="1"/>
    <col min="35" max="35" width="24.7109375" style="1555" customWidth="1"/>
    <col min="36" max="38" width="3.7109375" style="1555" customWidth="1"/>
    <col min="39" max="39" width="18.85546875" style="1555" customWidth="1"/>
    <col min="40" max="41" width="21.7109375" style="1555" customWidth="1"/>
    <col min="42" max="42" width="11.7109375" style="1555" customWidth="1"/>
    <col min="43" max="43" width="3.7109375" style="1555" customWidth="1"/>
    <col min="44" max="44" width="11.7109375" style="1555" customWidth="1"/>
    <col min="45" max="45" width="8.5703125" style="1555" customWidth="1"/>
    <col min="46" max="46" width="4.7109375" style="1555" customWidth="1"/>
    <col min="47" max="47" width="115.7109375" style="1555" customWidth="1"/>
    <col min="48" max="49" width="10.5703125" style="1562"/>
    <col min="50" max="50" width="11.140625" style="1562" customWidth="1"/>
    <col min="51" max="52" width="10.5703125" style="1562"/>
  </cols>
  <sheetData>
    <row r="1" spans="1:52" ht="14.25" hidden="1" customHeight="1">
      <c r="W1" s="249"/>
      <c r="X1" s="249"/>
      <c r="AO1" s="249"/>
      <c r="AP1" s="249"/>
    </row>
    <row r="2" spans="1:52" ht="21" hidden="1" customHeight="1">
      <c r="A2" s="1284"/>
      <c r="B2" s="1284"/>
      <c r="C2" s="1284"/>
      <c r="D2" s="1284"/>
      <c r="E2" s="7689">
        <v>1</v>
      </c>
      <c r="F2" s="1284"/>
      <c r="G2" s="1284"/>
      <c r="H2" s="1284"/>
      <c r="I2" s="1284"/>
      <c r="J2" s="1284"/>
      <c r="K2" s="1284"/>
      <c r="L2" s="1285"/>
      <c r="M2" s="1286"/>
      <c r="N2" s="1286"/>
      <c r="O2" s="1286"/>
      <c r="P2" s="1330"/>
      <c r="Q2" s="787"/>
      <c r="R2" s="276"/>
      <c r="S2" s="1258" t="e">
        <f>INDEX(PT_DIFFERENTIATION_NUM_NTAR,MATCH(A2,PT_DIFFERENTIATION_NTAR_ID,0))</f>
        <v>#N/A</v>
      </c>
      <c r="T2" s="212" t="s">
        <v>237</v>
      </c>
      <c r="U2" s="214"/>
      <c r="V2" s="7676"/>
      <c r="W2" s="7676"/>
      <c r="X2" s="7676"/>
      <c r="Y2" s="7676"/>
      <c r="Z2" s="7676"/>
      <c r="AA2" s="7677"/>
      <c r="AB2" s="7675" t="e">
        <f>INDEX(PT_DIFFERENTIATION_NTAR,MATCH(A2,PT_DIFFERENTIATION_NTAR_ID,0))</f>
        <v>#N/A</v>
      </c>
      <c r="AC2" s="7676"/>
      <c r="AD2" s="7676"/>
      <c r="AE2" s="7676"/>
      <c r="AF2" s="7676"/>
      <c r="AG2" s="7676"/>
      <c r="AH2" s="7676"/>
      <c r="AI2" s="7676"/>
      <c r="AJ2" s="7676"/>
      <c r="AK2" s="7676"/>
      <c r="AL2" s="7676"/>
      <c r="AM2" s="7676"/>
      <c r="AN2" s="7676"/>
      <c r="AO2" s="7676"/>
      <c r="AP2" s="7676"/>
      <c r="AQ2" s="7676"/>
      <c r="AR2" s="7676"/>
      <c r="AS2" s="7676"/>
      <c r="AT2" s="7677"/>
      <c r="AU2" s="1182" t="s">
        <v>572</v>
      </c>
      <c r="AW2" s="424"/>
      <c r="AX2" s="424" t="str">
        <f t="shared" ref="AX2:AX8" si="0">IF(T2="","",T2)</f>
        <v>Наименование тарифа</v>
      </c>
      <c r="AY2" s="424"/>
      <c r="AZ2" s="424"/>
    </row>
    <row r="3" spans="1:52" ht="21" hidden="1" customHeight="1">
      <c r="A3" s="1284"/>
      <c r="B3" s="1284"/>
      <c r="C3" s="1284"/>
      <c r="D3" s="1284"/>
      <c r="E3" s="7690"/>
      <c r="F3" s="7689">
        <v>1</v>
      </c>
      <c r="G3" s="1284"/>
      <c r="H3" s="1284"/>
      <c r="I3" s="1284"/>
      <c r="J3" s="1284"/>
      <c r="K3" s="1284"/>
      <c r="L3" s="1285"/>
      <c r="M3" s="1286"/>
      <c r="N3" s="1286"/>
      <c r="O3" s="1286"/>
      <c r="P3" s="1331"/>
      <c r="Q3" s="1332"/>
      <c r="R3" s="274"/>
      <c r="S3" s="1258" t="e">
        <f>INDEX(PT_DIFFERENTIATION_NUM_TER,MATCH(B3,PT_DIFFERENTIATION_TER_ID,0))</f>
        <v>#N/A</v>
      </c>
      <c r="T3" s="224" t="s">
        <v>573</v>
      </c>
      <c r="U3" s="214"/>
      <c r="V3" s="7676"/>
      <c r="W3" s="7676"/>
      <c r="X3" s="7676"/>
      <c r="Y3" s="7676"/>
      <c r="Z3" s="7676"/>
      <c r="AA3" s="7677"/>
      <c r="AB3" s="7675" t="e">
        <f>INDEX(PT_DIFFERENTIATION_TER,MATCH(B3,PT_DIFFERENTIATION_TER_ID,0))</f>
        <v>#N/A</v>
      </c>
      <c r="AC3" s="7676"/>
      <c r="AD3" s="7676"/>
      <c r="AE3" s="7676"/>
      <c r="AF3" s="7676"/>
      <c r="AG3" s="7676"/>
      <c r="AH3" s="7676"/>
      <c r="AI3" s="7676"/>
      <c r="AJ3" s="7676"/>
      <c r="AK3" s="7676"/>
      <c r="AL3" s="7676"/>
      <c r="AM3" s="7676"/>
      <c r="AN3" s="7676"/>
      <c r="AO3" s="7676"/>
      <c r="AP3" s="7676"/>
      <c r="AQ3" s="7676"/>
      <c r="AR3" s="7676"/>
      <c r="AS3" s="7676"/>
      <c r="AT3" s="7677"/>
      <c r="AU3" s="1182" t="s">
        <v>574</v>
      </c>
      <c r="AW3" s="424"/>
      <c r="AX3" s="424" t="str">
        <f t="shared" si="0"/>
        <v>Территория действия тарифа</v>
      </c>
      <c r="AY3" s="424"/>
      <c r="AZ3" s="424"/>
    </row>
    <row r="4" spans="1:52" ht="22.5" hidden="1" customHeight="1">
      <c r="A4" s="1284"/>
      <c r="B4" s="1284"/>
      <c r="C4" s="1284"/>
      <c r="D4" s="1284"/>
      <c r="E4" s="7690"/>
      <c r="F4" s="7690"/>
      <c r="G4" s="7689">
        <v>1</v>
      </c>
      <c r="H4" s="1284"/>
      <c r="I4" s="1284"/>
      <c r="J4" s="1284"/>
      <c r="K4" s="1284"/>
      <c r="L4" s="1285"/>
      <c r="M4" s="1286"/>
      <c r="N4" s="1286"/>
      <c r="O4" s="1286"/>
      <c r="P4" s="1333"/>
      <c r="Q4" s="1332"/>
      <c r="R4" s="274"/>
      <c r="S4" s="1258" t="e">
        <f>INDEX(PT_DIFFERENTIATION_NUM_CS,MATCH(C4,PT_DIFFERENTIATION_CS_ID,0))</f>
        <v>#N/A</v>
      </c>
      <c r="T4" s="225" t="s">
        <v>575</v>
      </c>
      <c r="U4" s="214"/>
      <c r="V4" s="7676"/>
      <c r="W4" s="7676"/>
      <c r="X4" s="7676"/>
      <c r="Y4" s="7676"/>
      <c r="Z4" s="7676"/>
      <c r="AA4" s="7677"/>
      <c r="AB4" s="7675" t="e">
        <f>INDEX(PT_DIFFERENTIATION_CS,MATCH(C4,PT_DIFFERENTIATION_CS_ID,0))</f>
        <v>#N/A</v>
      </c>
      <c r="AC4" s="7676"/>
      <c r="AD4" s="7676"/>
      <c r="AE4" s="7676"/>
      <c r="AF4" s="7676"/>
      <c r="AG4" s="7676"/>
      <c r="AH4" s="7676"/>
      <c r="AI4" s="7676"/>
      <c r="AJ4" s="7676"/>
      <c r="AK4" s="7676"/>
      <c r="AL4" s="7676"/>
      <c r="AM4" s="7676"/>
      <c r="AN4" s="7676"/>
      <c r="AO4" s="7676"/>
      <c r="AP4" s="7676"/>
      <c r="AQ4" s="7676"/>
      <c r="AR4" s="7676"/>
      <c r="AS4" s="7676"/>
      <c r="AT4" s="7677"/>
      <c r="AU4" s="1182" t="s">
        <v>576</v>
      </c>
      <c r="AW4" s="424"/>
      <c r="AX4" s="424" t="str">
        <f t="shared" si="0"/>
        <v xml:space="preserve">Наименование системы теплоснабжения </v>
      </c>
      <c r="AY4" s="424"/>
      <c r="AZ4" s="424"/>
    </row>
    <row r="5" spans="1:52" ht="21" hidden="1" customHeight="1">
      <c r="A5" s="1284"/>
      <c r="B5" s="1284"/>
      <c r="C5" s="1284"/>
      <c r="D5" s="1284"/>
      <c r="E5" s="7690"/>
      <c r="F5" s="7690"/>
      <c r="G5" s="7690"/>
      <c r="H5" s="7689">
        <v>1</v>
      </c>
      <c r="I5" s="1284"/>
      <c r="J5" s="1284"/>
      <c r="K5" s="1284"/>
      <c r="L5" s="1285"/>
      <c r="M5" s="1286"/>
      <c r="N5" s="1286"/>
      <c r="O5" s="1286"/>
      <c r="P5" s="1333"/>
      <c r="Q5" s="1332"/>
      <c r="R5" s="274"/>
      <c r="S5" s="1258" t="e">
        <f>INDEX(PT_DIFFERENTIATION_NUM_IST_TE,MATCH(D5,PT_DIFFERENTIATION_IST_TE_ID,0))</f>
        <v>#N/A</v>
      </c>
      <c r="T5" s="226" t="s">
        <v>577</v>
      </c>
      <c r="U5" s="214"/>
      <c r="V5" s="7676"/>
      <c r="W5" s="7676"/>
      <c r="X5" s="7676"/>
      <c r="Y5" s="7676"/>
      <c r="Z5" s="7676"/>
      <c r="AA5" s="7677"/>
      <c r="AB5" s="7675" t="e">
        <f>INDEX(PT_DIFFERENTIATION_IST_TE,MATCH(D5,PT_DIFFERENTIATION_IST_TE_ID,0))</f>
        <v>#N/A</v>
      </c>
      <c r="AC5" s="7676"/>
      <c r="AD5" s="7676"/>
      <c r="AE5" s="7676"/>
      <c r="AF5" s="7676"/>
      <c r="AG5" s="7676"/>
      <c r="AH5" s="7676"/>
      <c r="AI5" s="7676"/>
      <c r="AJ5" s="7676"/>
      <c r="AK5" s="7676"/>
      <c r="AL5" s="7676"/>
      <c r="AM5" s="7676"/>
      <c r="AN5" s="7676"/>
      <c r="AO5" s="7676"/>
      <c r="AP5" s="7676"/>
      <c r="AQ5" s="7676"/>
      <c r="AR5" s="7676"/>
      <c r="AS5" s="7676"/>
      <c r="AT5" s="7677"/>
      <c r="AU5" s="1182" t="s">
        <v>578</v>
      </c>
      <c r="AW5" s="424"/>
      <c r="AX5" s="424" t="str">
        <f t="shared" si="0"/>
        <v xml:space="preserve">Источник тепловой энергии  </v>
      </c>
      <c r="AY5" s="424"/>
      <c r="AZ5" s="424"/>
    </row>
    <row r="6" spans="1:52" s="1562" customFormat="1" ht="14.25" hidden="1" customHeight="1">
      <c r="A6" s="1265"/>
      <c r="B6" s="1265"/>
      <c r="C6" s="1265"/>
      <c r="D6" s="1265"/>
      <c r="E6" s="7690"/>
      <c r="F6" s="7690"/>
      <c r="G6" s="7690"/>
      <c r="H6" s="7690"/>
      <c r="I6" s="7687" t="e">
        <f>S5&amp;".1"</f>
        <v>#N/A</v>
      </c>
      <c r="J6" s="1265"/>
      <c r="K6" s="1265"/>
      <c r="L6" s="1268" t="s">
        <v>579</v>
      </c>
      <c r="M6" s="434"/>
      <c r="N6" s="434"/>
      <c r="O6" s="434"/>
      <c r="P6" s="7688">
        <v>1</v>
      </c>
      <c r="Q6" s="1253"/>
      <c r="R6" s="277"/>
      <c r="S6" s="953"/>
      <c r="T6" s="1304"/>
      <c r="U6" s="1305"/>
      <c r="V6" s="7717"/>
      <c r="W6" s="7717"/>
      <c r="X6" s="7717"/>
      <c r="Y6" s="7717"/>
      <c r="Z6" s="7717"/>
      <c r="AA6" s="7718"/>
      <c r="AB6" s="7716"/>
      <c r="AC6" s="7717"/>
      <c r="AD6" s="7717"/>
      <c r="AE6" s="7717"/>
      <c r="AF6" s="7717"/>
      <c r="AG6" s="7717"/>
      <c r="AH6" s="7717"/>
      <c r="AI6" s="7717"/>
      <c r="AJ6" s="7717"/>
      <c r="AK6" s="7717"/>
      <c r="AL6" s="7717"/>
      <c r="AM6" s="7717"/>
      <c r="AN6" s="7717"/>
      <c r="AO6" s="7717"/>
      <c r="AP6" s="7717"/>
      <c r="AQ6" s="7717"/>
      <c r="AR6" s="7717"/>
      <c r="AS6" s="7717"/>
      <c r="AT6" s="7718"/>
      <c r="AU6" s="1306"/>
      <c r="AW6" s="424"/>
      <c r="AX6" s="424" t="str">
        <f t="shared" si="0"/>
        <v/>
      </c>
      <c r="AY6" s="424"/>
      <c r="AZ6" s="424"/>
    </row>
    <row r="7" spans="1:52" s="1562" customFormat="1" ht="14.25" hidden="1" customHeight="1">
      <c r="A7" s="1265"/>
      <c r="B7" s="1265"/>
      <c r="C7" s="1265"/>
      <c r="D7" s="1265"/>
      <c r="E7" s="7690"/>
      <c r="F7" s="7690"/>
      <c r="G7" s="7690"/>
      <c r="H7" s="7690"/>
      <c r="I7" s="7710"/>
      <c r="J7" s="7687" t="e">
        <f>S5&amp;".1"</f>
        <v>#N/A</v>
      </c>
      <c r="K7" s="1265"/>
      <c r="L7" s="1268"/>
      <c r="M7" s="434"/>
      <c r="N7" s="434"/>
      <c r="O7" s="434"/>
      <c r="P7" s="7688"/>
      <c r="Q7" s="7688">
        <v>1</v>
      </c>
      <c r="R7" s="278"/>
      <c r="S7" s="953"/>
      <c r="T7" s="1320"/>
      <c r="U7" s="1305"/>
      <c r="V7" s="7717"/>
      <c r="W7" s="7717"/>
      <c r="X7" s="7717"/>
      <c r="Y7" s="7717"/>
      <c r="Z7" s="7717"/>
      <c r="AA7" s="7718"/>
      <c r="AB7" s="7716"/>
      <c r="AC7" s="7717"/>
      <c r="AD7" s="7717"/>
      <c r="AE7" s="7717"/>
      <c r="AF7" s="7717"/>
      <c r="AG7" s="7717"/>
      <c r="AH7" s="7717"/>
      <c r="AI7" s="7717"/>
      <c r="AJ7" s="7717"/>
      <c r="AK7" s="7717"/>
      <c r="AL7" s="7717"/>
      <c r="AM7" s="7717"/>
      <c r="AN7" s="7717"/>
      <c r="AO7" s="7717"/>
      <c r="AP7" s="7717"/>
      <c r="AQ7" s="7717"/>
      <c r="AR7" s="7717"/>
      <c r="AS7" s="7717"/>
      <c r="AT7" s="7718"/>
      <c r="AU7" s="1306"/>
      <c r="AW7" s="424"/>
      <c r="AX7" s="424" t="str">
        <f t="shared" si="0"/>
        <v/>
      </c>
      <c r="AY7" s="424"/>
      <c r="AZ7" s="424"/>
    </row>
    <row r="8" spans="1:52" ht="21" hidden="1" customHeight="1">
      <c r="A8" s="1284"/>
      <c r="B8" s="1284"/>
      <c r="C8" s="1284"/>
      <c r="D8" s="1284"/>
      <c r="E8" s="7690"/>
      <c r="F8" s="7690"/>
      <c r="G8" s="7690"/>
      <c r="H8" s="7690"/>
      <c r="I8" s="7710"/>
      <c r="J8" s="7710"/>
      <c r="K8" s="7687" t="e">
        <f>S5&amp;".1"</f>
        <v>#N/A</v>
      </c>
      <c r="L8" s="1285"/>
      <c r="P8" s="7688"/>
      <c r="Q8" s="7688"/>
      <c r="R8" s="7745">
        <v>1</v>
      </c>
      <c r="S8" s="7739" t="e">
        <f>$K8</f>
        <v>#N/A</v>
      </c>
      <c r="T8" s="7742"/>
      <c r="U8" s="214"/>
      <c r="V8" s="666"/>
      <c r="W8" s="1181"/>
      <c r="X8" s="7692"/>
      <c r="Y8" s="7540" t="s">
        <v>60</v>
      </c>
      <c r="Z8" s="7692"/>
      <c r="AA8" s="7540" t="s">
        <v>60</v>
      </c>
      <c r="AB8" s="7540" t="s">
        <v>55</v>
      </c>
      <c r="AC8" s="7725"/>
      <c r="AD8" s="7644">
        <v>1</v>
      </c>
      <c r="AE8" s="7726"/>
      <c r="AF8" s="7540" t="s">
        <v>55</v>
      </c>
      <c r="AG8" s="7725"/>
      <c r="AH8" s="7644">
        <v>1</v>
      </c>
      <c r="AI8" s="7726"/>
      <c r="AJ8" s="7540" t="s">
        <v>55</v>
      </c>
      <c r="AK8" s="227"/>
      <c r="AL8" s="1259">
        <v>1</v>
      </c>
      <c r="AM8" s="1319"/>
      <c r="AN8" s="666"/>
      <c r="AO8" s="1181"/>
      <c r="AP8" s="1653"/>
      <c r="AQ8" s="1377" t="s">
        <v>60</v>
      </c>
      <c r="AR8" s="1653"/>
      <c r="AS8" s="1377" t="s">
        <v>60</v>
      </c>
      <c r="AT8" s="1270"/>
      <c r="AU8" s="7684" t="s">
        <v>636</v>
      </c>
      <c r="AV8" s="435" t="e">
        <f ca="1">STRCHECKDATE(V11:AT11)</f>
        <v>#NAME?</v>
      </c>
      <c r="AW8" s="424"/>
      <c r="AX8" s="424" t="str">
        <f t="shared" si="0"/>
        <v/>
      </c>
      <c r="AY8" s="424"/>
      <c r="AZ8" s="424"/>
    </row>
    <row r="9" spans="1:52" ht="11.25" hidden="1" customHeight="1">
      <c r="A9" s="1284"/>
      <c r="B9" s="1284"/>
      <c r="C9" s="1284"/>
      <c r="D9" s="1284"/>
      <c r="E9" s="7690"/>
      <c r="F9" s="7690"/>
      <c r="G9" s="7690"/>
      <c r="H9" s="7690"/>
      <c r="I9" s="7710"/>
      <c r="J9" s="7710"/>
      <c r="K9" s="7687"/>
      <c r="L9" s="1285"/>
      <c r="P9" s="7688"/>
      <c r="Q9" s="7688"/>
      <c r="R9" s="7745"/>
      <c r="S9" s="7740"/>
      <c r="T9" s="7743"/>
      <c r="U9" s="214"/>
      <c r="V9" s="1314"/>
      <c r="W9" s="1318"/>
      <c r="X9" s="7692"/>
      <c r="Y9" s="7540"/>
      <c r="Z9" s="7692"/>
      <c r="AA9" s="7540"/>
      <c r="AB9" s="7540"/>
      <c r="AC9" s="7725"/>
      <c r="AD9" s="7644"/>
      <c r="AE9" s="7726"/>
      <c r="AF9" s="7540"/>
      <c r="AG9" s="7725"/>
      <c r="AH9" s="7644"/>
      <c r="AI9" s="7726"/>
      <c r="AJ9" s="7540"/>
      <c r="AK9" s="234"/>
      <c r="AL9" s="345"/>
      <c r="AM9" s="344" t="s">
        <v>637</v>
      </c>
      <c r="AN9" s="1314"/>
      <c r="AO9" s="1411"/>
      <c r="AP9" s="1314"/>
      <c r="AQ9" s="1314"/>
      <c r="AR9" s="1314"/>
      <c r="AS9" s="1314"/>
      <c r="AT9" s="1311"/>
      <c r="AU9" s="7685"/>
      <c r="AW9" s="424"/>
      <c r="AX9" s="424"/>
      <c r="AY9" s="424"/>
      <c r="AZ9" s="424"/>
    </row>
    <row r="10" spans="1:52" ht="11.25" hidden="1" customHeight="1">
      <c r="A10" s="1284"/>
      <c r="B10" s="1284"/>
      <c r="C10" s="1284"/>
      <c r="D10" s="1284"/>
      <c r="E10" s="7690"/>
      <c r="F10" s="7690"/>
      <c r="G10" s="7690"/>
      <c r="H10" s="7690"/>
      <c r="I10" s="7710"/>
      <c r="J10" s="7710"/>
      <c r="K10" s="7687"/>
      <c r="L10" s="1285"/>
      <c r="P10" s="7688"/>
      <c r="Q10" s="7688"/>
      <c r="R10" s="7745"/>
      <c r="S10" s="7740"/>
      <c r="T10" s="7743"/>
      <c r="U10" s="214"/>
      <c r="V10" s="1314"/>
      <c r="W10" s="1318"/>
      <c r="X10" s="7692"/>
      <c r="Y10" s="7540"/>
      <c r="Z10" s="7692"/>
      <c r="AA10" s="7540"/>
      <c r="AB10" s="7540"/>
      <c r="AC10" s="7725"/>
      <c r="AD10" s="7644"/>
      <c r="AE10" s="7726"/>
      <c r="AF10" s="7540"/>
      <c r="AG10" s="208"/>
      <c r="AH10" s="344"/>
      <c r="AI10" s="344" t="s">
        <v>638</v>
      </c>
      <c r="AJ10" s="1314"/>
      <c r="AK10" s="1314"/>
      <c r="AL10" s="1314"/>
      <c r="AM10" s="1314"/>
      <c r="AN10" s="1314"/>
      <c r="AO10" s="1411"/>
      <c r="AP10" s="1314"/>
      <c r="AQ10" s="1314"/>
      <c r="AR10" s="1314"/>
      <c r="AS10" s="1314"/>
      <c r="AT10" s="1311"/>
      <c r="AU10" s="7685"/>
      <c r="AW10" s="424"/>
      <c r="AX10" s="424"/>
      <c r="AY10" s="424"/>
      <c r="AZ10" s="424"/>
    </row>
    <row r="11" spans="1:52" ht="11.25" hidden="1" customHeight="1">
      <c r="A11" s="1284"/>
      <c r="B11" s="1284"/>
      <c r="C11" s="1284"/>
      <c r="D11" s="1284"/>
      <c r="E11" s="7690"/>
      <c r="F11" s="7690"/>
      <c r="G11" s="7690"/>
      <c r="H11" s="7690"/>
      <c r="I11" s="7710"/>
      <c r="J11" s="7710"/>
      <c r="K11" s="7687"/>
      <c r="L11" s="1285"/>
      <c r="P11" s="7688"/>
      <c r="Q11" s="7688"/>
      <c r="R11" s="7745"/>
      <c r="S11" s="7741"/>
      <c r="T11" s="7744"/>
      <c r="U11" s="214"/>
      <c r="V11" s="1314"/>
      <c r="W11" s="1317" t="str">
        <f>X8&amp;"-"&amp;Z8</f>
        <v>-</v>
      </c>
      <c r="X11" s="7693"/>
      <c r="Y11" s="7540"/>
      <c r="Z11" s="7693"/>
      <c r="AA11" s="7540"/>
      <c r="AB11" s="7540"/>
      <c r="AC11" s="228"/>
      <c r="AD11" s="230"/>
      <c r="AE11" s="344" t="s">
        <v>639</v>
      </c>
      <c r="AF11" s="1314"/>
      <c r="AG11" s="1314"/>
      <c r="AH11" s="1314"/>
      <c r="AI11" s="1314"/>
      <c r="AJ11" s="1314"/>
      <c r="AK11" s="1314"/>
      <c r="AL11" s="1314"/>
      <c r="AM11" s="1314"/>
      <c r="AN11" s="1314"/>
      <c r="AO11" s="1315" t="str">
        <f>AP8&amp;"-"&amp;AR8</f>
        <v>-</v>
      </c>
      <c r="AP11" s="1314"/>
      <c r="AQ11" s="1314"/>
      <c r="AR11" s="1314"/>
      <c r="AS11" s="1314"/>
      <c r="AT11" s="1271"/>
      <c r="AU11" s="7685"/>
      <c r="AW11" s="424"/>
      <c r="AX11" s="424" t="str">
        <f t="shared" ref="AX11:AX17" si="1">IF(T11="","",T11)</f>
        <v/>
      </c>
      <c r="AY11" s="424"/>
      <c r="AZ11" s="424"/>
    </row>
    <row r="12" spans="1:52" ht="11.25" hidden="1" customHeight="1">
      <c r="A12" s="1284"/>
      <c r="B12" s="1284"/>
      <c r="C12" s="1284"/>
      <c r="D12" s="1284"/>
      <c r="E12" s="7690"/>
      <c r="F12" s="7690"/>
      <c r="G12" s="7690"/>
      <c r="H12" s="7690"/>
      <c r="I12" s="7710"/>
      <c r="J12" s="7687"/>
      <c r="K12" s="1284"/>
      <c r="L12" s="1285"/>
      <c r="P12" s="7688"/>
      <c r="Q12" s="7688"/>
      <c r="R12" s="277"/>
      <c r="S12" s="1203"/>
      <c r="T12" s="202" t="s">
        <v>640</v>
      </c>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45"/>
      <c r="AU12" s="7686"/>
      <c r="AW12" s="424"/>
      <c r="AX12" s="424" t="str">
        <f t="shared" si="1"/>
        <v>Добавить строку</v>
      </c>
      <c r="AY12" s="424"/>
      <c r="AZ12" s="424"/>
    </row>
    <row r="13" spans="1:52" s="1562" customFormat="1" ht="14.25" hidden="1" customHeight="1">
      <c r="A13" s="1265"/>
      <c r="B13" s="1265"/>
      <c r="C13" s="1265"/>
      <c r="D13" s="1265"/>
      <c r="E13" s="7690"/>
      <c r="F13" s="7690"/>
      <c r="G13" s="7690"/>
      <c r="H13" s="7690"/>
      <c r="I13" s="7687"/>
      <c r="J13" s="1265"/>
      <c r="K13" s="1265"/>
      <c r="L13" s="1268"/>
      <c r="M13" s="434"/>
      <c r="N13" s="434"/>
      <c r="O13" s="434"/>
      <c r="P13" s="7688"/>
      <c r="Q13" s="1253"/>
      <c r="R13" s="277"/>
      <c r="S13" s="1307"/>
      <c r="T13" s="1308"/>
      <c r="U13" s="1309"/>
      <c r="V13" s="1309"/>
      <c r="W13" s="1309"/>
      <c r="X13" s="1309"/>
      <c r="Y13" s="1309"/>
      <c r="Z13" s="1309"/>
      <c r="AA13" s="1309"/>
      <c r="AB13" s="1309"/>
      <c r="AC13" s="1309"/>
      <c r="AD13" s="1309"/>
      <c r="AE13" s="1309"/>
      <c r="AF13" s="1309"/>
      <c r="AG13" s="1309"/>
      <c r="AH13" s="1309"/>
      <c r="AI13" s="1309"/>
      <c r="AJ13" s="1309"/>
      <c r="AK13" s="1309"/>
      <c r="AL13" s="1309"/>
      <c r="AM13" s="1309"/>
      <c r="AN13" s="1309"/>
      <c r="AO13" s="1309"/>
      <c r="AP13" s="1309"/>
      <c r="AQ13" s="1309"/>
      <c r="AR13" s="1309"/>
      <c r="AS13" s="1309"/>
      <c r="AT13" s="1309"/>
      <c r="AU13" s="1310"/>
      <c r="AW13" s="424"/>
      <c r="AX13" s="424" t="str">
        <f t="shared" si="1"/>
        <v/>
      </c>
      <c r="AY13" s="424"/>
      <c r="AZ13" s="424"/>
    </row>
    <row r="14" spans="1:52" s="1562" customFormat="1" ht="14.25" hidden="1" customHeight="1">
      <c r="A14" s="1265"/>
      <c r="B14" s="1265"/>
      <c r="C14" s="1265"/>
      <c r="D14" s="1265"/>
      <c r="E14" s="7690"/>
      <c r="F14" s="7690"/>
      <c r="G14" s="7690"/>
      <c r="H14" s="7689"/>
      <c r="I14" s="1265"/>
      <c r="J14" s="1265"/>
      <c r="K14" s="1265"/>
      <c r="L14" s="1268"/>
      <c r="M14" s="1238"/>
      <c r="N14" s="1238"/>
      <c r="O14" s="442"/>
      <c r="P14" s="308"/>
      <c r="Q14" s="1266"/>
      <c r="R14" s="1322"/>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10"/>
      <c r="AW14" s="424"/>
      <c r="AX14" s="424" t="str">
        <f t="shared" si="1"/>
        <v/>
      </c>
      <c r="AY14" s="424"/>
      <c r="AZ14" s="424"/>
    </row>
    <row r="15" spans="1:52" s="1562" customFormat="1" ht="14.25" hidden="1" customHeight="1">
      <c r="A15" s="1265"/>
      <c r="B15" s="1265"/>
      <c r="C15" s="1265"/>
      <c r="D15" s="1237"/>
      <c r="E15" s="7690"/>
      <c r="F15" s="7690"/>
      <c r="G15" s="7689"/>
      <c r="H15" s="1237"/>
      <c r="I15" s="1237"/>
      <c r="J15" s="1237"/>
      <c r="K15" s="1237"/>
      <c r="L15" s="1261"/>
      <c r="M15" s="1238"/>
      <c r="N15" s="1238"/>
      <c r="P15" s="1239"/>
      <c r="Q15" s="1240"/>
      <c r="R15" s="1239"/>
      <c r="S15" s="1245"/>
      <c r="T15" s="1248" t="s">
        <v>590</v>
      </c>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W15" s="703"/>
      <c r="AX15" s="703" t="str">
        <f t="shared" si="1"/>
        <v>Добавить источник для дифференциации</v>
      </c>
      <c r="AY15" s="703"/>
      <c r="AZ15" s="703"/>
    </row>
    <row r="16" spans="1:52" s="1562" customFormat="1" ht="14.25" hidden="1" customHeight="1">
      <c r="A16" s="1265"/>
      <c r="B16" s="1265"/>
      <c r="C16" s="1237"/>
      <c r="D16" s="1237"/>
      <c r="E16" s="7690"/>
      <c r="F16" s="7689"/>
      <c r="G16" s="1237"/>
      <c r="H16" s="1237"/>
      <c r="I16" s="1237"/>
      <c r="J16" s="1237"/>
      <c r="K16" s="1237"/>
      <c r="L16" s="1261"/>
      <c r="M16" s="1244"/>
      <c r="N16" s="1244"/>
      <c r="P16" s="1239"/>
      <c r="Q16" s="1240"/>
      <c r="R16" s="1239"/>
      <c r="S16" s="1245"/>
      <c r="T16" s="1248" t="s">
        <v>325</v>
      </c>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W16" s="703"/>
      <c r="AX16" s="703" t="str">
        <f t="shared" si="1"/>
        <v>Добавить централизованную систему для дифференциации</v>
      </c>
      <c r="AY16" s="703"/>
      <c r="AZ16" s="703"/>
    </row>
    <row r="17" spans="1:52" s="1562" customFormat="1" ht="14.25" hidden="1" customHeight="1">
      <c r="A17" s="1265"/>
      <c r="B17" s="1265"/>
      <c r="C17" s="1265"/>
      <c r="D17" s="1265"/>
      <c r="E17" s="7689"/>
      <c r="F17" s="1265"/>
      <c r="G17" s="1265"/>
      <c r="H17" s="1265"/>
      <c r="I17" s="1265"/>
      <c r="J17" s="1265"/>
      <c r="K17" s="1265"/>
      <c r="L17" s="1268"/>
      <c r="M17" s="1244"/>
      <c r="N17" s="1244"/>
      <c r="O17" s="442"/>
      <c r="P17" s="308"/>
      <c r="Q17" s="1266"/>
      <c r="R17" s="308"/>
      <c r="S17" s="1245"/>
      <c r="T17" s="1248" t="s">
        <v>326</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W17" s="424"/>
      <c r="AX17" s="424" t="str">
        <f t="shared" si="1"/>
        <v>Добавить территорию для дифференциации</v>
      </c>
      <c r="AY17" s="424"/>
      <c r="AZ17" s="424"/>
    </row>
    <row r="18" spans="1:52" ht="14.25" hidden="1" customHeight="1">
      <c r="AA18" s="249"/>
      <c r="AS18" s="249"/>
    </row>
    <row r="19" spans="1:52" ht="14.25" hidden="1" customHeight="1">
      <c r="AB19" s="1247" t="s">
        <v>55</v>
      </c>
      <c r="AC19" s="1416"/>
      <c r="AD19" s="471">
        <v>1</v>
      </c>
      <c r="AE19" s="1417"/>
      <c r="AF19" s="1247" t="s">
        <v>55</v>
      </c>
      <c r="AG19" s="1416"/>
      <c r="AH19" s="471">
        <v>1</v>
      </c>
      <c r="AI19" s="1417"/>
      <c r="AJ19" s="1247" t="s">
        <v>55</v>
      </c>
      <c r="AK19" s="1418"/>
      <c r="AL19" s="471">
        <v>1</v>
      </c>
      <c r="AM19" s="1421"/>
      <c r="AN19" s="1324"/>
      <c r="AO19" s="1325"/>
      <c r="AP19" s="1655"/>
      <c r="AQ19" s="1378" t="s">
        <v>60</v>
      </c>
      <c r="AR19" s="1655"/>
      <c r="AS19" s="1378" t="s">
        <v>60</v>
      </c>
    </row>
    <row r="20" spans="1:52" ht="14.25" hidden="1" customHeight="1">
      <c r="AV20" s="420"/>
      <c r="AW20" s="420"/>
      <c r="AX20" s="420"/>
      <c r="AY20" s="420"/>
      <c r="AZ20" s="420"/>
    </row>
    <row r="21" spans="1:52" ht="14.25" hidden="1" customHeight="1">
      <c r="O21" s="1288" t="s">
        <v>591</v>
      </c>
      <c r="X21" s="1267"/>
      <c r="Z21" s="1267"/>
      <c r="AA21" s="249"/>
      <c r="AP21" s="1267"/>
      <c r="AR21" s="1267"/>
      <c r="AS21" s="249"/>
      <c r="AV21" s="420"/>
      <c r="AW21" s="420"/>
      <c r="AX21" s="420"/>
      <c r="AY21" s="420"/>
      <c r="AZ21" s="420"/>
    </row>
    <row r="22" spans="1:52" ht="14.25" hidden="1" customHeight="1">
      <c r="AA22" s="249"/>
      <c r="AS22" s="249"/>
      <c r="AV22" s="420"/>
      <c r="AW22" s="420"/>
      <c r="AX22" s="420"/>
      <c r="AY22" s="420"/>
      <c r="AZ22" s="420"/>
    </row>
    <row r="23" spans="1:52" s="1424" customFormat="1" ht="14.25" hidden="1" customHeight="1">
      <c r="M23" s="1423"/>
      <c r="N23" s="1423"/>
      <c r="O23" s="1424" t="s">
        <v>592</v>
      </c>
      <c r="P23" s="1423"/>
      <c r="Q23" s="1425"/>
      <c r="R23" s="1425"/>
      <c r="Y23" s="1422" t="s">
        <v>594</v>
      </c>
      <c r="AA23" s="1422" t="s">
        <v>595</v>
      </c>
      <c r="AB23" s="1422" t="s">
        <v>641</v>
      </c>
      <c r="AE23" s="1422" t="s">
        <v>642</v>
      </c>
      <c r="AF23" s="1422" t="s">
        <v>641</v>
      </c>
      <c r="AI23" s="1422" t="s">
        <v>643</v>
      </c>
      <c r="AJ23" s="1422" t="s">
        <v>641</v>
      </c>
      <c r="AM23" s="1422" t="s">
        <v>644</v>
      </c>
      <c r="AQ23" s="1422" t="s">
        <v>594</v>
      </c>
      <c r="AS23" s="1422" t="s">
        <v>595</v>
      </c>
      <c r="AV23" s="1426"/>
      <c r="AW23" s="1426"/>
      <c r="AX23" s="1426"/>
      <c r="AY23" s="1426"/>
      <c r="AZ23" s="1426"/>
    </row>
    <row r="24" spans="1:52" ht="14.25" hidden="1" customHeight="1">
      <c r="O24" s="1285"/>
      <c r="AV24" s="420"/>
      <c r="AW24" s="420"/>
      <c r="AX24" s="420"/>
      <c r="AY24" s="420"/>
      <c r="AZ24" s="420"/>
    </row>
    <row r="25" spans="1:52" ht="14.25" hidden="1" customHeight="1">
      <c r="O25" s="1285"/>
      <c r="AV25" s="420"/>
      <c r="AW25" s="420"/>
      <c r="AX25" s="420"/>
      <c r="AY25" s="420"/>
      <c r="AZ25" s="420"/>
    </row>
    <row r="26" spans="1:52" ht="14.25" customHeight="1">
      <c r="Q26" s="206"/>
      <c r="R26" s="300"/>
      <c r="S26" s="1200"/>
      <c r="T26" s="286"/>
      <c r="U26" s="286"/>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row>
    <row r="27" spans="1:52" ht="26.25" customHeight="1">
      <c r="Q27" s="206"/>
      <c r="R27" s="300"/>
      <c r="S27" s="767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7673"/>
      <c r="U27" s="7673"/>
      <c r="V27" s="7673"/>
      <c r="W27" s="7673"/>
      <c r="X27" s="7673"/>
      <c r="Y27" s="7673"/>
      <c r="Z27" s="7673"/>
      <c r="AA27" s="7673"/>
      <c r="AB27" s="7673"/>
      <c r="AC27" s="7673"/>
      <c r="AD27" s="7673"/>
      <c r="AE27" s="7673"/>
      <c r="AF27" s="7673"/>
      <c r="AG27" s="7673"/>
      <c r="AH27" s="7673"/>
      <c r="AI27" s="7673"/>
      <c r="AJ27" s="7673"/>
      <c r="AK27" s="7673"/>
      <c r="AL27" s="7673"/>
      <c r="AM27" s="7673"/>
      <c r="AN27" s="7673"/>
      <c r="AO27" s="7673"/>
      <c r="AP27" s="7673"/>
      <c r="AQ27" s="7673"/>
      <c r="AR27" s="7673"/>
      <c r="AS27" s="1157"/>
    </row>
    <row r="28" spans="1:52" ht="14.25" customHeight="1">
      <c r="Q28" s="206"/>
      <c r="R28" s="300"/>
      <c r="S28" s="7620" t="str">
        <f>IF(org=0,"Не определено",org)</f>
        <v>ГУП СК "Ставрополькрайводоканал"</v>
      </c>
      <c r="T28" s="7620"/>
      <c r="U28" s="7620"/>
      <c r="V28" s="7620"/>
      <c r="W28" s="7620"/>
      <c r="X28" s="7620"/>
      <c r="Y28" s="7620"/>
      <c r="Z28" s="7620"/>
      <c r="AA28" s="7620"/>
      <c r="AB28" s="7620"/>
      <c r="AC28" s="7620"/>
      <c r="AD28" s="7620"/>
      <c r="AE28" s="7620"/>
      <c r="AF28" s="7620"/>
      <c r="AG28" s="7620"/>
      <c r="AH28" s="7620"/>
      <c r="AI28" s="7620"/>
      <c r="AJ28" s="7620"/>
      <c r="AK28" s="7620"/>
      <c r="AL28" s="7620"/>
      <c r="AM28" s="7620"/>
      <c r="AN28" s="7620"/>
      <c r="AO28" s="7620"/>
      <c r="AP28" s="7620"/>
      <c r="AQ28" s="7620"/>
      <c r="AR28" s="7620"/>
      <c r="AS28" s="1157"/>
    </row>
    <row r="29" spans="1:52" ht="14.25" customHeight="1">
      <c r="Q29" s="206"/>
      <c r="R29" s="300"/>
      <c r="S29" s="1200"/>
      <c r="T29" s="286"/>
      <c r="U29" s="286"/>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433"/>
    </row>
    <row r="30" spans="1:52" s="1771" customFormat="1" ht="25.5" customHeight="1">
      <c r="A30" s="1289"/>
      <c r="B30" s="1289"/>
      <c r="C30" s="1289"/>
      <c r="D30" s="1289"/>
      <c r="E30" s="1289"/>
      <c r="F30" s="1289"/>
      <c r="G30" s="1289"/>
      <c r="H30" s="1289"/>
      <c r="I30" s="1289"/>
      <c r="J30" s="1289"/>
      <c r="K30" s="1289"/>
      <c r="L30" s="1290"/>
      <c r="M30" s="1289"/>
      <c r="N30" s="1289"/>
      <c r="O30" s="1289"/>
      <c r="P30" s="1289"/>
      <c r="Q30" s="1289"/>
      <c r="S30" s="7681" t="s">
        <v>38</v>
      </c>
      <c r="T30" s="7681"/>
      <c r="U30" s="1293"/>
      <c r="V30" s="7682" t="str">
        <f>IF(TITLE_NAME_OR_PR_CHANGE="",IF(TITLE_NAME_OR_PR="","",TITLE_NAME_OR_PR),TITLE_NAME_OR_PR_CHANGE)</f>
        <v>Региональная тарифная комиссия Ставропольского края</v>
      </c>
      <c r="W30" s="7682"/>
      <c r="X30" s="7682"/>
      <c r="Y30" s="7682"/>
      <c r="Z30" s="7682"/>
      <c r="AA30" s="248"/>
      <c r="AB30" s="7682" t="str">
        <f>IF(TITLE_NAME_OR_PR_CHANGE="",IF(TITLE_NAME_OR_PR="","",TITLE_NAME_OR_PR),TITLE_NAME_OR_PR_CHANGE)</f>
        <v>Региональная тарифная комиссия Ставропольского края</v>
      </c>
      <c r="AC30" s="7682"/>
      <c r="AD30" s="7682"/>
      <c r="AE30" s="7682"/>
      <c r="AF30" s="7682"/>
      <c r="AG30" s="7682"/>
      <c r="AH30" s="7682"/>
      <c r="AI30" s="7682"/>
      <c r="AJ30" s="7682"/>
      <c r="AK30" s="7682"/>
      <c r="AL30" s="7682"/>
      <c r="AM30" s="7682"/>
      <c r="AN30" s="7682"/>
      <c r="AO30" s="7682"/>
      <c r="AP30" s="7682"/>
      <c r="AQ30" s="7682"/>
      <c r="AR30" s="7682"/>
      <c r="AS30" s="248"/>
      <c r="AT30" s="248"/>
      <c r="AU30" s="196"/>
      <c r="AV30" s="292"/>
      <c r="AW30" s="292"/>
      <c r="AX30" s="292"/>
      <c r="AY30" s="292"/>
      <c r="AZ30" s="292"/>
    </row>
    <row r="31" spans="1:52" s="1771" customFormat="1" ht="18.75" customHeight="1">
      <c r="A31" s="1289"/>
      <c r="B31" s="1289"/>
      <c r="C31" s="1289"/>
      <c r="D31" s="1289"/>
      <c r="E31" s="1289"/>
      <c r="F31" s="1289"/>
      <c r="G31" s="1289"/>
      <c r="H31" s="1289"/>
      <c r="I31" s="1289"/>
      <c r="J31" s="1289"/>
      <c r="K31" s="1289"/>
      <c r="L31" s="1290"/>
      <c r="M31" s="1289"/>
      <c r="N31" s="1289"/>
      <c r="O31" s="1289"/>
      <c r="P31" s="1289"/>
      <c r="Q31" s="1289"/>
      <c r="S31" s="7681" t="s">
        <v>597</v>
      </c>
      <c r="T31" s="7681"/>
      <c r="U31" s="1293"/>
      <c r="V31" s="7691">
        <f>IF(TITLE_DATE_PR_CHANGE="",IF(TITLE_DATE_PR="","",TITLE_DATE_PR),TITLE_DATE_PR_CHANGE)</f>
        <v>45278</v>
      </c>
      <c r="W31" s="7691"/>
      <c r="X31" s="7691"/>
      <c r="Y31" s="7691"/>
      <c r="Z31" s="7691"/>
      <c r="AA31" s="248"/>
      <c r="AB31" s="7691">
        <f>IF(TITLE_DATE_PR_CHANGE="",IF(TITLE_DATE_PR="","",TITLE_DATE_PR),TITLE_DATE_PR_CHANGE)</f>
        <v>45278</v>
      </c>
      <c r="AC31" s="7691"/>
      <c r="AD31" s="7691"/>
      <c r="AE31" s="7691"/>
      <c r="AF31" s="7691"/>
      <c r="AG31" s="7691"/>
      <c r="AH31" s="7691"/>
      <c r="AI31" s="7691"/>
      <c r="AJ31" s="7691"/>
      <c r="AK31" s="7691"/>
      <c r="AL31" s="7691"/>
      <c r="AM31" s="7691"/>
      <c r="AN31" s="7691"/>
      <c r="AO31" s="7691"/>
      <c r="AP31" s="7691"/>
      <c r="AQ31" s="7691"/>
      <c r="AR31" s="7691"/>
      <c r="AS31" s="248"/>
      <c r="AT31" s="248"/>
      <c r="AU31" s="196"/>
      <c r="AV31" s="292"/>
      <c r="AW31" s="292"/>
      <c r="AX31" s="292"/>
      <c r="AY31" s="292"/>
      <c r="AZ31" s="292"/>
    </row>
    <row r="32" spans="1:52" s="1771" customFormat="1" ht="18.75" customHeight="1">
      <c r="A32" s="1289"/>
      <c r="B32" s="1289"/>
      <c r="C32" s="1289"/>
      <c r="D32" s="1289"/>
      <c r="E32" s="1289"/>
      <c r="F32" s="1289"/>
      <c r="G32" s="1289"/>
      <c r="H32" s="1289"/>
      <c r="I32" s="1289"/>
      <c r="J32" s="1289"/>
      <c r="K32" s="1289"/>
      <c r="L32" s="1290"/>
      <c r="M32" s="1289"/>
      <c r="N32" s="1289"/>
      <c r="O32" s="1289"/>
      <c r="P32" s="1289"/>
      <c r="Q32" s="1289"/>
      <c r="S32" s="7681" t="s">
        <v>598</v>
      </c>
      <c r="T32" s="7681"/>
      <c r="U32" s="1293"/>
      <c r="V32" s="7682" t="str">
        <f>IF(TITLE_NUMBER_PR_CHANGE="",IF(TITLE_NUMBER_PR="","",TITLE_NUMBER_PR),TITLE_NUMBER_PR_CHANGE)</f>
        <v>79/2</v>
      </c>
      <c r="W32" s="7682"/>
      <c r="X32" s="7682"/>
      <c r="Y32" s="7682"/>
      <c r="Z32" s="7682"/>
      <c r="AA32" s="248"/>
      <c r="AB32" s="7682" t="str">
        <f>IF(TITLE_NUMBER_PR_CHANGE="",IF(TITLE_NUMBER_PR="","",TITLE_NUMBER_PR),TITLE_NUMBER_PR_CHANGE)</f>
        <v>79/2</v>
      </c>
      <c r="AC32" s="7682"/>
      <c r="AD32" s="7682"/>
      <c r="AE32" s="7682"/>
      <c r="AF32" s="7682"/>
      <c r="AG32" s="7682"/>
      <c r="AH32" s="7682"/>
      <c r="AI32" s="7682"/>
      <c r="AJ32" s="7682"/>
      <c r="AK32" s="7682"/>
      <c r="AL32" s="7682"/>
      <c r="AM32" s="7682"/>
      <c r="AN32" s="7682"/>
      <c r="AO32" s="7682"/>
      <c r="AP32" s="7682"/>
      <c r="AQ32" s="7682"/>
      <c r="AR32" s="7682"/>
      <c r="AS32" s="248"/>
      <c r="AT32" s="248"/>
      <c r="AU32" s="196"/>
      <c r="AV32" s="292"/>
      <c r="AW32" s="292"/>
      <c r="AX32" s="292"/>
      <c r="AY32" s="292"/>
      <c r="AZ32" s="292"/>
    </row>
    <row r="33" spans="1:52" s="1771" customFormat="1" ht="18.75" customHeight="1">
      <c r="A33" s="1289"/>
      <c r="B33" s="1289"/>
      <c r="C33" s="1289"/>
      <c r="D33" s="1289"/>
      <c r="E33" s="1289"/>
      <c r="F33" s="1289"/>
      <c r="G33" s="1289"/>
      <c r="H33" s="1289"/>
      <c r="I33" s="1289"/>
      <c r="J33" s="1289"/>
      <c r="K33" s="1289"/>
      <c r="L33" s="1290"/>
      <c r="M33" s="1289"/>
      <c r="N33" s="1289"/>
      <c r="O33" s="1289"/>
      <c r="P33" s="1289"/>
      <c r="Q33" s="1289"/>
      <c r="S33" s="7681" t="s">
        <v>40</v>
      </c>
      <c r="T33" s="7681"/>
      <c r="U33" s="1293"/>
      <c r="V33" s="7682" t="str">
        <f>IF(TITLE_IST_PUB_CHANGE="",IF(TITLE_IST_PUB="","",TITLE_IST_PUB),TITLE_IST_PUB_CHANGE)</f>
        <v>http://pravo.stavregion.ru/</v>
      </c>
      <c r="W33" s="7682"/>
      <c r="X33" s="7682"/>
      <c r="Y33" s="7682"/>
      <c r="Z33" s="7682"/>
      <c r="AA33" s="248"/>
      <c r="AB33" s="7682" t="str">
        <f>IF(TITLE_IST_PUB_CHANGE="",IF(TITLE_IST_PUB="","",TITLE_IST_PUB),TITLE_IST_PUB_CHANGE)</f>
        <v>http://pravo.stavregion.ru/</v>
      </c>
      <c r="AC33" s="7682"/>
      <c r="AD33" s="7682"/>
      <c r="AE33" s="7682"/>
      <c r="AF33" s="7682"/>
      <c r="AG33" s="7682"/>
      <c r="AH33" s="7682"/>
      <c r="AI33" s="7682"/>
      <c r="AJ33" s="7682"/>
      <c r="AK33" s="7682"/>
      <c r="AL33" s="7682"/>
      <c r="AM33" s="7682"/>
      <c r="AN33" s="7682"/>
      <c r="AO33" s="7682"/>
      <c r="AP33" s="7682"/>
      <c r="AQ33" s="7682"/>
      <c r="AR33" s="7682"/>
      <c r="AS33" s="248"/>
      <c r="AT33" s="248"/>
      <c r="AU33" s="196"/>
      <c r="AV33" s="292"/>
      <c r="AW33" s="292"/>
      <c r="AX33" s="292"/>
      <c r="AY33" s="292"/>
      <c r="AZ33" s="292"/>
    </row>
    <row r="34" spans="1:52" ht="14.25" hidden="1" customHeight="1">
      <c r="Q34" s="206"/>
      <c r="R34" s="300"/>
      <c r="S34" s="1200"/>
      <c r="T34" s="286"/>
      <c r="U34" s="286"/>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433"/>
    </row>
    <row r="35" spans="1:52" s="1771" customFormat="1" ht="18.75" hidden="1" customHeight="1">
      <c r="A35" s="1289"/>
      <c r="B35" s="1289"/>
      <c r="C35" s="1289"/>
      <c r="D35" s="1289"/>
      <c r="E35" s="1289"/>
      <c r="F35" s="1289"/>
      <c r="G35" s="1289"/>
      <c r="H35" s="1289"/>
      <c r="I35" s="1289"/>
      <c r="J35" s="1289"/>
      <c r="K35" s="1289"/>
      <c r="L35" s="1290"/>
      <c r="M35" s="1289"/>
      <c r="N35" s="1289"/>
      <c r="O35" s="1289"/>
      <c r="P35" s="1289"/>
      <c r="Q35" s="1289"/>
      <c r="S35" s="7681" t="s">
        <v>597</v>
      </c>
      <c r="T35" s="7681"/>
      <c r="U35" s="1293"/>
      <c r="V35" s="7691">
        <f>IF(TITLE_DATE_PR_CHANGE="",IF(TITLE_DATE_PR="","",TITLE_DATE_PR),TITLE_DATE_PR_CHANGE)</f>
        <v>45278</v>
      </c>
      <c r="W35" s="7691"/>
      <c r="X35" s="7691"/>
      <c r="Y35" s="7691"/>
      <c r="Z35" s="7691"/>
      <c r="AA35" s="248"/>
      <c r="AB35" s="7691">
        <f>IF(TITLE_DATE_PR_CHANGE="",IF(TITLE_DATE_PR="","",TITLE_DATE_PR),TITLE_DATE_PR_CHANGE)</f>
        <v>45278</v>
      </c>
      <c r="AC35" s="7691"/>
      <c r="AD35" s="7691"/>
      <c r="AE35" s="7691"/>
      <c r="AF35" s="7691"/>
      <c r="AG35" s="7691"/>
      <c r="AH35" s="7691"/>
      <c r="AI35" s="7691"/>
      <c r="AJ35" s="7691"/>
      <c r="AK35" s="7691"/>
      <c r="AL35" s="7691"/>
      <c r="AM35" s="7691"/>
      <c r="AN35" s="7691"/>
      <c r="AO35" s="7691"/>
      <c r="AP35" s="7691"/>
      <c r="AQ35" s="7691"/>
      <c r="AR35" s="7691"/>
      <c r="AS35" s="248"/>
      <c r="AT35" s="248"/>
      <c r="AU35" s="196"/>
      <c r="AV35" s="292"/>
      <c r="AW35" s="292"/>
      <c r="AX35" s="292"/>
      <c r="AY35" s="292"/>
      <c r="AZ35" s="292"/>
    </row>
    <row r="36" spans="1:52" s="1771" customFormat="1" ht="18" hidden="1" customHeight="1">
      <c r="A36" s="1289"/>
      <c r="B36" s="1289"/>
      <c r="C36" s="1289"/>
      <c r="D36" s="1289"/>
      <c r="E36" s="1289"/>
      <c r="F36" s="1289"/>
      <c r="G36" s="1289"/>
      <c r="H36" s="1289"/>
      <c r="I36" s="1289"/>
      <c r="J36" s="1289"/>
      <c r="K36" s="1289"/>
      <c r="L36" s="1290"/>
      <c r="M36" s="1289"/>
      <c r="N36" s="1289"/>
      <c r="O36" s="1289"/>
      <c r="P36" s="1289"/>
      <c r="Q36" s="1289"/>
      <c r="S36" s="7681" t="s">
        <v>598</v>
      </c>
      <c r="T36" s="7681"/>
      <c r="U36" s="1293"/>
      <c r="V36" s="7682" t="str">
        <f>IF(TITLE_NUMBER_PR_CHANGE="",IF(TITLE_NUMBER_PR="","",TITLE_NUMBER_PR),TITLE_NUMBER_PR_CHANGE)</f>
        <v>79/2</v>
      </c>
      <c r="W36" s="7682"/>
      <c r="X36" s="7682"/>
      <c r="Y36" s="7682"/>
      <c r="Z36" s="7682"/>
      <c r="AA36" s="248"/>
      <c r="AB36" s="7682" t="str">
        <f>IF(TITLE_NUMBER_PR_CHANGE="",IF(TITLE_NUMBER_PR="","",TITLE_NUMBER_PR),TITLE_NUMBER_PR_CHANGE)</f>
        <v>79/2</v>
      </c>
      <c r="AC36" s="7682"/>
      <c r="AD36" s="7682"/>
      <c r="AE36" s="7682"/>
      <c r="AF36" s="7682"/>
      <c r="AG36" s="7682"/>
      <c r="AH36" s="7682"/>
      <c r="AI36" s="7682"/>
      <c r="AJ36" s="7682"/>
      <c r="AK36" s="7682"/>
      <c r="AL36" s="7682"/>
      <c r="AM36" s="7682"/>
      <c r="AN36" s="7682"/>
      <c r="AO36" s="7682"/>
      <c r="AP36" s="7682"/>
      <c r="AQ36" s="7682"/>
      <c r="AR36" s="7682"/>
      <c r="AS36" s="248"/>
      <c r="AT36" s="248"/>
      <c r="AU36" s="196"/>
      <c r="AV36" s="292"/>
      <c r="AW36" s="292"/>
      <c r="AX36" s="292"/>
      <c r="AY36" s="292"/>
      <c r="AZ36" s="292"/>
    </row>
    <row r="37" spans="1:52" s="1771" customFormat="1" ht="0.75" customHeight="1">
      <c r="A37" s="1289"/>
      <c r="B37" s="1289"/>
      <c r="C37" s="1289"/>
      <c r="D37" s="1289"/>
      <c r="E37" s="1289"/>
      <c r="F37" s="1289"/>
      <c r="G37" s="1289"/>
      <c r="H37" s="1289"/>
      <c r="I37" s="1289"/>
      <c r="J37" s="1289"/>
      <c r="K37" s="1289"/>
      <c r="L37" s="1290"/>
      <c r="M37" s="1289"/>
      <c r="N37" s="1289"/>
      <c r="O37" s="1289"/>
      <c r="P37" s="1289"/>
      <c r="Q37" s="1289"/>
      <c r="S37" s="244"/>
      <c r="T37" s="244"/>
      <c r="U37" s="1262"/>
      <c r="V37" s="248"/>
      <c r="W37" s="248"/>
      <c r="X37" s="248"/>
      <c r="Y37" s="248"/>
      <c r="Z37" s="248"/>
      <c r="AA37" s="194" t="s">
        <v>601</v>
      </c>
      <c r="AB37" s="248"/>
      <c r="AC37" s="248"/>
      <c r="AD37" s="248"/>
      <c r="AE37" s="248"/>
      <c r="AF37" s="248"/>
      <c r="AG37" s="248"/>
      <c r="AH37" s="248"/>
      <c r="AI37" s="248"/>
      <c r="AJ37" s="248"/>
      <c r="AK37" s="248"/>
      <c r="AL37" s="248"/>
      <c r="AM37" s="248"/>
      <c r="AN37" s="248"/>
      <c r="AO37" s="248"/>
      <c r="AP37" s="248"/>
      <c r="AQ37" s="248"/>
      <c r="AR37" s="248"/>
      <c r="AS37" s="194" t="s">
        <v>601</v>
      </c>
      <c r="AV37" s="292"/>
      <c r="AW37" s="292"/>
      <c r="AX37" s="292"/>
      <c r="AY37" s="292"/>
      <c r="AZ37" s="292"/>
    </row>
    <row r="38" spans="1:52" ht="14.25" customHeight="1">
      <c r="Q38" s="206"/>
      <c r="R38" s="300"/>
      <c r="S38" s="1200"/>
      <c r="T38" s="286"/>
      <c r="U38" s="1158"/>
      <c r="V38" s="7683"/>
      <c r="W38" s="7683"/>
      <c r="X38" s="7683"/>
      <c r="Y38" s="7683"/>
      <c r="Z38" s="7683"/>
      <c r="AA38" s="7683"/>
      <c r="AB38" s="7683"/>
      <c r="AC38" s="7683"/>
      <c r="AD38" s="7683"/>
      <c r="AE38" s="7683"/>
      <c r="AF38" s="7683"/>
      <c r="AG38" s="7683"/>
      <c r="AH38" s="7683"/>
      <c r="AI38" s="7683"/>
      <c r="AJ38" s="7683"/>
      <c r="AK38" s="7683"/>
      <c r="AL38" s="7683"/>
      <c r="AM38" s="7683"/>
      <c r="AN38" s="7683"/>
      <c r="AO38" s="7683"/>
      <c r="AP38" s="7683"/>
      <c r="AQ38" s="7683"/>
      <c r="AR38" s="7683"/>
      <c r="AS38" s="7683"/>
    </row>
    <row r="39" spans="1:52" ht="14.25" customHeight="1">
      <c r="Q39" s="206"/>
      <c r="R39" s="300"/>
      <c r="S39" s="7559" t="s">
        <v>474</v>
      </c>
      <c r="T39" s="7559"/>
      <c r="U39" s="7559"/>
      <c r="V39" s="7559"/>
      <c r="W39" s="7559"/>
      <c r="X39" s="7559"/>
      <c r="Y39" s="7559"/>
      <c r="Z39" s="7559"/>
      <c r="AA39" s="7559"/>
      <c r="AB39" s="7619"/>
      <c r="AC39" s="7619"/>
      <c r="AD39" s="7619"/>
      <c r="AE39" s="7619"/>
      <c r="AF39" s="7559"/>
      <c r="AG39" s="7559"/>
      <c r="AH39" s="7559"/>
      <c r="AI39" s="7559"/>
      <c r="AJ39" s="7559"/>
      <c r="AK39" s="7559"/>
      <c r="AL39" s="7559"/>
      <c r="AM39" s="7559"/>
      <c r="AN39" s="7559"/>
      <c r="AO39" s="7559"/>
      <c r="AP39" s="7559"/>
      <c r="AQ39" s="7559"/>
      <c r="AR39" s="7559"/>
      <c r="AS39" s="7559"/>
      <c r="AT39" s="7559"/>
      <c r="AU39" s="7559" t="s">
        <v>475</v>
      </c>
    </row>
    <row r="40" spans="1:52" ht="14.25" customHeight="1">
      <c r="Q40" s="206"/>
      <c r="R40" s="300"/>
      <c r="S40" s="7697" t="s">
        <v>86</v>
      </c>
      <c r="T40" s="7649" t="s">
        <v>645</v>
      </c>
      <c r="U40" s="215"/>
      <c r="V40" s="7699"/>
      <c r="W40" s="7699"/>
      <c r="X40" s="7699"/>
      <c r="Y40" s="7699"/>
      <c r="Z40" s="7700"/>
      <c r="AA40" s="7735" t="s">
        <v>604</v>
      </c>
      <c r="AB40" s="7727" t="s">
        <v>646</v>
      </c>
      <c r="AC40" s="7713"/>
      <c r="AD40" s="7713"/>
      <c r="AE40" s="7728"/>
      <c r="AF40" s="7713" t="s">
        <v>647</v>
      </c>
      <c r="AG40" s="7713"/>
      <c r="AH40" s="7713"/>
      <c r="AI40" s="7728"/>
      <c r="AJ40" s="7727" t="s">
        <v>648</v>
      </c>
      <c r="AK40" s="7713"/>
      <c r="AL40" s="7713"/>
      <c r="AM40" s="7728"/>
      <c r="AN40" s="7727" t="s">
        <v>603</v>
      </c>
      <c r="AO40" s="7713"/>
      <c r="AP40" s="7699"/>
      <c r="AQ40" s="7699"/>
      <c r="AR40" s="7700"/>
      <c r="AS40" s="7701" t="s">
        <v>604</v>
      </c>
      <c r="AT40" s="7704" t="s">
        <v>606</v>
      </c>
      <c r="AU40" s="7559"/>
    </row>
    <row r="41" spans="1:52" ht="33.75" customHeight="1">
      <c r="Q41" s="206"/>
      <c r="R41" s="300"/>
      <c r="S41" s="7697"/>
      <c r="T41" s="7649"/>
      <c r="U41" s="942"/>
      <c r="V41" s="7634" t="s">
        <v>649</v>
      </c>
      <c r="W41" s="7635"/>
      <c r="X41" s="7634" t="s">
        <v>610</v>
      </c>
      <c r="Y41" s="7722"/>
      <c r="Z41" s="7635"/>
      <c r="AA41" s="7736"/>
      <c r="AB41" s="7729"/>
      <c r="AC41" s="7730"/>
      <c r="AD41" s="7730"/>
      <c r="AE41" s="7731"/>
      <c r="AF41" s="7730"/>
      <c r="AG41" s="7730"/>
      <c r="AH41" s="7730"/>
      <c r="AI41" s="7731"/>
      <c r="AJ41" s="7729"/>
      <c r="AK41" s="7730"/>
      <c r="AL41" s="7730"/>
      <c r="AM41" s="7730"/>
      <c r="AN41" s="7559" t="s">
        <v>650</v>
      </c>
      <c r="AO41" s="7559"/>
      <c r="AP41" s="7722" t="s">
        <v>610</v>
      </c>
      <c r="AQ41" s="7722"/>
      <c r="AR41" s="7635"/>
      <c r="AS41" s="7702"/>
      <c r="AT41" s="7705"/>
      <c r="AU41" s="7559"/>
    </row>
    <row r="42" spans="1:52" ht="14.25" customHeight="1">
      <c r="Q42" s="206"/>
      <c r="R42" s="300"/>
      <c r="S42" s="7697"/>
      <c r="T42" s="7649"/>
      <c r="U42" s="942"/>
      <c r="V42" s="7639"/>
      <c r="W42" s="7640"/>
      <c r="X42" s="7639"/>
      <c r="Y42" s="7723"/>
      <c r="Z42" s="7640"/>
      <c r="AA42" s="7736"/>
      <c r="AB42" s="7729"/>
      <c r="AC42" s="7730"/>
      <c r="AD42" s="7730"/>
      <c r="AE42" s="7731"/>
      <c r="AF42" s="7730"/>
      <c r="AG42" s="7730"/>
      <c r="AH42" s="7730"/>
      <c r="AI42" s="7731"/>
      <c r="AJ42" s="7729"/>
      <c r="AK42" s="7730"/>
      <c r="AL42" s="7730"/>
      <c r="AM42" s="7730"/>
      <c r="AN42" s="7738"/>
      <c r="AO42" s="7738"/>
      <c r="AP42" s="7723"/>
      <c r="AQ42" s="7723"/>
      <c r="AR42" s="7640"/>
      <c r="AS42" s="7702"/>
      <c r="AT42" s="7705"/>
      <c r="AU42" s="7559"/>
    </row>
    <row r="43" spans="1:52" ht="14.25" customHeight="1">
      <c r="A43" s="1291"/>
      <c r="B43" s="1291" t="s">
        <v>249</v>
      </c>
      <c r="C43" s="1291" t="s">
        <v>250</v>
      </c>
      <c r="D43" s="1291" t="s">
        <v>251</v>
      </c>
      <c r="E43" s="1285" t="s">
        <v>611</v>
      </c>
      <c r="F43" s="1285" t="s">
        <v>612</v>
      </c>
      <c r="G43" s="1285" t="s">
        <v>613</v>
      </c>
      <c r="H43" s="1285" t="s">
        <v>614</v>
      </c>
      <c r="I43" s="1285" t="s">
        <v>615</v>
      </c>
      <c r="J43" s="1285" t="s">
        <v>616</v>
      </c>
      <c r="K43" s="1285" t="s">
        <v>617</v>
      </c>
      <c r="L43" s="1285" t="s">
        <v>592</v>
      </c>
      <c r="Q43" s="206"/>
      <c r="R43" s="300"/>
      <c r="S43" s="7697"/>
      <c r="T43" s="7649"/>
      <c r="U43" s="216"/>
      <c r="V43" s="1252" t="s">
        <v>651</v>
      </c>
      <c r="W43" s="1252" t="s">
        <v>652</v>
      </c>
      <c r="X43" s="1260" t="s">
        <v>620</v>
      </c>
      <c r="Y43" s="7657" t="s">
        <v>621</v>
      </c>
      <c r="Z43" s="7659"/>
      <c r="AA43" s="7737"/>
      <c r="AB43" s="7732"/>
      <c r="AC43" s="7733"/>
      <c r="AD43" s="7733"/>
      <c r="AE43" s="7734"/>
      <c r="AF43" s="7733"/>
      <c r="AG43" s="7733"/>
      <c r="AH43" s="7733"/>
      <c r="AI43" s="7734"/>
      <c r="AJ43" s="7732"/>
      <c r="AK43" s="7733"/>
      <c r="AL43" s="7733"/>
      <c r="AM43" s="7734"/>
      <c r="AN43" s="1779" t="s">
        <v>651</v>
      </c>
      <c r="AO43" s="1779" t="s">
        <v>652</v>
      </c>
      <c r="AP43" s="1260" t="s">
        <v>620</v>
      </c>
      <c r="AQ43" s="7657" t="s">
        <v>621</v>
      </c>
      <c r="AR43" s="7659"/>
      <c r="AS43" s="7703"/>
      <c r="AT43" s="7706"/>
      <c r="AU43" s="7559"/>
    </row>
    <row r="44" spans="1:52" s="1561" customFormat="1" ht="11.25" hidden="1" customHeight="1">
      <c r="A44" s="1291"/>
      <c r="B44" s="1291"/>
      <c r="C44" s="1291"/>
      <c r="D44" s="1291"/>
      <c r="E44" s="1291"/>
      <c r="F44" s="1291"/>
      <c r="G44" s="1291"/>
      <c r="H44" s="1291"/>
      <c r="I44" s="1291"/>
      <c r="J44" s="1291"/>
      <c r="K44" s="1291"/>
      <c r="L44" s="1285"/>
      <c r="M44" s="1283"/>
      <c r="N44" s="1283"/>
      <c r="O44" s="1283"/>
      <c r="P44" s="434"/>
      <c r="Q44" s="1176"/>
      <c r="R44" s="1176">
        <v>1</v>
      </c>
      <c r="S44" s="1202" t="s">
        <v>97</v>
      </c>
      <c r="T44" s="1177" t="s">
        <v>100</v>
      </c>
      <c r="U44" s="1159" t="str">
        <f ca="1">OFFSET(U44,0,-1)</f>
        <v>2</v>
      </c>
      <c r="V44" s="1257">
        <f ca="1">OFFSET(V44,0,-1)+1</f>
        <v>3</v>
      </c>
      <c r="W44" s="1257">
        <f ca="1">OFFSET(W44,0,-1)+1</f>
        <v>4</v>
      </c>
      <c r="X44" s="1257">
        <f ca="1">OFFSET(X44,0,-1)+1</f>
        <v>5</v>
      </c>
      <c r="Y44" s="7696">
        <f ca="1">OFFSET(Y44,0,-1)+1</f>
        <v>6</v>
      </c>
      <c r="Z44" s="7696"/>
      <c r="AA44" s="1257">
        <f ca="1">OFFSET(AA44,0,-2)+1</f>
        <v>7</v>
      </c>
      <c r="AB44" s="1263">
        <f ca="1">OFFSET(AB44,0,-1)+1</f>
        <v>8</v>
      </c>
      <c r="AC44" s="1263"/>
      <c r="AD44" s="1263"/>
      <c r="AE44" s="1263"/>
      <c r="AF44" s="1257"/>
      <c r="AG44" s="1257"/>
      <c r="AH44" s="1257"/>
      <c r="AI44" s="1257"/>
      <c r="AJ44" s="1257"/>
      <c r="AK44" s="1257"/>
      <c r="AL44" s="1257"/>
      <c r="AM44" s="1257"/>
      <c r="AN44" s="1257">
        <f ca="1">OFFSET(AN44,0,-1)+1</f>
        <v>1</v>
      </c>
      <c r="AO44" s="1257">
        <f ca="1">OFFSET(AO44,0,-1)+1</f>
        <v>2</v>
      </c>
      <c r="AP44" s="1257">
        <f ca="1">OFFSET(AP44,0,-1)+1</f>
        <v>3</v>
      </c>
      <c r="AQ44" s="7696">
        <f ca="1">OFFSET(AQ44,0,-1)+1</f>
        <v>4</v>
      </c>
      <c r="AR44" s="7696"/>
      <c r="AS44" s="1257">
        <f ca="1">OFFSET(AS44,0,-2)+1</f>
        <v>5</v>
      </c>
      <c r="AT44" s="1159">
        <f ca="1">OFFSET(AT44,0,-1)</f>
        <v>5</v>
      </c>
      <c r="AU44" s="1257">
        <f ca="1">OFFSET(AU44,0,-1)+1</f>
        <v>6</v>
      </c>
      <c r="AV44" s="435"/>
      <c r="AW44" s="435"/>
      <c r="AX44" s="435"/>
      <c r="AY44" s="435"/>
      <c r="AZ44" s="435"/>
    </row>
    <row r="45" spans="1:52" ht="102" customHeight="1">
      <c r="A45" s="1284" t="s">
        <v>306</v>
      </c>
      <c r="B45" s="1284"/>
      <c r="C45" s="1284"/>
      <c r="D45" s="1284"/>
      <c r="E45" s="7689">
        <v>1</v>
      </c>
      <c r="F45" s="1284"/>
      <c r="G45" s="1284"/>
      <c r="H45" s="1284"/>
      <c r="I45" s="1284"/>
      <c r="J45" s="1284"/>
      <c r="K45" s="1284"/>
      <c r="L45" s="1285"/>
      <c r="M45" s="1286"/>
      <c r="N45" s="1286"/>
      <c r="O45" s="1286"/>
      <c r="P45" s="1330"/>
      <c r="Q45" s="787"/>
      <c r="R45" s="276"/>
      <c r="S45" s="1258">
        <f>INDEX(PT_DIFFERENTIATION_NUM_NTAR,MATCH(A45,PT_DIFFERENTIATION_NTAR_ID,0))</f>
        <v>0</v>
      </c>
      <c r="T45" s="212" t="s">
        <v>237</v>
      </c>
      <c r="U45" s="214"/>
      <c r="V45" s="7676"/>
      <c r="W45" s="7676"/>
      <c r="X45" s="7676"/>
      <c r="Y45" s="7676"/>
      <c r="Z45" s="7676"/>
      <c r="AA45" s="7677"/>
      <c r="AB45" s="7675" t="str">
        <f>INDEX(PT_DIFFERENTIATION_NTAR,MATCH(A45,PT_DIFFERENTIATION_NTAR_ID,0))</f>
        <v/>
      </c>
      <c r="AC45" s="7676"/>
      <c r="AD45" s="7676"/>
      <c r="AE45" s="7676"/>
      <c r="AF45" s="7676"/>
      <c r="AG45" s="7676"/>
      <c r="AH45" s="7676"/>
      <c r="AI45" s="7676"/>
      <c r="AJ45" s="7676"/>
      <c r="AK45" s="7676"/>
      <c r="AL45" s="7676"/>
      <c r="AM45" s="7676"/>
      <c r="AN45" s="7676"/>
      <c r="AO45" s="7676"/>
      <c r="AP45" s="7676"/>
      <c r="AQ45" s="7676"/>
      <c r="AR45" s="7676"/>
      <c r="AS45" s="7676"/>
      <c r="AT45" s="7677"/>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4"/>
      <c r="AX45" s="424" t="str">
        <f t="shared" ref="AX45:AX51" si="2">IF(T45="","",T45)</f>
        <v>Наименование тарифа</v>
      </c>
      <c r="AY45" s="424"/>
      <c r="AZ45" s="424"/>
    </row>
    <row r="46" spans="1:52" ht="21" customHeight="1">
      <c r="A46" s="1284" t="s">
        <v>306</v>
      </c>
      <c r="B46" s="1284" t="s">
        <v>307</v>
      </c>
      <c r="C46" s="1284"/>
      <c r="D46" s="1284"/>
      <c r="E46" s="7690"/>
      <c r="F46" s="7689">
        <v>1</v>
      </c>
      <c r="G46" s="1284"/>
      <c r="H46" s="1284"/>
      <c r="I46" s="1284"/>
      <c r="J46" s="1284"/>
      <c r="K46" s="1284"/>
      <c r="L46" s="1285"/>
      <c r="M46" s="1286"/>
      <c r="N46" s="1286"/>
      <c r="O46" s="1286"/>
      <c r="P46" s="1331"/>
      <c r="Q46" s="1332"/>
      <c r="R46" s="274"/>
      <c r="S46" s="1258" t="str">
        <f>INDEX(PT_DIFFERENTIATION_NUM_TER,MATCH(B46,PT_DIFFERENTIATION_TER_ID,0))</f>
        <v>.</v>
      </c>
      <c r="T46" s="224" t="s">
        <v>573</v>
      </c>
      <c r="U46" s="214"/>
      <c r="V46" s="7676"/>
      <c r="W46" s="7676"/>
      <c r="X46" s="7676"/>
      <c r="Y46" s="7676"/>
      <c r="Z46" s="7676"/>
      <c r="AA46" s="7677"/>
      <c r="AB46" s="7675" t="str">
        <f>INDEX(PT_DIFFERENTIATION_TER,MATCH(B46,PT_DIFFERENTIATION_TER_ID,0))</f>
        <v/>
      </c>
      <c r="AC46" s="7676"/>
      <c r="AD46" s="7676"/>
      <c r="AE46" s="7676"/>
      <c r="AF46" s="7676"/>
      <c r="AG46" s="7676"/>
      <c r="AH46" s="7676"/>
      <c r="AI46" s="7676"/>
      <c r="AJ46" s="7676"/>
      <c r="AK46" s="7676"/>
      <c r="AL46" s="7676"/>
      <c r="AM46" s="7676"/>
      <c r="AN46" s="7676"/>
      <c r="AO46" s="7676"/>
      <c r="AP46" s="7676"/>
      <c r="AQ46" s="7676"/>
      <c r="AR46" s="7676"/>
      <c r="AS46" s="7676"/>
      <c r="AT46" s="7677"/>
      <c r="AU46" s="1182" t="s">
        <v>574</v>
      </c>
      <c r="AW46" s="424"/>
      <c r="AX46" s="424" t="str">
        <f t="shared" si="2"/>
        <v>Территория действия тарифа</v>
      </c>
      <c r="AY46" s="424"/>
      <c r="AZ46" s="424"/>
    </row>
    <row r="47" spans="1:52" ht="23.25" customHeight="1">
      <c r="A47" s="1284" t="s">
        <v>306</v>
      </c>
      <c r="B47" s="1284" t="s">
        <v>307</v>
      </c>
      <c r="C47" s="1284" t="s">
        <v>308</v>
      </c>
      <c r="D47" s="1284"/>
      <c r="E47" s="7690"/>
      <c r="F47" s="7690"/>
      <c r="G47" s="7689">
        <v>1</v>
      </c>
      <c r="H47" s="1284"/>
      <c r="I47" s="1284"/>
      <c r="J47" s="1284"/>
      <c r="K47" s="1284"/>
      <c r="L47" s="1285"/>
      <c r="M47" s="1286"/>
      <c r="N47" s="1286"/>
      <c r="O47" s="1286"/>
      <c r="P47" s="1333"/>
      <c r="Q47" s="1332"/>
      <c r="R47" s="274"/>
      <c r="S47" s="1258" t="str">
        <f>INDEX(PT_DIFFERENTIATION_NUM_CS,MATCH(C47,PT_DIFFERENTIATION_CS_ID,0))</f>
        <v>..</v>
      </c>
      <c r="T47" s="225" t="s">
        <v>575</v>
      </c>
      <c r="U47" s="214"/>
      <c r="V47" s="7676"/>
      <c r="W47" s="7676"/>
      <c r="X47" s="7676"/>
      <c r="Y47" s="7676"/>
      <c r="Z47" s="7676"/>
      <c r="AA47" s="7677"/>
      <c r="AB47" s="7675" t="str">
        <f>INDEX(PT_DIFFERENTIATION_CS,MATCH(C47,PT_DIFFERENTIATION_CS_ID,0))</f>
        <v/>
      </c>
      <c r="AC47" s="7676"/>
      <c r="AD47" s="7676"/>
      <c r="AE47" s="7676"/>
      <c r="AF47" s="7676"/>
      <c r="AG47" s="7676"/>
      <c r="AH47" s="7676"/>
      <c r="AI47" s="7676"/>
      <c r="AJ47" s="7676"/>
      <c r="AK47" s="7676"/>
      <c r="AL47" s="7676"/>
      <c r="AM47" s="7676"/>
      <c r="AN47" s="7676"/>
      <c r="AO47" s="7676"/>
      <c r="AP47" s="7676"/>
      <c r="AQ47" s="7676"/>
      <c r="AR47" s="7676"/>
      <c r="AS47" s="7676"/>
      <c r="AT47" s="7677"/>
      <c r="AU47" s="1182" t="s">
        <v>576</v>
      </c>
      <c r="AW47" s="424"/>
      <c r="AX47" s="424" t="str">
        <f t="shared" si="2"/>
        <v xml:space="preserve">Наименование системы теплоснабжения </v>
      </c>
      <c r="AY47" s="424"/>
      <c r="AZ47" s="424"/>
    </row>
    <row r="48" spans="1:52" ht="21" customHeight="1">
      <c r="A48" s="1284" t="s">
        <v>306</v>
      </c>
      <c r="B48" s="1284" t="s">
        <v>307</v>
      </c>
      <c r="C48" s="1284" t="s">
        <v>308</v>
      </c>
      <c r="D48" s="1284" t="s">
        <v>309</v>
      </c>
      <c r="E48" s="7690"/>
      <c r="F48" s="7690"/>
      <c r="G48" s="7690"/>
      <c r="H48" s="7689">
        <v>1</v>
      </c>
      <c r="I48" s="1284"/>
      <c r="J48" s="1284"/>
      <c r="K48" s="1284"/>
      <c r="L48" s="1285"/>
      <c r="M48" s="1286"/>
      <c r="N48" s="1286"/>
      <c r="O48" s="1286"/>
      <c r="P48" s="1333"/>
      <c r="Q48" s="1332"/>
      <c r="R48" s="274"/>
      <c r="S48" s="1258" t="str">
        <f>INDEX(PT_DIFFERENTIATION_NUM_IST_TE,MATCH(D48,PT_DIFFERENTIATION_IST_TE_ID,0))</f>
        <v>...</v>
      </c>
      <c r="T48" s="226" t="s">
        <v>577</v>
      </c>
      <c r="U48" s="214"/>
      <c r="V48" s="7676"/>
      <c r="W48" s="7676"/>
      <c r="X48" s="7676"/>
      <c r="Y48" s="7676"/>
      <c r="Z48" s="7676"/>
      <c r="AA48" s="7677"/>
      <c r="AB48" s="7675" t="str">
        <f>INDEX(PT_DIFFERENTIATION_IST_TE,MATCH(D48,PT_DIFFERENTIATION_IST_TE_ID,0))</f>
        <v/>
      </c>
      <c r="AC48" s="7676"/>
      <c r="AD48" s="7676"/>
      <c r="AE48" s="7676"/>
      <c r="AF48" s="7676"/>
      <c r="AG48" s="7676"/>
      <c r="AH48" s="7676"/>
      <c r="AI48" s="7676"/>
      <c r="AJ48" s="7676"/>
      <c r="AK48" s="7676"/>
      <c r="AL48" s="7676"/>
      <c r="AM48" s="7676"/>
      <c r="AN48" s="7676"/>
      <c r="AO48" s="7676"/>
      <c r="AP48" s="7676"/>
      <c r="AQ48" s="7676"/>
      <c r="AR48" s="7676"/>
      <c r="AS48" s="7676"/>
      <c r="AT48" s="7677"/>
      <c r="AU48" s="1182" t="s">
        <v>578</v>
      </c>
      <c r="AW48" s="424"/>
      <c r="AX48" s="424" t="str">
        <f t="shared" si="2"/>
        <v xml:space="preserve">Источник тепловой энергии  </v>
      </c>
      <c r="AY48" s="424"/>
      <c r="AZ48" s="424"/>
    </row>
    <row r="49" spans="1:52" s="1562" customFormat="1" ht="0" hidden="1" customHeight="1">
      <c r="A49" s="1265" t="s">
        <v>306</v>
      </c>
      <c r="B49" s="1265" t="s">
        <v>307</v>
      </c>
      <c r="C49" s="1265" t="s">
        <v>308</v>
      </c>
      <c r="D49" s="1265" t="s">
        <v>309</v>
      </c>
      <c r="E49" s="7690"/>
      <c r="F49" s="7690"/>
      <c r="G49" s="7690"/>
      <c r="H49" s="7690"/>
      <c r="I49" s="7687" t="str">
        <f>S48&amp;".1"</f>
        <v>....1</v>
      </c>
      <c r="J49" s="1265"/>
      <c r="K49" s="1265"/>
      <c r="L49" s="1268" t="s">
        <v>579</v>
      </c>
      <c r="M49" s="434"/>
      <c r="N49" s="434"/>
      <c r="O49" s="434"/>
      <c r="P49" s="7688">
        <v>1</v>
      </c>
      <c r="Q49" s="1253"/>
      <c r="R49" s="277"/>
      <c r="S49" s="953"/>
      <c r="T49" s="1304"/>
      <c r="U49" s="1305"/>
      <c r="V49" s="7717"/>
      <c r="W49" s="7717"/>
      <c r="X49" s="7717"/>
      <c r="Y49" s="7717"/>
      <c r="Z49" s="7717"/>
      <c r="AA49" s="7718"/>
      <c r="AB49" s="7716"/>
      <c r="AC49" s="7717"/>
      <c r="AD49" s="7717"/>
      <c r="AE49" s="7717"/>
      <c r="AF49" s="7717"/>
      <c r="AG49" s="7717"/>
      <c r="AH49" s="7717"/>
      <c r="AI49" s="7717"/>
      <c r="AJ49" s="7717"/>
      <c r="AK49" s="7717"/>
      <c r="AL49" s="7717"/>
      <c r="AM49" s="7717"/>
      <c r="AN49" s="7717"/>
      <c r="AO49" s="7717"/>
      <c r="AP49" s="7717"/>
      <c r="AQ49" s="7717"/>
      <c r="AR49" s="7717"/>
      <c r="AS49" s="7717"/>
      <c r="AT49" s="7718"/>
      <c r="AU49" s="1306"/>
      <c r="AW49" s="424"/>
      <c r="AX49" s="424" t="str">
        <f t="shared" si="2"/>
        <v/>
      </c>
      <c r="AY49" s="424"/>
      <c r="AZ49" s="424"/>
    </row>
    <row r="50" spans="1:52" s="1562" customFormat="1" ht="0" hidden="1" customHeight="1">
      <c r="A50" s="1265" t="s">
        <v>306</v>
      </c>
      <c r="B50" s="1265" t="s">
        <v>307</v>
      </c>
      <c r="C50" s="1265" t="s">
        <v>308</v>
      </c>
      <c r="D50" s="1265" t="s">
        <v>309</v>
      </c>
      <c r="E50" s="7690"/>
      <c r="F50" s="7690"/>
      <c r="G50" s="7690"/>
      <c r="H50" s="7690"/>
      <c r="I50" s="7710"/>
      <c r="J50" s="7687" t="str">
        <f>S48&amp;".1"</f>
        <v>....1</v>
      </c>
      <c r="K50" s="1265"/>
      <c r="L50" s="1268"/>
      <c r="M50" s="434"/>
      <c r="N50" s="434"/>
      <c r="O50" s="434"/>
      <c r="P50" s="7688"/>
      <c r="Q50" s="7688">
        <v>1</v>
      </c>
      <c r="R50" s="278"/>
      <c r="S50" s="953"/>
      <c r="T50" s="1320"/>
      <c r="U50" s="1305"/>
      <c r="V50" s="7717"/>
      <c r="W50" s="7717"/>
      <c r="X50" s="7717"/>
      <c r="Y50" s="7717"/>
      <c r="Z50" s="7717"/>
      <c r="AA50" s="7718"/>
      <c r="AB50" s="7716"/>
      <c r="AC50" s="7717"/>
      <c r="AD50" s="7717"/>
      <c r="AE50" s="7717"/>
      <c r="AF50" s="7717"/>
      <c r="AG50" s="7717"/>
      <c r="AH50" s="7717"/>
      <c r="AI50" s="7717"/>
      <c r="AJ50" s="7717"/>
      <c r="AK50" s="7717"/>
      <c r="AL50" s="7717"/>
      <c r="AM50" s="7717"/>
      <c r="AN50" s="7717"/>
      <c r="AO50" s="7717"/>
      <c r="AP50" s="7717"/>
      <c r="AQ50" s="7717"/>
      <c r="AR50" s="7717"/>
      <c r="AS50" s="7717"/>
      <c r="AT50" s="7718"/>
      <c r="AU50" s="1306"/>
      <c r="AW50" s="424"/>
      <c r="AX50" s="424" t="str">
        <f t="shared" si="2"/>
        <v/>
      </c>
      <c r="AY50" s="424"/>
      <c r="AZ50" s="424"/>
    </row>
    <row r="51" spans="1:52" ht="21" customHeight="1">
      <c r="A51" s="1284" t="s">
        <v>306</v>
      </c>
      <c r="B51" s="1284" t="s">
        <v>307</v>
      </c>
      <c r="C51" s="1284" t="s">
        <v>308</v>
      </c>
      <c r="D51" s="1284" t="s">
        <v>309</v>
      </c>
      <c r="E51" s="7690"/>
      <c r="F51" s="7690"/>
      <c r="G51" s="7690"/>
      <c r="H51" s="7690"/>
      <c r="I51" s="7710"/>
      <c r="J51" s="7710"/>
      <c r="K51" s="7687" t="str">
        <f>S48&amp;".1"</f>
        <v>....1</v>
      </c>
      <c r="L51" s="1285"/>
      <c r="P51" s="7688"/>
      <c r="Q51" s="7688"/>
      <c r="R51" s="278">
        <v>1</v>
      </c>
      <c r="S51" s="7739" t="str">
        <f>$K51</f>
        <v>....1</v>
      </c>
      <c r="T51" s="7742"/>
      <c r="U51" s="214"/>
      <c r="V51" s="666"/>
      <c r="W51" s="1181"/>
      <c r="X51" s="1653"/>
      <c r="Y51" s="1377" t="s">
        <v>60</v>
      </c>
      <c r="Z51" s="1653"/>
      <c r="AA51" s="1377" t="s">
        <v>60</v>
      </c>
      <c r="AB51" s="7540" t="s">
        <v>55</v>
      </c>
      <c r="AC51" s="7725"/>
      <c r="AD51" s="7644">
        <v>1</v>
      </c>
      <c r="AE51" s="7746" t="s">
        <v>24</v>
      </c>
      <c r="AF51" s="7540" t="s">
        <v>55</v>
      </c>
      <c r="AG51" s="7725"/>
      <c r="AH51" s="7644">
        <v>1</v>
      </c>
      <c r="AI51" s="7746" t="s">
        <v>24</v>
      </c>
      <c r="AJ51" s="7540" t="s">
        <v>55</v>
      </c>
      <c r="AK51" s="227"/>
      <c r="AL51" s="1259">
        <v>1</v>
      </c>
      <c r="AM51" s="1323"/>
      <c r="AN51" s="666"/>
      <c r="AO51" s="1181"/>
      <c r="AP51" s="1653"/>
      <c r="AQ51" s="1377" t="s">
        <v>60</v>
      </c>
      <c r="AR51" s="1653"/>
      <c r="AS51" s="1377" t="s">
        <v>60</v>
      </c>
      <c r="AT51" s="1270"/>
      <c r="AU51" s="7684" t="s">
        <v>653</v>
      </c>
      <c r="AV51" s="435" t="e">
        <f ca="1">STRCHECKDATE(V54:AT54)</f>
        <v>#NAME?</v>
      </c>
      <c r="AW51" s="424"/>
      <c r="AX51" s="424" t="str">
        <f t="shared" si="2"/>
        <v/>
      </c>
      <c r="AY51" s="424"/>
      <c r="AZ51" s="424"/>
    </row>
    <row r="52" spans="1:52" ht="11.25" customHeight="1">
      <c r="A52" s="1284" t="s">
        <v>306</v>
      </c>
      <c r="B52" s="1284"/>
      <c r="C52" s="1284"/>
      <c r="D52" s="1284"/>
      <c r="E52" s="7690"/>
      <c r="F52" s="7690"/>
      <c r="G52" s="7690"/>
      <c r="H52" s="7690"/>
      <c r="I52" s="7710"/>
      <c r="J52" s="7710"/>
      <c r="K52" s="7687"/>
      <c r="L52" s="1285"/>
      <c r="P52" s="7688"/>
      <c r="Q52" s="7688"/>
      <c r="R52" s="278"/>
      <c r="S52" s="7740"/>
      <c r="T52" s="7743"/>
      <c r="U52" s="214"/>
      <c r="V52" s="1314"/>
      <c r="W52" s="1411"/>
      <c r="X52" s="1314"/>
      <c r="Y52" s="1314"/>
      <c r="Z52" s="1314"/>
      <c r="AA52" s="1314"/>
      <c r="AB52" s="7540"/>
      <c r="AC52" s="7725"/>
      <c r="AD52" s="7644"/>
      <c r="AE52" s="7746"/>
      <c r="AF52" s="7540"/>
      <c r="AG52" s="7725"/>
      <c r="AH52" s="7644"/>
      <c r="AI52" s="7746"/>
      <c r="AJ52" s="7540"/>
      <c r="AK52" s="234"/>
      <c r="AL52" s="345"/>
      <c r="AM52" s="344" t="s">
        <v>637</v>
      </c>
      <c r="AN52" s="1314"/>
      <c r="AO52" s="1411"/>
      <c r="AP52" s="1314"/>
      <c r="AQ52" s="1314"/>
      <c r="AR52" s="1314"/>
      <c r="AS52" s="1314"/>
      <c r="AT52" s="1311"/>
      <c r="AU52" s="7685"/>
      <c r="AW52" s="424"/>
      <c r="AX52" s="424"/>
      <c r="AY52" s="424"/>
      <c r="AZ52" s="424"/>
    </row>
    <row r="53" spans="1:52" ht="11.25" customHeight="1">
      <c r="A53" s="1284" t="s">
        <v>306</v>
      </c>
      <c r="B53" s="1284"/>
      <c r="C53" s="1284"/>
      <c r="D53" s="1284"/>
      <c r="E53" s="7690"/>
      <c r="F53" s="7690"/>
      <c r="G53" s="7690"/>
      <c r="H53" s="7690"/>
      <c r="I53" s="7710"/>
      <c r="J53" s="7710"/>
      <c r="K53" s="7687"/>
      <c r="L53" s="1285"/>
      <c r="P53" s="7688"/>
      <c r="Q53" s="7688"/>
      <c r="R53" s="278"/>
      <c r="S53" s="7740"/>
      <c r="T53" s="7743"/>
      <c r="U53" s="214"/>
      <c r="V53" s="1314"/>
      <c r="W53" s="1411"/>
      <c r="X53" s="1314"/>
      <c r="Y53" s="1314"/>
      <c r="Z53" s="1314"/>
      <c r="AA53" s="1314"/>
      <c r="AB53" s="7540"/>
      <c r="AC53" s="7725"/>
      <c r="AD53" s="7644"/>
      <c r="AE53" s="7746"/>
      <c r="AF53" s="7540"/>
      <c r="AG53" s="208"/>
      <c r="AH53" s="344"/>
      <c r="AI53" s="344" t="s">
        <v>638</v>
      </c>
      <c r="AJ53" s="1314"/>
      <c r="AK53" s="1314"/>
      <c r="AL53" s="1314"/>
      <c r="AM53" s="1314"/>
      <c r="AN53" s="1314"/>
      <c r="AO53" s="1411"/>
      <c r="AP53" s="1314"/>
      <c r="AQ53" s="1314"/>
      <c r="AR53" s="1314"/>
      <c r="AS53" s="1314"/>
      <c r="AT53" s="1311"/>
      <c r="AU53" s="7685"/>
      <c r="AW53" s="424"/>
      <c r="AX53" s="424"/>
      <c r="AY53" s="424"/>
      <c r="AZ53" s="424"/>
    </row>
    <row r="54" spans="1:52" ht="11.25" customHeight="1">
      <c r="A54" s="1284" t="s">
        <v>306</v>
      </c>
      <c r="B54" s="1284" t="s">
        <v>307</v>
      </c>
      <c r="C54" s="1284" t="s">
        <v>308</v>
      </c>
      <c r="D54" s="1284" t="s">
        <v>309</v>
      </c>
      <c r="E54" s="7690"/>
      <c r="F54" s="7690"/>
      <c r="G54" s="7690"/>
      <c r="H54" s="7690"/>
      <c r="I54" s="7710"/>
      <c r="J54" s="7710"/>
      <c r="K54" s="7687"/>
      <c r="L54" s="1285"/>
      <c r="P54" s="7688"/>
      <c r="Q54" s="7688"/>
      <c r="R54" s="278"/>
      <c r="S54" s="7741"/>
      <c r="T54" s="7744"/>
      <c r="U54" s="214"/>
      <c r="V54" s="1314"/>
      <c r="W54" s="1315" t="str">
        <f>X51&amp;"-"&amp;Z51</f>
        <v>-</v>
      </c>
      <c r="X54" s="1314"/>
      <c r="Y54" s="1314"/>
      <c r="Z54" s="1314"/>
      <c r="AA54" s="1314"/>
      <c r="AB54" s="7540"/>
      <c r="AC54" s="228"/>
      <c r="AD54" s="230"/>
      <c r="AE54" s="344" t="s">
        <v>639</v>
      </c>
      <c r="AF54" s="1314"/>
      <c r="AG54" s="1314"/>
      <c r="AH54" s="1314"/>
      <c r="AI54" s="1314"/>
      <c r="AJ54" s="1314"/>
      <c r="AK54" s="1314"/>
      <c r="AL54" s="1314"/>
      <c r="AM54" s="1314"/>
      <c r="AN54" s="1314"/>
      <c r="AO54" s="1315" t="str">
        <f>AP51&amp;"-"&amp;AR51</f>
        <v>-</v>
      </c>
      <c r="AP54" s="1314"/>
      <c r="AQ54" s="1314"/>
      <c r="AR54" s="1314"/>
      <c r="AS54" s="1314"/>
      <c r="AT54" s="1271"/>
      <c r="AU54" s="7685"/>
      <c r="AW54" s="424"/>
      <c r="AX54" s="424" t="str">
        <f t="shared" ref="AX54:AX62" si="3">IF(T54="","",T54)</f>
        <v/>
      </c>
      <c r="AY54" s="424"/>
      <c r="AZ54" s="424"/>
    </row>
    <row r="55" spans="1:52" ht="11.25" customHeight="1">
      <c r="A55" s="1284" t="s">
        <v>306</v>
      </c>
      <c r="B55" s="1284" t="s">
        <v>307</v>
      </c>
      <c r="C55" s="1284" t="s">
        <v>308</v>
      </c>
      <c r="D55" s="1284" t="s">
        <v>309</v>
      </c>
      <c r="E55" s="7690"/>
      <c r="F55" s="7690"/>
      <c r="G55" s="7690"/>
      <c r="H55" s="7690"/>
      <c r="I55" s="7710"/>
      <c r="J55" s="7687"/>
      <c r="K55" s="1284"/>
      <c r="L55" s="1285"/>
      <c r="P55" s="7688"/>
      <c r="Q55" s="7688"/>
      <c r="R55" s="277"/>
      <c r="S55" s="1203"/>
      <c r="T55" s="202" t="s">
        <v>640</v>
      </c>
      <c r="U55" s="291"/>
      <c r="V55" s="291"/>
      <c r="W55" s="291"/>
      <c r="X55" s="291"/>
      <c r="Y55" s="291"/>
      <c r="Z55" s="291"/>
      <c r="AA55" s="245"/>
      <c r="AB55" s="1420"/>
      <c r="AC55" s="291"/>
      <c r="AD55" s="291"/>
      <c r="AE55" s="291"/>
      <c r="AF55" s="291"/>
      <c r="AG55" s="291"/>
      <c r="AH55" s="291"/>
      <c r="AI55" s="291"/>
      <c r="AJ55" s="291"/>
      <c r="AK55" s="291"/>
      <c r="AL55" s="291"/>
      <c r="AM55" s="291"/>
      <c r="AN55" s="291"/>
      <c r="AO55" s="291"/>
      <c r="AP55" s="291"/>
      <c r="AQ55" s="291"/>
      <c r="AR55" s="291"/>
      <c r="AS55" s="291"/>
      <c r="AT55" s="245"/>
      <c r="AU55" s="7686"/>
      <c r="AW55" s="424"/>
      <c r="AX55" s="424" t="str">
        <f t="shared" si="3"/>
        <v>Добавить строку</v>
      </c>
      <c r="AY55" s="424"/>
      <c r="AZ55" s="424"/>
    </row>
    <row r="56" spans="1:52" s="1562" customFormat="1" ht="0" hidden="1" customHeight="1">
      <c r="A56" s="1265" t="s">
        <v>306</v>
      </c>
      <c r="B56" s="1265" t="s">
        <v>307</v>
      </c>
      <c r="C56" s="1265" t="s">
        <v>308</v>
      </c>
      <c r="D56" s="1265" t="s">
        <v>309</v>
      </c>
      <c r="E56" s="7690"/>
      <c r="F56" s="7690"/>
      <c r="G56" s="7690"/>
      <c r="H56" s="7690"/>
      <c r="I56" s="7687"/>
      <c r="J56" s="1265"/>
      <c r="K56" s="1265"/>
      <c r="L56" s="1268"/>
      <c r="M56" s="434"/>
      <c r="N56" s="434"/>
      <c r="O56" s="434"/>
      <c r="P56" s="7688"/>
      <c r="Q56" s="1253"/>
      <c r="R56" s="277"/>
      <c r="S56" s="1307"/>
      <c r="T56" s="1308" t="s">
        <v>588</v>
      </c>
      <c r="U56" s="1309"/>
      <c r="V56" s="1309"/>
      <c r="W56" s="1309"/>
      <c r="X56" s="1309"/>
      <c r="Y56" s="1309"/>
      <c r="Z56" s="1309"/>
      <c r="AA56" s="1309"/>
      <c r="AB56" s="1309"/>
      <c r="AC56" s="1309"/>
      <c r="AD56" s="1309"/>
      <c r="AE56" s="1309"/>
      <c r="AF56" s="1309"/>
      <c r="AG56" s="1309"/>
      <c r="AH56" s="1309"/>
      <c r="AI56" s="1309"/>
      <c r="AJ56" s="1309"/>
      <c r="AK56" s="1309"/>
      <c r="AL56" s="1309"/>
      <c r="AM56" s="1309"/>
      <c r="AN56" s="1309"/>
      <c r="AO56" s="1309"/>
      <c r="AP56" s="1309"/>
      <c r="AQ56" s="1309"/>
      <c r="AR56" s="1309"/>
      <c r="AS56" s="1309"/>
      <c r="AT56" s="1309"/>
      <c r="AU56" s="1310"/>
      <c r="AW56" s="424"/>
      <c r="AX56" s="424" t="str">
        <f t="shared" si="3"/>
        <v>Добавить группу потребителей</v>
      </c>
      <c r="AY56" s="424"/>
      <c r="AZ56" s="424"/>
    </row>
    <row r="57" spans="1:52" s="1561" customFormat="1" ht="0" hidden="1" customHeight="1">
      <c r="A57" s="1265" t="s">
        <v>306</v>
      </c>
      <c r="B57" s="1265" t="s">
        <v>307</v>
      </c>
      <c r="C57" s="1265" t="s">
        <v>308</v>
      </c>
      <c r="D57" s="1265" t="s">
        <v>309</v>
      </c>
      <c r="E57" s="7690"/>
      <c r="F57" s="7690"/>
      <c r="G57" s="7690"/>
      <c r="H57" s="7689"/>
      <c r="I57" s="1265"/>
      <c r="J57" s="1265"/>
      <c r="K57" s="1265"/>
      <c r="L57" s="1268"/>
      <c r="M57" s="1238"/>
      <c r="N57" s="1238"/>
      <c r="O57" s="442"/>
      <c r="P57" s="308"/>
      <c r="Q57" s="1266"/>
      <c r="R57" s="1321"/>
      <c r="S57" s="1307"/>
      <c r="T57" s="1308"/>
      <c r="U57" s="1309"/>
      <c r="V57" s="1309"/>
      <c r="W57" s="1309"/>
      <c r="X57" s="1309"/>
      <c r="Y57" s="1309"/>
      <c r="Z57" s="1309"/>
      <c r="AA57" s="1309"/>
      <c r="AB57" s="1309"/>
      <c r="AC57" s="1309"/>
      <c r="AD57" s="1309"/>
      <c r="AE57" s="1309"/>
      <c r="AF57" s="1309"/>
      <c r="AG57" s="1309"/>
      <c r="AH57" s="1309"/>
      <c r="AI57" s="1309"/>
      <c r="AJ57" s="1309"/>
      <c r="AK57" s="1309"/>
      <c r="AL57" s="1309"/>
      <c r="AM57" s="1309"/>
      <c r="AN57" s="1309"/>
      <c r="AO57" s="1309"/>
      <c r="AP57" s="1309"/>
      <c r="AQ57" s="1309"/>
      <c r="AR57" s="1309"/>
      <c r="AS57" s="1309"/>
      <c r="AT57" s="1309"/>
      <c r="AU57" s="1310"/>
      <c r="AV57" s="435"/>
      <c r="AW57" s="424"/>
      <c r="AX57" s="424" t="str">
        <f t="shared" si="3"/>
        <v/>
      </c>
      <c r="AY57" s="424"/>
      <c r="AZ57" s="424"/>
    </row>
    <row r="58" spans="1:52" s="1562" customFormat="1" ht="0" hidden="1" customHeight="1">
      <c r="A58" s="1265" t="s">
        <v>306</v>
      </c>
      <c r="B58" s="1265" t="s">
        <v>307</v>
      </c>
      <c r="C58" s="1265" t="s">
        <v>308</v>
      </c>
      <c r="D58" s="1237"/>
      <c r="E58" s="7690"/>
      <c r="F58" s="7690"/>
      <c r="G58" s="7689"/>
      <c r="H58" s="1237"/>
      <c r="I58" s="1237"/>
      <c r="J58" s="1237"/>
      <c r="K58" s="1237"/>
      <c r="L58" s="1261"/>
      <c r="M58" s="1238"/>
      <c r="N58" s="1238"/>
      <c r="P58" s="1239"/>
      <c r="Q58" s="1240"/>
      <c r="R58" s="1239"/>
      <c r="S58" s="1245"/>
      <c r="T58" s="1248" t="s">
        <v>590</v>
      </c>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W58" s="703"/>
      <c r="AX58" s="703" t="str">
        <f t="shared" si="3"/>
        <v>Добавить источник для дифференциации</v>
      </c>
      <c r="AY58" s="703"/>
      <c r="AZ58" s="703"/>
    </row>
    <row r="59" spans="1:52" s="1562" customFormat="1" ht="0" hidden="1" customHeight="1">
      <c r="A59" s="1265" t="s">
        <v>306</v>
      </c>
      <c r="B59" s="1265" t="s">
        <v>307</v>
      </c>
      <c r="C59" s="1237"/>
      <c r="D59" s="1237"/>
      <c r="E59" s="7690"/>
      <c r="F59" s="7689"/>
      <c r="G59" s="1237"/>
      <c r="H59" s="1237"/>
      <c r="I59" s="1237"/>
      <c r="J59" s="1237"/>
      <c r="K59" s="1237"/>
      <c r="L59" s="1261"/>
      <c r="M59" s="1244"/>
      <c r="N59" s="1244"/>
      <c r="P59" s="1239"/>
      <c r="Q59" s="1240"/>
      <c r="R59" s="1239"/>
      <c r="S59" s="1245"/>
      <c r="T59" s="1248" t="s">
        <v>325</v>
      </c>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W59" s="703"/>
      <c r="AX59" s="703" t="str">
        <f t="shared" si="3"/>
        <v>Добавить централизованную систему для дифференциации</v>
      </c>
      <c r="AY59" s="703"/>
      <c r="AZ59" s="703"/>
    </row>
    <row r="60" spans="1:52" s="1562" customFormat="1" ht="0" hidden="1" customHeight="1">
      <c r="A60" s="1265" t="s">
        <v>306</v>
      </c>
      <c r="B60" s="1265"/>
      <c r="C60" s="1265"/>
      <c r="D60" s="1265"/>
      <c r="E60" s="7690"/>
      <c r="F60" s="1265"/>
      <c r="G60" s="1265"/>
      <c r="H60" s="1265"/>
      <c r="I60" s="1265"/>
      <c r="J60" s="1265"/>
      <c r="K60" s="1265"/>
      <c r="L60" s="1268"/>
      <c r="M60" s="1244"/>
      <c r="N60" s="1244"/>
      <c r="O60" s="442"/>
      <c r="P60" s="308"/>
      <c r="Q60" s="1266"/>
      <c r="R60" s="308"/>
      <c r="S60" s="1245"/>
      <c r="T60" s="1248" t="s">
        <v>326</v>
      </c>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W60" s="424"/>
      <c r="AX60" s="424" t="str">
        <f t="shared" si="3"/>
        <v>Добавить территорию для дифференциации</v>
      </c>
      <c r="AY60" s="424"/>
      <c r="AZ60" s="424"/>
    </row>
    <row r="61" spans="1:52" s="1562" customFormat="1" ht="0" hidden="1" customHeight="1">
      <c r="A61" s="1265" t="s">
        <v>306</v>
      </c>
      <c r="B61" s="1265"/>
      <c r="C61" s="1265"/>
      <c r="D61" s="1265"/>
      <c r="E61" s="7689"/>
      <c r="F61" s="1265"/>
      <c r="G61" s="1265"/>
      <c r="H61" s="1265"/>
      <c r="I61" s="1265"/>
      <c r="J61" s="1265"/>
      <c r="K61" s="1265"/>
      <c r="L61" s="1268"/>
      <c r="M61" s="1244"/>
      <c r="N61" s="1244"/>
      <c r="O61" s="442"/>
      <c r="P61" s="308"/>
      <c r="Q61" s="1266"/>
      <c r="R61" s="308"/>
      <c r="S61" s="1245"/>
      <c r="T61" s="1248" t="s">
        <v>326</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W61" s="424"/>
      <c r="AX61" s="424" t="str">
        <f t="shared" si="3"/>
        <v>Добавить территорию для дифференциации</v>
      </c>
      <c r="AY61" s="424"/>
      <c r="AZ61" s="424"/>
    </row>
    <row r="62" spans="1:52" s="1562" customFormat="1" ht="0" hidden="1" customHeight="1">
      <c r="A62" s="1237"/>
      <c r="B62" s="1237"/>
      <c r="C62" s="1237"/>
      <c r="D62" s="1237"/>
      <c r="E62" s="1265"/>
      <c r="F62" s="1237"/>
      <c r="G62" s="1237"/>
      <c r="H62" s="1237"/>
      <c r="I62" s="1237"/>
      <c r="J62" s="1237"/>
      <c r="K62" s="1237"/>
      <c r="L62" s="1261"/>
      <c r="M62" s="1244"/>
      <c r="N62" s="1244"/>
      <c r="P62" s="1239"/>
      <c r="Q62" s="1240"/>
      <c r="R62" s="1239"/>
      <c r="S62" s="1245"/>
      <c r="T62" s="1248" t="s">
        <v>402</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W62" s="703"/>
      <c r="AX62" s="703" t="str">
        <f t="shared" si="3"/>
        <v>Добавить наименование тарифа</v>
      </c>
      <c r="AY62" s="703"/>
      <c r="AZ62" s="703"/>
    </row>
    <row r="63" spans="1:52" ht="11.25" customHeight="1">
      <c r="M63" s="1065"/>
      <c r="N63" s="1065"/>
      <c r="O63" s="460"/>
      <c r="P63" s="1065"/>
      <c r="Q63" s="1065"/>
      <c r="R63" s="1060"/>
      <c r="S63" s="1060"/>
      <c r="AV63" s="1060"/>
      <c r="AW63" s="1060"/>
      <c r="AX63" s="1060"/>
      <c r="AY63" s="1060"/>
      <c r="AZ63" s="1060"/>
    </row>
    <row r="64" spans="1:52" ht="18.75" customHeight="1">
      <c r="O64" s="460"/>
      <c r="S64" s="1169"/>
      <c r="T64" s="7709"/>
      <c r="U64" s="7709"/>
      <c r="V64" s="7709"/>
      <c r="W64" s="7709"/>
      <c r="X64" s="7709"/>
      <c r="Y64" s="7709"/>
      <c r="Z64" s="7709"/>
      <c r="AA64" s="7709"/>
      <c r="AB64" s="7709"/>
      <c r="AC64" s="7709"/>
      <c r="AD64" s="7709"/>
      <c r="AE64" s="7709"/>
      <c r="AF64" s="7709"/>
      <c r="AG64" s="7709"/>
      <c r="AH64" s="7709"/>
      <c r="AI64" s="7709"/>
      <c r="AJ64" s="7709"/>
      <c r="AK64" s="7709"/>
      <c r="AL64" s="7709"/>
      <c r="AM64" s="7709"/>
      <c r="AN64" s="7709"/>
      <c r="AO64" s="7709"/>
      <c r="AP64" s="7709"/>
      <c r="AQ64" s="7709"/>
      <c r="AR64" s="7709"/>
      <c r="AS64" s="7709"/>
      <c r="AT64" s="7709"/>
      <c r="AU64" s="7709"/>
    </row>
    <row r="65" spans="15:47" ht="19.5" customHeight="1">
      <c r="O65" s="460"/>
      <c r="T65" s="7709"/>
      <c r="U65" s="7709"/>
      <c r="V65" s="7709"/>
      <c r="W65" s="7709"/>
      <c r="X65" s="7709"/>
      <c r="Y65" s="7709"/>
      <c r="Z65" s="7709"/>
      <c r="AA65" s="7709"/>
      <c r="AB65" s="7709"/>
      <c r="AC65" s="7709"/>
      <c r="AD65" s="7709"/>
      <c r="AE65" s="7709"/>
      <c r="AF65" s="7709"/>
      <c r="AG65" s="7709"/>
      <c r="AH65" s="7709"/>
      <c r="AI65" s="7709"/>
      <c r="AJ65" s="7709"/>
      <c r="AK65" s="7709"/>
      <c r="AL65" s="7709"/>
      <c r="AM65" s="7709"/>
      <c r="AN65" s="7709"/>
      <c r="AO65" s="7709"/>
      <c r="AP65" s="7709"/>
      <c r="AQ65" s="7709"/>
      <c r="AR65" s="7709"/>
      <c r="AS65" s="7709"/>
      <c r="AT65" s="7709"/>
      <c r="AU65" s="7709"/>
    </row>
    <row r="66" spans="15:47" ht="14.25" customHeight="1">
      <c r="O66" s="460"/>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row>
    <row r="67" spans="15:47" ht="18.75" customHeight="1">
      <c r="O67" s="460"/>
      <c r="T67" s="7709"/>
      <c r="U67" s="7709"/>
      <c r="V67" s="7709"/>
      <c r="W67" s="7709"/>
      <c r="X67" s="7709"/>
      <c r="Y67" s="7709"/>
      <c r="Z67" s="7709"/>
      <c r="AA67" s="7709"/>
      <c r="AB67" s="7709"/>
      <c r="AC67" s="7709"/>
      <c r="AD67" s="7709"/>
      <c r="AE67" s="7709"/>
      <c r="AF67" s="7709"/>
      <c r="AG67" s="7709"/>
      <c r="AH67" s="7709"/>
      <c r="AI67" s="7709"/>
      <c r="AJ67" s="7709"/>
      <c r="AK67" s="7709"/>
      <c r="AL67" s="7709"/>
      <c r="AM67" s="7709"/>
      <c r="AN67" s="7709"/>
      <c r="AO67" s="7709"/>
      <c r="AP67" s="7709"/>
      <c r="AQ67" s="7709"/>
      <c r="AR67" s="7709"/>
      <c r="AS67" s="7709"/>
      <c r="AT67" s="7709"/>
      <c r="AU67" s="7709"/>
    </row>
    <row r="68" spans="15:47" ht="15.75" customHeight="1">
      <c r="O68" s="460"/>
      <c r="T68" s="7709"/>
      <c r="U68" s="7709"/>
      <c r="V68" s="7709"/>
      <c r="W68" s="7709"/>
      <c r="X68" s="7709"/>
      <c r="Y68" s="7709"/>
      <c r="Z68" s="7709"/>
      <c r="AA68" s="7709"/>
      <c r="AB68" s="7709"/>
      <c r="AC68" s="7709"/>
      <c r="AD68" s="7709"/>
      <c r="AE68" s="7709"/>
      <c r="AF68" s="7709"/>
      <c r="AG68" s="7709"/>
      <c r="AH68" s="7709"/>
      <c r="AI68" s="7709"/>
      <c r="AJ68" s="7709"/>
      <c r="AK68" s="7709"/>
      <c r="AL68" s="7709"/>
      <c r="AM68" s="7709"/>
      <c r="AN68" s="7709"/>
      <c r="AO68" s="7709"/>
      <c r="AP68" s="7709"/>
      <c r="AQ68" s="7709"/>
      <c r="AR68" s="7709"/>
      <c r="AS68" s="7709"/>
      <c r="AT68" s="7709"/>
      <c r="AU68" s="7709"/>
    </row>
    <row r="69" spans="15:47" ht="14.25" customHeight="1">
      <c r="O69" s="460"/>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A297"/>
  <sheetViews>
    <sheetView showGridLines="0" topLeftCell="BY263" zoomScale="80" workbookViewId="0">
      <selection activeCell="AC158" sqref="AC158"/>
    </sheetView>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5" hidden="1" customWidth="1"/>
    <col min="13" max="14" width="12.28515625" style="1696" hidden="1" customWidth="1"/>
    <col min="15" max="15" width="23.42578125" style="1696" hidden="1" customWidth="1"/>
    <col min="16" max="16" width="3.7109375" style="1817" customWidth="1"/>
    <col min="17" max="18" width="3.7109375" style="265" customWidth="1"/>
    <col min="19" max="19" width="12.7109375" style="1820"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29" width="14.7109375" style="1555" customWidth="1"/>
    <col min="30" max="30" width="8.7109375" style="1555" customWidth="1"/>
    <col min="31" max="31" width="9.140625" style="1555" customWidth="1"/>
    <col min="32" max="32" width="11.7109375" style="1555" customWidth="1"/>
    <col min="33" max="33" width="3.7109375" style="1555" customWidth="1"/>
    <col min="34" max="34" width="11.7109375" style="1555" customWidth="1"/>
    <col min="35" max="35" width="8.5703125" style="1555" customWidth="1"/>
    <col min="98" max="98" width="10.5703125" hidden="1"/>
    <col min="99" max="99" width="4.7109375" style="1555" customWidth="1"/>
    <col min="100" max="100" width="115.7109375" style="1555" customWidth="1"/>
    <col min="101" max="102" width="10.5703125" style="1562"/>
    <col min="103" max="103" width="11.140625" style="1562" customWidth="1"/>
    <col min="104" max="105" width="10.5703125" style="1562"/>
  </cols>
  <sheetData>
    <row r="1" spans="1:105" ht="14.25" hidden="1" customHeight="1">
      <c r="X1" s="249"/>
      <c r="Y1" s="249"/>
      <c r="AE1" s="249"/>
      <c r="AF1" s="249"/>
      <c r="AJ1" s="1555"/>
      <c r="AK1" s="1555"/>
      <c r="AL1" s="1555"/>
      <c r="AM1" s="1555"/>
      <c r="AN1" s="1555"/>
      <c r="AO1" s="1555"/>
      <c r="AP1" s="1555"/>
      <c r="AQ1" s="1555"/>
      <c r="AR1" s="1555"/>
      <c r="AS1" s="1555"/>
      <c r="AT1" s="1555"/>
      <c r="AU1" s="1555"/>
      <c r="AV1" s="1555"/>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c r="BU1" s="1555"/>
      <c r="BV1" s="1555"/>
      <c r="BW1" s="1555"/>
      <c r="BX1" s="1555"/>
      <c r="BY1" s="1555"/>
      <c r="BZ1" s="1555"/>
      <c r="CA1" s="1555"/>
      <c r="CB1" s="1555"/>
      <c r="CC1" s="1555"/>
      <c r="CD1" s="1555"/>
      <c r="CE1" s="1555"/>
      <c r="CF1" s="1555"/>
      <c r="CG1" s="1555"/>
      <c r="CH1" s="1555"/>
      <c r="CI1" s="1555"/>
      <c r="CJ1" s="1555"/>
      <c r="CK1" s="1555"/>
      <c r="CL1" s="1555"/>
      <c r="CM1" s="1555"/>
      <c r="CN1" s="1555"/>
      <c r="CO1" s="1555"/>
      <c r="CP1" s="1555"/>
      <c r="CQ1" s="1555"/>
      <c r="CR1" s="1555"/>
      <c r="CS1" s="1555"/>
      <c r="CT1" s="1555"/>
    </row>
    <row r="2" spans="1:105" ht="23.25" hidden="1" customHeight="1">
      <c r="A2" s="1284"/>
      <c r="B2" s="1284"/>
      <c r="C2" s="1284"/>
      <c r="D2" s="1284"/>
      <c r="E2" s="7689">
        <v>1</v>
      </c>
      <c r="F2" s="1284"/>
      <c r="G2" s="1284"/>
      <c r="H2" s="1284"/>
      <c r="I2" s="1284"/>
      <c r="J2" s="1284"/>
      <c r="K2" s="1284"/>
      <c r="L2" s="1285"/>
      <c r="M2" s="1286"/>
      <c r="N2" s="1286"/>
      <c r="O2" s="1286"/>
      <c r="P2" s="282"/>
      <c r="Q2" s="281"/>
      <c r="R2" s="276"/>
      <c r="S2" s="1345" t="e">
        <f>INDEX(PT_DIFFERENTIATION_NUM_NTAR,MATCH(A2,PT_DIFFERENTIATION_NTAR_ID,0))</f>
        <v>#N/A</v>
      </c>
      <c r="T2" s="212" t="s">
        <v>237</v>
      </c>
      <c r="U2" s="214"/>
      <c r="V2" s="7675"/>
      <c r="W2" s="7676"/>
      <c r="X2" s="7676"/>
      <c r="Y2" s="7676"/>
      <c r="Z2" s="7676"/>
      <c r="AA2" s="7676"/>
      <c r="AB2" s="7677"/>
      <c r="AC2" s="7675" t="e">
        <f>INDEX(PT_DIFFERENTIATION_NTAR,MATCH(A2,PT_DIFFERENTIATION_NTAR_ID,0))</f>
        <v>#N/A</v>
      </c>
      <c r="AD2" s="7676"/>
      <c r="AE2" s="7676"/>
      <c r="AF2" s="7676"/>
      <c r="AG2" s="7676"/>
      <c r="AH2" s="7676"/>
      <c r="AI2" s="7676"/>
      <c r="AJ2" s="7675"/>
      <c r="AK2" s="7676"/>
      <c r="AL2" s="7676"/>
      <c r="AM2" s="7676"/>
      <c r="AN2" s="7676"/>
      <c r="AO2" s="7676"/>
      <c r="AP2" s="7677"/>
      <c r="AQ2" s="7675"/>
      <c r="AR2" s="7676"/>
      <c r="AS2" s="7676"/>
      <c r="AT2" s="7676"/>
      <c r="AU2" s="7676"/>
      <c r="AV2" s="7676"/>
      <c r="AW2" s="7677"/>
      <c r="AX2" s="7675"/>
      <c r="AY2" s="7676"/>
      <c r="AZ2" s="7676"/>
      <c r="BA2" s="7676"/>
      <c r="BB2" s="7676"/>
      <c r="BC2" s="7676"/>
      <c r="BD2" s="7677"/>
      <c r="BE2" s="7675"/>
      <c r="BF2" s="7676"/>
      <c r="BG2" s="7676"/>
      <c r="BH2" s="7676"/>
      <c r="BI2" s="7676"/>
      <c r="BJ2" s="7676"/>
      <c r="BK2" s="7677"/>
      <c r="BL2" s="7675"/>
      <c r="BM2" s="7676"/>
      <c r="BN2" s="7676"/>
      <c r="BO2" s="7676"/>
      <c r="BP2" s="7676"/>
      <c r="BQ2" s="7676"/>
      <c r="BR2" s="7677"/>
      <c r="BS2" s="7675"/>
      <c r="BT2" s="7676"/>
      <c r="BU2" s="7676"/>
      <c r="BV2" s="7676"/>
      <c r="BW2" s="7676"/>
      <c r="BX2" s="7676"/>
      <c r="BY2" s="7677"/>
      <c r="BZ2" s="7675"/>
      <c r="CA2" s="7676"/>
      <c r="CB2" s="7676"/>
      <c r="CC2" s="7676"/>
      <c r="CD2" s="7676"/>
      <c r="CE2" s="7676"/>
      <c r="CF2" s="7677"/>
      <c r="CG2" s="7675"/>
      <c r="CH2" s="7676"/>
      <c r="CI2" s="7676"/>
      <c r="CJ2" s="7676"/>
      <c r="CK2" s="7676"/>
      <c r="CL2" s="7676"/>
      <c r="CM2" s="7677"/>
      <c r="CN2" s="7675"/>
      <c r="CO2" s="7676"/>
      <c r="CP2" s="7676"/>
      <c r="CQ2" s="7676"/>
      <c r="CR2" s="7676"/>
      <c r="CS2" s="7676"/>
      <c r="CT2" s="7677"/>
      <c r="CU2" s="7677"/>
      <c r="CV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2" s="424"/>
      <c r="CY2" s="424" t="str">
        <f t="shared" ref="CY2:CY13" si="0">IF(T2="","",T2)</f>
        <v>Наименование тарифа</v>
      </c>
      <c r="CZ2" s="424"/>
      <c r="DA2" s="424"/>
    </row>
    <row r="3" spans="1:105" ht="23.25" hidden="1" customHeight="1">
      <c r="A3" s="1284"/>
      <c r="B3" s="1284"/>
      <c r="C3" s="1284"/>
      <c r="D3" s="1284"/>
      <c r="E3" s="7690"/>
      <c r="F3" s="7689">
        <v>1</v>
      </c>
      <c r="G3" s="1284"/>
      <c r="H3" s="1284"/>
      <c r="I3" s="1284"/>
      <c r="J3" s="1284"/>
      <c r="K3" s="1284"/>
      <c r="L3" s="1285"/>
      <c r="M3" s="1286"/>
      <c r="N3" s="1286"/>
      <c r="O3" s="1286"/>
      <c r="P3" s="1343"/>
      <c r="Q3" s="273"/>
      <c r="R3" s="274"/>
      <c r="S3" s="1345" t="e">
        <f>INDEX(PT_DIFFERENTIATION_NUM_TER,MATCH(B3,PT_DIFFERENTIATION_TER_ID,0))</f>
        <v>#N/A</v>
      </c>
      <c r="T3" s="224" t="s">
        <v>573</v>
      </c>
      <c r="U3" s="214"/>
      <c r="V3" s="7675"/>
      <c r="W3" s="7676"/>
      <c r="X3" s="7676"/>
      <c r="Y3" s="7676"/>
      <c r="Z3" s="7676"/>
      <c r="AA3" s="7676"/>
      <c r="AB3" s="7677"/>
      <c r="AC3" s="7675" t="e">
        <f>INDEX(PT_DIFFERENTIATION_TER,MATCH(B3,PT_DIFFERENTIATION_TER_ID,0))</f>
        <v>#N/A</v>
      </c>
      <c r="AD3" s="7676"/>
      <c r="AE3" s="7676"/>
      <c r="AF3" s="7676"/>
      <c r="AG3" s="7676"/>
      <c r="AH3" s="7676"/>
      <c r="AI3" s="7676"/>
      <c r="AJ3" s="7675"/>
      <c r="AK3" s="7676"/>
      <c r="AL3" s="7676"/>
      <c r="AM3" s="7676"/>
      <c r="AN3" s="7676"/>
      <c r="AO3" s="7676"/>
      <c r="AP3" s="7677"/>
      <c r="AQ3" s="7675"/>
      <c r="AR3" s="7676"/>
      <c r="AS3" s="7676"/>
      <c r="AT3" s="7676"/>
      <c r="AU3" s="7676"/>
      <c r="AV3" s="7676"/>
      <c r="AW3" s="7677"/>
      <c r="AX3" s="7675"/>
      <c r="AY3" s="7676"/>
      <c r="AZ3" s="7676"/>
      <c r="BA3" s="7676"/>
      <c r="BB3" s="7676"/>
      <c r="BC3" s="7676"/>
      <c r="BD3" s="7677"/>
      <c r="BE3" s="7675"/>
      <c r="BF3" s="7676"/>
      <c r="BG3" s="7676"/>
      <c r="BH3" s="7676"/>
      <c r="BI3" s="7676"/>
      <c r="BJ3" s="7676"/>
      <c r="BK3" s="7677"/>
      <c r="BL3" s="7675"/>
      <c r="BM3" s="7676"/>
      <c r="BN3" s="7676"/>
      <c r="BO3" s="7676"/>
      <c r="BP3" s="7676"/>
      <c r="BQ3" s="7676"/>
      <c r="BR3" s="7677"/>
      <c r="BS3" s="7675"/>
      <c r="BT3" s="7676"/>
      <c r="BU3" s="7676"/>
      <c r="BV3" s="7676"/>
      <c r="BW3" s="7676"/>
      <c r="BX3" s="7676"/>
      <c r="BY3" s="7677"/>
      <c r="BZ3" s="7675"/>
      <c r="CA3" s="7676"/>
      <c r="CB3" s="7676"/>
      <c r="CC3" s="7676"/>
      <c r="CD3" s="7676"/>
      <c r="CE3" s="7676"/>
      <c r="CF3" s="7677"/>
      <c r="CG3" s="7675"/>
      <c r="CH3" s="7676"/>
      <c r="CI3" s="7676"/>
      <c r="CJ3" s="7676"/>
      <c r="CK3" s="7676"/>
      <c r="CL3" s="7676"/>
      <c r="CM3" s="7677"/>
      <c r="CN3" s="7675"/>
      <c r="CO3" s="7676"/>
      <c r="CP3" s="7676"/>
      <c r="CQ3" s="7676"/>
      <c r="CR3" s="7676"/>
      <c r="CS3" s="7676"/>
      <c r="CT3" s="7677"/>
      <c r="CU3" s="7677"/>
      <c r="CV3" s="1182" t="s">
        <v>574</v>
      </c>
      <c r="CX3" s="424"/>
      <c r="CY3" s="424" t="str">
        <f t="shared" si="0"/>
        <v>Территория действия тарифа</v>
      </c>
      <c r="CZ3" s="424"/>
      <c r="DA3" s="424"/>
    </row>
    <row r="4" spans="1:105" ht="23.25" hidden="1" customHeight="1">
      <c r="A4" s="1284"/>
      <c r="B4" s="1284"/>
      <c r="C4" s="1284"/>
      <c r="D4" s="1284"/>
      <c r="E4" s="7690"/>
      <c r="F4" s="7690"/>
      <c r="G4" s="7689">
        <v>1</v>
      </c>
      <c r="H4" s="1284"/>
      <c r="I4" s="1284"/>
      <c r="J4" s="1284"/>
      <c r="K4" s="1284"/>
      <c r="L4" s="1285"/>
      <c r="M4" s="1286"/>
      <c r="N4" s="1286"/>
      <c r="O4" s="1286"/>
      <c r="P4" s="275"/>
      <c r="Q4" s="273"/>
      <c r="R4" s="274"/>
      <c r="S4" s="1345" t="e">
        <f>INDEX(PT_DIFFERENTIATION_NUM_CS,MATCH(C4,PT_DIFFERENTIATION_CS_ID,0))</f>
        <v>#N/A</v>
      </c>
      <c r="T4" s="225" t="s">
        <v>654</v>
      </c>
      <c r="U4" s="214"/>
      <c r="V4" s="7675"/>
      <c r="W4" s="7676"/>
      <c r="X4" s="7676"/>
      <c r="Y4" s="7676"/>
      <c r="Z4" s="7676"/>
      <c r="AA4" s="7676"/>
      <c r="AB4" s="7677"/>
      <c r="AC4" s="7675" t="e">
        <f>INDEX(PT_DIFFERENTIATION_CS,MATCH(C4,PT_DIFFERENTIATION_CS_ID,0))</f>
        <v>#N/A</v>
      </c>
      <c r="AD4" s="7676"/>
      <c r="AE4" s="7676"/>
      <c r="AF4" s="7676"/>
      <c r="AG4" s="7676"/>
      <c r="AH4" s="7676"/>
      <c r="AI4" s="7676"/>
      <c r="AJ4" s="7675"/>
      <c r="AK4" s="7676"/>
      <c r="AL4" s="7676"/>
      <c r="AM4" s="7676"/>
      <c r="AN4" s="7676"/>
      <c r="AO4" s="7676"/>
      <c r="AP4" s="7677"/>
      <c r="AQ4" s="7675"/>
      <c r="AR4" s="7676"/>
      <c r="AS4" s="7676"/>
      <c r="AT4" s="7676"/>
      <c r="AU4" s="7676"/>
      <c r="AV4" s="7676"/>
      <c r="AW4" s="7677"/>
      <c r="AX4" s="7675"/>
      <c r="AY4" s="7676"/>
      <c r="AZ4" s="7676"/>
      <c r="BA4" s="7676"/>
      <c r="BB4" s="7676"/>
      <c r="BC4" s="7676"/>
      <c r="BD4" s="7677"/>
      <c r="BE4" s="7675"/>
      <c r="BF4" s="7676"/>
      <c r="BG4" s="7676"/>
      <c r="BH4" s="7676"/>
      <c r="BI4" s="7676"/>
      <c r="BJ4" s="7676"/>
      <c r="BK4" s="7677"/>
      <c r="BL4" s="7675"/>
      <c r="BM4" s="7676"/>
      <c r="BN4" s="7676"/>
      <c r="BO4" s="7676"/>
      <c r="BP4" s="7676"/>
      <c r="BQ4" s="7676"/>
      <c r="BR4" s="7677"/>
      <c r="BS4" s="7675"/>
      <c r="BT4" s="7676"/>
      <c r="BU4" s="7676"/>
      <c r="BV4" s="7676"/>
      <c r="BW4" s="7676"/>
      <c r="BX4" s="7676"/>
      <c r="BY4" s="7677"/>
      <c r="BZ4" s="7675"/>
      <c r="CA4" s="7676"/>
      <c r="CB4" s="7676"/>
      <c r="CC4" s="7676"/>
      <c r="CD4" s="7676"/>
      <c r="CE4" s="7676"/>
      <c r="CF4" s="7677"/>
      <c r="CG4" s="7675"/>
      <c r="CH4" s="7676"/>
      <c r="CI4" s="7676"/>
      <c r="CJ4" s="7676"/>
      <c r="CK4" s="7676"/>
      <c r="CL4" s="7676"/>
      <c r="CM4" s="7677"/>
      <c r="CN4" s="7675"/>
      <c r="CO4" s="7676"/>
      <c r="CP4" s="7676"/>
      <c r="CQ4" s="7676"/>
      <c r="CR4" s="7676"/>
      <c r="CS4" s="7676"/>
      <c r="CT4" s="7677"/>
      <c r="CU4" s="7677"/>
      <c r="CV4" s="1182" t="s">
        <v>655</v>
      </c>
      <c r="CX4" s="424"/>
      <c r="CY4" s="424" t="str">
        <f t="shared" si="0"/>
        <v>Наименование централизованной системы холодного водоснабжения</v>
      </c>
      <c r="CZ4" s="424"/>
      <c r="DA4" s="424"/>
    </row>
    <row r="5" spans="1:105" ht="23.25" hidden="1" customHeight="1">
      <c r="A5" s="1284"/>
      <c r="B5" s="1284"/>
      <c r="C5" s="1284"/>
      <c r="D5" s="1284"/>
      <c r="E5" s="7690"/>
      <c r="F5" s="7690"/>
      <c r="G5" s="7690"/>
      <c r="H5" s="7690"/>
      <c r="I5" s="7687" t="e">
        <f>S4&amp;".1"</f>
        <v>#N/A</v>
      </c>
      <c r="J5" s="1284"/>
      <c r="K5" s="1284"/>
      <c r="L5" s="1285"/>
      <c r="P5" s="7688">
        <v>1</v>
      </c>
      <c r="Q5" s="1342"/>
      <c r="R5" s="277"/>
      <c r="S5" s="1345" t="e">
        <f>$I5</f>
        <v>#N/A</v>
      </c>
      <c r="T5" s="200" t="s">
        <v>656</v>
      </c>
      <c r="U5" s="214"/>
      <c r="V5" s="7748"/>
      <c r="W5" s="7749"/>
      <c r="X5" s="7749"/>
      <c r="Y5" s="7749"/>
      <c r="Z5" s="7749"/>
      <c r="AA5" s="7749"/>
      <c r="AB5" s="7750"/>
      <c r="AC5" s="7751"/>
      <c r="AD5" s="7752"/>
      <c r="AE5" s="7752"/>
      <c r="AF5" s="7752"/>
      <c r="AG5" s="7752"/>
      <c r="AH5" s="7752"/>
      <c r="AI5" s="7752"/>
      <c r="AJ5" s="7748"/>
      <c r="AK5" s="7749"/>
      <c r="AL5" s="7749"/>
      <c r="AM5" s="7749"/>
      <c r="AN5" s="7749"/>
      <c r="AO5" s="7749"/>
      <c r="AP5" s="7750"/>
      <c r="AQ5" s="7748"/>
      <c r="AR5" s="7749"/>
      <c r="AS5" s="7749"/>
      <c r="AT5" s="7749"/>
      <c r="AU5" s="7749"/>
      <c r="AV5" s="7749"/>
      <c r="AW5" s="7750"/>
      <c r="AX5" s="7748"/>
      <c r="AY5" s="7749"/>
      <c r="AZ5" s="7749"/>
      <c r="BA5" s="7749"/>
      <c r="BB5" s="7749"/>
      <c r="BC5" s="7749"/>
      <c r="BD5" s="7750"/>
      <c r="BE5" s="7748"/>
      <c r="BF5" s="7749"/>
      <c r="BG5" s="7749"/>
      <c r="BH5" s="7749"/>
      <c r="BI5" s="7749"/>
      <c r="BJ5" s="7749"/>
      <c r="BK5" s="7750"/>
      <c r="BL5" s="7748"/>
      <c r="BM5" s="7749"/>
      <c r="BN5" s="7749"/>
      <c r="BO5" s="7749"/>
      <c r="BP5" s="7749"/>
      <c r="BQ5" s="7749"/>
      <c r="BR5" s="7750"/>
      <c r="BS5" s="7748"/>
      <c r="BT5" s="7749"/>
      <c r="BU5" s="7749"/>
      <c r="BV5" s="7749"/>
      <c r="BW5" s="7749"/>
      <c r="BX5" s="7749"/>
      <c r="BY5" s="7750"/>
      <c r="BZ5" s="7748"/>
      <c r="CA5" s="7749"/>
      <c r="CB5" s="7749"/>
      <c r="CC5" s="7749"/>
      <c r="CD5" s="7749"/>
      <c r="CE5" s="7749"/>
      <c r="CF5" s="7750"/>
      <c r="CG5" s="7748"/>
      <c r="CH5" s="7749"/>
      <c r="CI5" s="7749"/>
      <c r="CJ5" s="7749"/>
      <c r="CK5" s="7749"/>
      <c r="CL5" s="7749"/>
      <c r="CM5" s="7750"/>
      <c r="CN5" s="7748"/>
      <c r="CO5" s="7749"/>
      <c r="CP5" s="7749"/>
      <c r="CQ5" s="7749"/>
      <c r="CR5" s="7749"/>
      <c r="CS5" s="7749"/>
      <c r="CT5" s="7750"/>
      <c r="CU5" s="7753"/>
      <c r="CV5" s="1182" t="s">
        <v>657</v>
      </c>
      <c r="CX5" s="424"/>
      <c r="CY5" s="424" t="str">
        <f t="shared" si="0"/>
        <v>Наименование признака дифференциации</v>
      </c>
      <c r="CZ5" s="424"/>
      <c r="DA5" s="424"/>
    </row>
    <row r="6" spans="1:105" ht="23.25" hidden="1" customHeight="1">
      <c r="A6" s="1284"/>
      <c r="B6" s="1284"/>
      <c r="C6" s="1284"/>
      <c r="D6" s="1284"/>
      <c r="E6" s="7690"/>
      <c r="F6" s="7690"/>
      <c r="G6" s="7690"/>
      <c r="H6" s="7690"/>
      <c r="I6" s="7710"/>
      <c r="J6" s="7687" t="e">
        <f>I5&amp;".1"</f>
        <v>#N/A</v>
      </c>
      <c r="K6" s="1284"/>
      <c r="L6" s="1285" t="s">
        <v>582</v>
      </c>
      <c r="P6" s="7688"/>
      <c r="Q6" s="7688">
        <v>1</v>
      </c>
      <c r="R6" s="278"/>
      <c r="S6" s="1345" t="e">
        <f>$J6</f>
        <v>#N/A</v>
      </c>
      <c r="T6" s="201" t="s">
        <v>583</v>
      </c>
      <c r="U6" s="214"/>
      <c r="V6" s="7678"/>
      <c r="W6" s="7679"/>
      <c r="X6" s="7679"/>
      <c r="Y6" s="7679"/>
      <c r="Z6" s="7679"/>
      <c r="AA6" s="7679"/>
      <c r="AB6" s="7680"/>
      <c r="AC6" s="7678"/>
      <c r="AD6" s="7679"/>
      <c r="AE6" s="7679"/>
      <c r="AF6" s="7679"/>
      <c r="AG6" s="7679"/>
      <c r="AH6" s="7679"/>
      <c r="AI6" s="7679"/>
      <c r="AJ6" s="7678"/>
      <c r="AK6" s="7679"/>
      <c r="AL6" s="7679"/>
      <c r="AM6" s="7679"/>
      <c r="AN6" s="7679"/>
      <c r="AO6" s="7679"/>
      <c r="AP6" s="7680"/>
      <c r="AQ6" s="7678"/>
      <c r="AR6" s="7679"/>
      <c r="AS6" s="7679"/>
      <c r="AT6" s="7679"/>
      <c r="AU6" s="7679"/>
      <c r="AV6" s="7679"/>
      <c r="AW6" s="7680"/>
      <c r="AX6" s="7678"/>
      <c r="AY6" s="7679"/>
      <c r="AZ6" s="7679"/>
      <c r="BA6" s="7679"/>
      <c r="BB6" s="7679"/>
      <c r="BC6" s="7679"/>
      <c r="BD6" s="7680"/>
      <c r="BE6" s="7678"/>
      <c r="BF6" s="7679"/>
      <c r="BG6" s="7679"/>
      <c r="BH6" s="7679"/>
      <c r="BI6" s="7679"/>
      <c r="BJ6" s="7679"/>
      <c r="BK6" s="7680"/>
      <c r="BL6" s="7678"/>
      <c r="BM6" s="7679"/>
      <c r="BN6" s="7679"/>
      <c r="BO6" s="7679"/>
      <c r="BP6" s="7679"/>
      <c r="BQ6" s="7679"/>
      <c r="BR6" s="7680"/>
      <c r="BS6" s="7678"/>
      <c r="BT6" s="7679"/>
      <c r="BU6" s="7679"/>
      <c r="BV6" s="7679"/>
      <c r="BW6" s="7679"/>
      <c r="BX6" s="7679"/>
      <c r="BY6" s="7680"/>
      <c r="BZ6" s="7678"/>
      <c r="CA6" s="7679"/>
      <c r="CB6" s="7679"/>
      <c r="CC6" s="7679"/>
      <c r="CD6" s="7679"/>
      <c r="CE6" s="7679"/>
      <c r="CF6" s="7680"/>
      <c r="CG6" s="7678"/>
      <c r="CH6" s="7679"/>
      <c r="CI6" s="7679"/>
      <c r="CJ6" s="7679"/>
      <c r="CK6" s="7679"/>
      <c r="CL6" s="7679"/>
      <c r="CM6" s="7680"/>
      <c r="CN6" s="7678"/>
      <c r="CO6" s="7679"/>
      <c r="CP6" s="7679"/>
      <c r="CQ6" s="7679"/>
      <c r="CR6" s="7679"/>
      <c r="CS6" s="7679"/>
      <c r="CT6" s="7680"/>
      <c r="CU6" s="7680"/>
      <c r="CV6" s="1231" t="s">
        <v>658</v>
      </c>
      <c r="CX6" s="424"/>
      <c r="CY6" s="424" t="str">
        <f t="shared" si="0"/>
        <v>Группа потребителей</v>
      </c>
      <c r="CZ6" s="424"/>
      <c r="DA6" s="424"/>
    </row>
    <row r="7" spans="1:105" ht="23.25" hidden="1" customHeight="1">
      <c r="A7" s="1284"/>
      <c r="B7" s="1284"/>
      <c r="C7" s="1284"/>
      <c r="D7" s="1284"/>
      <c r="E7" s="7690"/>
      <c r="F7" s="7690"/>
      <c r="G7" s="7690"/>
      <c r="H7" s="7690"/>
      <c r="I7" s="7710"/>
      <c r="J7" s="7710"/>
      <c r="K7" s="7687" t="e">
        <f>J6&amp;".1"</f>
        <v>#N/A</v>
      </c>
      <c r="L7" s="1285"/>
      <c r="P7" s="7688"/>
      <c r="Q7" s="7688"/>
      <c r="R7" s="278">
        <v>1</v>
      </c>
      <c r="S7" s="1345" t="e">
        <f>$K7</f>
        <v>#N/A</v>
      </c>
      <c r="T7" s="1357"/>
      <c r="U7" s="214"/>
      <c r="V7" s="666"/>
      <c r="W7" s="666"/>
      <c r="X7" s="1181"/>
      <c r="Y7" s="7692"/>
      <c r="Z7" s="7540" t="s">
        <v>60</v>
      </c>
      <c r="AA7" s="7692"/>
      <c r="AB7" s="7540" t="s">
        <v>60</v>
      </c>
      <c r="AC7" s="666"/>
      <c r="AD7" s="666"/>
      <c r="AE7" s="1181"/>
      <c r="AF7" s="7692"/>
      <c r="AG7" s="7540" t="s">
        <v>60</v>
      </c>
      <c r="AH7" s="7711"/>
      <c r="AI7" s="7540" t="s">
        <v>60</v>
      </c>
      <c r="AJ7" s="666"/>
      <c r="AK7" s="666"/>
      <c r="AL7" s="1181"/>
      <c r="AM7" s="7692"/>
      <c r="AN7" s="7540" t="s">
        <v>60</v>
      </c>
      <c r="AO7" s="7692"/>
      <c r="AP7" s="7540" t="s">
        <v>60</v>
      </c>
      <c r="AQ7" s="666"/>
      <c r="AR7" s="666"/>
      <c r="AS7" s="1181"/>
      <c r="AT7" s="7692"/>
      <c r="AU7" s="7540" t="s">
        <v>60</v>
      </c>
      <c r="AV7" s="7692"/>
      <c r="AW7" s="7540" t="s">
        <v>60</v>
      </c>
      <c r="AX7" s="666"/>
      <c r="AY7" s="666"/>
      <c r="AZ7" s="1181"/>
      <c r="BA7" s="7692"/>
      <c r="BB7" s="7540" t="s">
        <v>60</v>
      </c>
      <c r="BC7" s="7692"/>
      <c r="BD7" s="7540" t="s">
        <v>60</v>
      </c>
      <c r="BE7" s="666"/>
      <c r="BF7" s="666"/>
      <c r="BG7" s="1181"/>
      <c r="BH7" s="7692"/>
      <c r="BI7" s="7540" t="s">
        <v>60</v>
      </c>
      <c r="BJ7" s="7692"/>
      <c r="BK7" s="7540" t="s">
        <v>60</v>
      </c>
      <c r="BL7" s="666"/>
      <c r="BM7" s="666"/>
      <c r="BN7" s="1181"/>
      <c r="BO7" s="7692"/>
      <c r="BP7" s="7540" t="s">
        <v>60</v>
      </c>
      <c r="BQ7" s="7692"/>
      <c r="BR7" s="7540" t="s">
        <v>60</v>
      </c>
      <c r="BS7" s="666"/>
      <c r="BT7" s="666"/>
      <c r="BU7" s="1181"/>
      <c r="BV7" s="7692"/>
      <c r="BW7" s="7540" t="s">
        <v>60</v>
      </c>
      <c r="BX7" s="7692"/>
      <c r="BY7" s="7540" t="s">
        <v>60</v>
      </c>
      <c r="BZ7" s="666"/>
      <c r="CA7" s="666"/>
      <c r="CB7" s="1181"/>
      <c r="CC7" s="7692"/>
      <c r="CD7" s="7540" t="s">
        <v>60</v>
      </c>
      <c r="CE7" s="7692"/>
      <c r="CF7" s="7540" t="s">
        <v>60</v>
      </c>
      <c r="CG7" s="666"/>
      <c r="CH7" s="666"/>
      <c r="CI7" s="1181"/>
      <c r="CJ7" s="7692"/>
      <c r="CK7" s="7540" t="s">
        <v>60</v>
      </c>
      <c r="CL7" s="7692"/>
      <c r="CM7" s="7540" t="s">
        <v>60</v>
      </c>
      <c r="CN7" s="666"/>
      <c r="CO7" s="666"/>
      <c r="CP7" s="1181"/>
      <c r="CQ7" s="7692"/>
      <c r="CR7" s="7540" t="s">
        <v>60</v>
      </c>
      <c r="CS7" s="7692"/>
      <c r="CT7" s="7540" t="s">
        <v>60</v>
      </c>
      <c r="CU7" s="1358"/>
      <c r="CV7"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 s="435" t="e">
        <f ca="1">STRCHECKDATE(V8:CU8)</f>
        <v>#NAME?</v>
      </c>
      <c r="CX7" s="424"/>
      <c r="CY7" s="424" t="str">
        <f t="shared" si="0"/>
        <v/>
      </c>
      <c r="CZ7" s="424"/>
      <c r="DA7" s="424"/>
    </row>
    <row r="8" spans="1:105" ht="14.25" hidden="1" customHeight="1">
      <c r="A8" s="1284"/>
      <c r="B8" s="1284"/>
      <c r="C8" s="1284"/>
      <c r="D8" s="1284"/>
      <c r="E8" s="7690"/>
      <c r="F8" s="7690"/>
      <c r="G8" s="7690"/>
      <c r="H8" s="7690"/>
      <c r="I8" s="7710"/>
      <c r="J8" s="7710"/>
      <c r="K8" s="7687"/>
      <c r="L8" s="1285"/>
      <c r="P8" s="7688"/>
      <c r="Q8" s="7688"/>
      <c r="R8" s="278"/>
      <c r="S8" s="1344"/>
      <c r="T8" s="214"/>
      <c r="U8" s="214"/>
      <c r="V8" s="246"/>
      <c r="W8" s="246"/>
      <c r="X8" s="250" t="str">
        <f>Y7&amp;"-"&amp;AA7</f>
        <v>-</v>
      </c>
      <c r="Y8" s="7693"/>
      <c r="Z8" s="7540"/>
      <c r="AA8" s="7693"/>
      <c r="AB8" s="7540"/>
      <c r="AC8" s="246"/>
      <c r="AD8" s="246"/>
      <c r="AE8" s="250" t="str">
        <f>AF7&amp;"-"&amp;AH7</f>
        <v>-</v>
      </c>
      <c r="AF8" s="7693"/>
      <c r="AG8" s="7540"/>
      <c r="AH8" s="7712"/>
      <c r="AI8" s="7540"/>
      <c r="AJ8" s="246"/>
      <c r="AK8" s="246"/>
      <c r="AL8" s="250" t="str">
        <f>AM7&amp;"-"&amp;AO7</f>
        <v>-</v>
      </c>
      <c r="AM8" s="7693"/>
      <c r="AN8" s="7540"/>
      <c r="AO8" s="7693"/>
      <c r="AP8" s="7540"/>
      <c r="AQ8" s="246"/>
      <c r="AR8" s="246"/>
      <c r="AS8" s="250" t="str">
        <f>AT7&amp;"-"&amp;AV7</f>
        <v>-</v>
      </c>
      <c r="AT8" s="7693"/>
      <c r="AU8" s="7540"/>
      <c r="AV8" s="7693"/>
      <c r="AW8" s="7540"/>
      <c r="AX8" s="246"/>
      <c r="AY8" s="246"/>
      <c r="AZ8" s="250" t="str">
        <f>BA7&amp;"-"&amp;BC7</f>
        <v>-</v>
      </c>
      <c r="BA8" s="7693"/>
      <c r="BB8" s="7540"/>
      <c r="BC8" s="7693"/>
      <c r="BD8" s="7540"/>
      <c r="BE8" s="246"/>
      <c r="BF8" s="246"/>
      <c r="BG8" s="250" t="str">
        <f>BH7&amp;"-"&amp;BJ7</f>
        <v>-</v>
      </c>
      <c r="BH8" s="7693"/>
      <c r="BI8" s="7540"/>
      <c r="BJ8" s="7693"/>
      <c r="BK8" s="7540"/>
      <c r="BL8" s="246"/>
      <c r="BM8" s="246"/>
      <c r="BN8" s="250" t="str">
        <f>BO7&amp;"-"&amp;BQ7</f>
        <v>-</v>
      </c>
      <c r="BO8" s="7693"/>
      <c r="BP8" s="7540"/>
      <c r="BQ8" s="7693"/>
      <c r="BR8" s="7540"/>
      <c r="BS8" s="246"/>
      <c r="BT8" s="246"/>
      <c r="BU8" s="250" t="str">
        <f>BV7&amp;"-"&amp;BX7</f>
        <v>-</v>
      </c>
      <c r="BV8" s="7693"/>
      <c r="BW8" s="7540"/>
      <c r="BX8" s="7693"/>
      <c r="BY8" s="7540"/>
      <c r="BZ8" s="246"/>
      <c r="CA8" s="246"/>
      <c r="CB8" s="250" t="str">
        <f>CC7&amp;"-"&amp;CE7</f>
        <v>-</v>
      </c>
      <c r="CC8" s="7693"/>
      <c r="CD8" s="7540"/>
      <c r="CE8" s="7693"/>
      <c r="CF8" s="7540"/>
      <c r="CG8" s="246"/>
      <c r="CH8" s="246"/>
      <c r="CI8" s="250" t="str">
        <f>CJ7&amp;"-"&amp;CL7</f>
        <v>-</v>
      </c>
      <c r="CJ8" s="7693"/>
      <c r="CK8" s="7540"/>
      <c r="CL8" s="7693"/>
      <c r="CM8" s="7540"/>
      <c r="CN8" s="246"/>
      <c r="CO8" s="246"/>
      <c r="CP8" s="250" t="str">
        <f>CQ7&amp;"-"&amp;CS7</f>
        <v>-</v>
      </c>
      <c r="CQ8" s="7693"/>
      <c r="CR8" s="7540"/>
      <c r="CS8" s="7693"/>
      <c r="CT8" s="7540"/>
      <c r="CU8" s="1359"/>
      <c r="CV8" s="7747"/>
      <c r="CX8" s="424"/>
      <c r="CY8" s="424" t="str">
        <f t="shared" si="0"/>
        <v/>
      </c>
      <c r="CZ8" s="424"/>
      <c r="DA8" s="424"/>
    </row>
    <row r="9" spans="1:105" ht="21" hidden="1" customHeight="1">
      <c r="A9" s="1284"/>
      <c r="B9" s="1284"/>
      <c r="C9" s="1284"/>
      <c r="D9" s="1284"/>
      <c r="E9" s="7690"/>
      <c r="F9" s="7690"/>
      <c r="G9" s="7690"/>
      <c r="H9" s="7690"/>
      <c r="I9" s="7710"/>
      <c r="J9" s="7687"/>
      <c r="K9" s="1284"/>
      <c r="L9" s="1285"/>
      <c r="P9" s="7688"/>
      <c r="Q9" s="7688"/>
      <c r="R9" s="277"/>
      <c r="S9" s="1203"/>
      <c r="T9" s="202" t="s">
        <v>659</v>
      </c>
      <c r="U9" s="291"/>
      <c r="V9" s="291"/>
      <c r="W9" s="291"/>
      <c r="X9" s="291"/>
      <c r="Y9" s="291"/>
      <c r="Z9" s="291"/>
      <c r="AA9" s="291"/>
      <c r="AB9" s="291"/>
      <c r="AC9" s="291"/>
      <c r="AD9" s="291"/>
      <c r="AE9" s="291"/>
      <c r="AF9" s="291"/>
      <c r="AG9" s="291"/>
      <c r="AH9" s="291"/>
      <c r="AI9" s="291"/>
      <c r="AJ9" s="1865"/>
      <c r="AK9" s="1866"/>
      <c r="AL9" s="1867"/>
      <c r="AM9" s="1868"/>
      <c r="AN9" s="1869"/>
      <c r="AO9" s="1870"/>
      <c r="AP9" s="1871"/>
      <c r="AQ9" s="1872"/>
      <c r="AR9" s="1873"/>
      <c r="AS9" s="1874"/>
      <c r="AT9" s="1875"/>
      <c r="AU9" s="1876"/>
      <c r="AV9" s="1877"/>
      <c r="AW9" s="1878"/>
      <c r="AX9" s="1879"/>
      <c r="AY9" s="1880"/>
      <c r="AZ9" s="1881"/>
      <c r="BA9" s="1882"/>
      <c r="BB9" s="1883"/>
      <c r="BC9" s="1884"/>
      <c r="BD9" s="1885"/>
      <c r="BE9" s="1886"/>
      <c r="BF9" s="1887"/>
      <c r="BG9" s="1888"/>
      <c r="BH9" s="1889"/>
      <c r="BI9" s="1890"/>
      <c r="BJ9" s="1891"/>
      <c r="BK9" s="1892"/>
      <c r="BL9" s="1893"/>
      <c r="BM9" s="1894"/>
      <c r="BN9" s="1895"/>
      <c r="BO9" s="1896"/>
      <c r="BP9" s="1897"/>
      <c r="BQ9" s="1898"/>
      <c r="BR9" s="1899"/>
      <c r="BS9" s="1900"/>
      <c r="BT9" s="1901"/>
      <c r="BU9" s="1902"/>
      <c r="BV9" s="1903"/>
      <c r="BW9" s="1904"/>
      <c r="BX9" s="1905"/>
      <c r="BY9" s="1906"/>
      <c r="BZ9" s="1907"/>
      <c r="CA9" s="1908"/>
      <c r="CB9" s="1909"/>
      <c r="CC9" s="1910"/>
      <c r="CD9" s="1911"/>
      <c r="CE9" s="1912"/>
      <c r="CF9" s="1913"/>
      <c r="CG9" s="1914"/>
      <c r="CH9" s="1915"/>
      <c r="CI9" s="1916"/>
      <c r="CJ9" s="1917"/>
      <c r="CK9" s="1918"/>
      <c r="CL9" s="1919"/>
      <c r="CM9" s="1920"/>
      <c r="CN9" s="1921"/>
      <c r="CO9" s="1922"/>
      <c r="CP9" s="1923"/>
      <c r="CQ9" s="1924"/>
      <c r="CR9" s="1925"/>
      <c r="CS9" s="1926"/>
      <c r="CT9" s="1927"/>
      <c r="CU9" s="291"/>
      <c r="CV9" s="1182" t="s">
        <v>660</v>
      </c>
      <c r="CX9" s="424"/>
      <c r="CY9" s="424" t="str">
        <f t="shared" si="0"/>
        <v>Добавить значение признака дифференциации</v>
      </c>
      <c r="CZ9" s="424"/>
      <c r="DA9" s="424"/>
    </row>
    <row r="10" spans="1:105" ht="21" hidden="1" customHeight="1">
      <c r="A10" s="1284"/>
      <c r="B10" s="1284"/>
      <c r="C10" s="1284"/>
      <c r="D10" s="1284"/>
      <c r="E10" s="7690"/>
      <c r="F10" s="7690"/>
      <c r="G10" s="7690"/>
      <c r="H10" s="7690"/>
      <c r="I10" s="7687"/>
      <c r="J10" s="1284"/>
      <c r="K10" s="1284"/>
      <c r="L10" s="1285"/>
      <c r="P10" s="7688"/>
      <c r="Q10" s="1342"/>
      <c r="R10" s="277"/>
      <c r="S10" s="1203"/>
      <c r="T10" s="288" t="s">
        <v>588</v>
      </c>
      <c r="U10" s="291"/>
      <c r="V10" s="291"/>
      <c r="W10" s="291"/>
      <c r="X10" s="291"/>
      <c r="Y10" s="291"/>
      <c r="Z10" s="291"/>
      <c r="AA10" s="291"/>
      <c r="AB10" s="290"/>
      <c r="AC10" s="291"/>
      <c r="AD10" s="291"/>
      <c r="AE10" s="291"/>
      <c r="AF10" s="291"/>
      <c r="AG10" s="291"/>
      <c r="AH10" s="291"/>
      <c r="AI10" s="290"/>
      <c r="AJ10" s="1928"/>
      <c r="AK10" s="1929"/>
      <c r="AL10" s="1930"/>
      <c r="AM10" s="1931"/>
      <c r="AN10" s="1932"/>
      <c r="AO10" s="1933"/>
      <c r="AP10" s="1934"/>
      <c r="AQ10" s="1935"/>
      <c r="AR10" s="1936"/>
      <c r="AS10" s="1937"/>
      <c r="AT10" s="1938"/>
      <c r="AU10" s="1939"/>
      <c r="AV10" s="1940"/>
      <c r="AW10" s="1941"/>
      <c r="AX10" s="1942"/>
      <c r="AY10" s="1943"/>
      <c r="AZ10" s="1944"/>
      <c r="BA10" s="1945"/>
      <c r="BB10" s="1946"/>
      <c r="BC10" s="1947"/>
      <c r="BD10" s="1948"/>
      <c r="BE10" s="1949"/>
      <c r="BF10" s="1950"/>
      <c r="BG10" s="1951"/>
      <c r="BH10" s="1952"/>
      <c r="BI10" s="1953"/>
      <c r="BJ10" s="1954"/>
      <c r="BK10" s="1955"/>
      <c r="BL10" s="1956"/>
      <c r="BM10" s="1957"/>
      <c r="BN10" s="1958"/>
      <c r="BO10" s="1959"/>
      <c r="BP10" s="1960"/>
      <c r="BQ10" s="1961"/>
      <c r="BR10" s="1962"/>
      <c r="BS10" s="1963"/>
      <c r="BT10" s="1964"/>
      <c r="BU10" s="1965"/>
      <c r="BV10" s="1966"/>
      <c r="BW10" s="1967"/>
      <c r="BX10" s="1968"/>
      <c r="BY10" s="1969"/>
      <c r="BZ10" s="1970"/>
      <c r="CA10" s="1971"/>
      <c r="CB10" s="1972"/>
      <c r="CC10" s="1973"/>
      <c r="CD10" s="1974"/>
      <c r="CE10" s="1975"/>
      <c r="CF10" s="1976"/>
      <c r="CG10" s="1977"/>
      <c r="CH10" s="1978"/>
      <c r="CI10" s="1979"/>
      <c r="CJ10" s="1980"/>
      <c r="CK10" s="1981"/>
      <c r="CL10" s="1982"/>
      <c r="CM10" s="1983"/>
      <c r="CN10" s="1984"/>
      <c r="CO10" s="1985"/>
      <c r="CP10" s="1986"/>
      <c r="CQ10" s="1987"/>
      <c r="CR10" s="1988"/>
      <c r="CS10" s="1989"/>
      <c r="CT10" s="1990"/>
      <c r="CU10" s="291"/>
      <c r="CV10" s="1360"/>
      <c r="CX10" s="424"/>
      <c r="CY10" s="424" t="str">
        <f t="shared" si="0"/>
        <v>Добавить группу потребителей</v>
      </c>
      <c r="CZ10" s="424"/>
      <c r="DA10" s="424"/>
    </row>
    <row r="11" spans="1:105" ht="14.25" hidden="1" customHeight="1">
      <c r="A11" s="1284"/>
      <c r="B11" s="1284"/>
      <c r="C11" s="1284"/>
      <c r="D11" s="1284"/>
      <c r="E11" s="7690"/>
      <c r="F11" s="7690"/>
      <c r="G11" s="7690"/>
      <c r="H11" s="7689"/>
      <c r="I11" s="1284"/>
      <c r="J11" s="1284"/>
      <c r="K11" s="1284"/>
      <c r="L11" s="1285"/>
      <c r="M11" s="1286"/>
      <c r="N11" s="1286"/>
      <c r="O11" s="460"/>
      <c r="P11" s="281"/>
      <c r="Q11" s="299"/>
      <c r="R11" s="276"/>
      <c r="S11" s="1203"/>
      <c r="T11" s="296" t="s">
        <v>661</v>
      </c>
      <c r="U11" s="291"/>
      <c r="V11" s="291"/>
      <c r="W11" s="291"/>
      <c r="X11" s="291"/>
      <c r="Y11" s="291"/>
      <c r="Z11" s="291"/>
      <c r="AA11" s="291"/>
      <c r="AB11" s="290"/>
      <c r="AC11" s="291"/>
      <c r="AD11" s="291"/>
      <c r="AE11" s="291"/>
      <c r="AF11" s="291"/>
      <c r="AG11" s="291"/>
      <c r="AH11" s="291"/>
      <c r="AI11" s="290"/>
      <c r="AJ11" s="1991"/>
      <c r="AK11" s="1992"/>
      <c r="AL11" s="1993"/>
      <c r="AM11" s="1994"/>
      <c r="AN11" s="1995"/>
      <c r="AO11" s="1996"/>
      <c r="AP11" s="1997"/>
      <c r="AQ11" s="1998"/>
      <c r="AR11" s="1999"/>
      <c r="AS11" s="2000"/>
      <c r="AT11" s="2001"/>
      <c r="AU11" s="2002"/>
      <c r="AV11" s="2003"/>
      <c r="AW11" s="2004"/>
      <c r="AX11" s="2005"/>
      <c r="AY11" s="2006"/>
      <c r="AZ11" s="2007"/>
      <c r="BA11" s="2008"/>
      <c r="BB11" s="2009"/>
      <c r="BC11" s="2010"/>
      <c r="BD11" s="2011"/>
      <c r="BE11" s="2012"/>
      <c r="BF11" s="2013"/>
      <c r="BG11" s="2014"/>
      <c r="BH11" s="2015"/>
      <c r="BI11" s="2016"/>
      <c r="BJ11" s="2017"/>
      <c r="BK11" s="2018"/>
      <c r="BL11" s="2019"/>
      <c r="BM11" s="2020"/>
      <c r="BN11" s="2021"/>
      <c r="BO11" s="2022"/>
      <c r="BP11" s="2023"/>
      <c r="BQ11" s="2024"/>
      <c r="BR11" s="2025"/>
      <c r="BS11" s="2026"/>
      <c r="BT11" s="2027"/>
      <c r="BU11" s="2028"/>
      <c r="BV11" s="2029"/>
      <c r="BW11" s="2030"/>
      <c r="BX11" s="2031"/>
      <c r="BY11" s="2032"/>
      <c r="BZ11" s="2033"/>
      <c r="CA11" s="2034"/>
      <c r="CB11" s="2035"/>
      <c r="CC11" s="2036"/>
      <c r="CD11" s="2037"/>
      <c r="CE11" s="2038"/>
      <c r="CF11" s="2039"/>
      <c r="CG11" s="2040"/>
      <c r="CH11" s="2041"/>
      <c r="CI11" s="2042"/>
      <c r="CJ11" s="2043"/>
      <c r="CK11" s="2044"/>
      <c r="CL11" s="2045"/>
      <c r="CM11" s="2046"/>
      <c r="CN11" s="2047"/>
      <c r="CO11" s="2048"/>
      <c r="CP11" s="2049"/>
      <c r="CQ11" s="2050"/>
      <c r="CR11" s="2051"/>
      <c r="CS11" s="2052"/>
      <c r="CT11" s="2053"/>
      <c r="CU11" s="291"/>
      <c r="CV11" s="217"/>
      <c r="CX11" s="424"/>
      <c r="CY11" s="424" t="str">
        <f t="shared" si="0"/>
        <v>Добавить наименование признака дифференциации</v>
      </c>
      <c r="CZ11" s="424"/>
      <c r="DA11" s="424"/>
    </row>
    <row r="12" spans="1:105" s="1562" customFormat="1" ht="14.25" hidden="1" customHeight="1">
      <c r="A12" s="1265"/>
      <c r="B12" s="1265"/>
      <c r="C12" s="1237"/>
      <c r="D12" s="1237"/>
      <c r="E12" s="7690"/>
      <c r="F12" s="7689"/>
      <c r="G12" s="1237"/>
      <c r="H12" s="1237"/>
      <c r="I12" s="1237"/>
      <c r="J12" s="1237"/>
      <c r="K12" s="1237"/>
      <c r="L12" s="1346"/>
      <c r="M12" s="1244"/>
      <c r="N12" s="1244"/>
      <c r="P12" s="1239"/>
      <c r="Q12" s="1240"/>
      <c r="R12" s="1239"/>
      <c r="S12" s="1245"/>
      <c r="T12" s="1248" t="s">
        <v>325</v>
      </c>
      <c r="U12" s="1247"/>
      <c r="V12" s="1247"/>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X12" s="703"/>
      <c r="CY12" s="703" t="str">
        <f t="shared" si="0"/>
        <v>Добавить централизованную систему для дифференциации</v>
      </c>
      <c r="CZ12" s="703"/>
      <c r="DA12" s="703"/>
    </row>
    <row r="13" spans="1:105" s="1562" customFormat="1" ht="14.25" hidden="1" customHeight="1">
      <c r="A13" s="1265"/>
      <c r="B13" s="1265"/>
      <c r="C13" s="1265"/>
      <c r="D13" s="1265"/>
      <c r="E13" s="7689"/>
      <c r="F13" s="1265"/>
      <c r="G13" s="1265"/>
      <c r="H13" s="1265"/>
      <c r="I13" s="1265"/>
      <c r="J13" s="1265"/>
      <c r="K13" s="1265"/>
      <c r="L13" s="1268"/>
      <c r="M13" s="1244"/>
      <c r="N13" s="1244"/>
      <c r="O13" s="442"/>
      <c r="P13" s="308"/>
      <c r="Q13" s="1266"/>
      <c r="R13" s="308"/>
      <c r="S13" s="1245"/>
      <c r="T13" s="1248" t="s">
        <v>326</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1247"/>
      <c r="BJ13" s="1247"/>
      <c r="BK13" s="1247"/>
      <c r="BL13" s="1247"/>
      <c r="BM13" s="1247"/>
      <c r="BN13" s="1247"/>
      <c r="BO13" s="1247"/>
      <c r="BP13" s="1247"/>
      <c r="BQ13" s="1247"/>
      <c r="BR13" s="1247"/>
      <c r="BS13" s="1247"/>
      <c r="BT13" s="1247"/>
      <c r="BU13" s="1247"/>
      <c r="BV13" s="1247"/>
      <c r="BW13" s="1247"/>
      <c r="BX13" s="1247"/>
      <c r="BY13" s="1247"/>
      <c r="BZ13" s="1247"/>
      <c r="CA13" s="1247"/>
      <c r="CB13" s="1247"/>
      <c r="CC13" s="1247"/>
      <c r="CD13" s="1247"/>
      <c r="CE13" s="1247"/>
      <c r="CF13" s="1247"/>
      <c r="CG13" s="1247"/>
      <c r="CH13" s="1247"/>
      <c r="CI13" s="1247"/>
      <c r="CJ13" s="1247"/>
      <c r="CK13" s="1247"/>
      <c r="CL13" s="1247"/>
      <c r="CM13" s="1247"/>
      <c r="CN13" s="1247"/>
      <c r="CO13" s="1247"/>
      <c r="CP13" s="1247"/>
      <c r="CQ13" s="1247"/>
      <c r="CR13" s="1247"/>
      <c r="CS13" s="1247"/>
      <c r="CT13" s="1247"/>
      <c r="CU13" s="1247"/>
      <c r="CV13" s="1247"/>
      <c r="CX13" s="424"/>
      <c r="CY13" s="424" t="str">
        <f t="shared" si="0"/>
        <v>Добавить территорию для дифференциации</v>
      </c>
      <c r="CZ13" s="424"/>
      <c r="DA13" s="424"/>
    </row>
    <row r="14" spans="1:105" ht="14.25" hidden="1" customHeight="1">
      <c r="AB14" s="249"/>
      <c r="AI14" s="249"/>
      <c r="AJ14" s="1555"/>
      <c r="AK14" s="1555"/>
      <c r="AL14" s="1555"/>
      <c r="AM14" s="1555"/>
      <c r="AN14" s="1555"/>
      <c r="AO14" s="1555"/>
      <c r="AP14" s="1555"/>
      <c r="AQ14" s="1555"/>
      <c r="AR14" s="1555"/>
      <c r="AS14" s="1555"/>
      <c r="AT14" s="1555"/>
      <c r="AU14" s="1555"/>
      <c r="AV14" s="1555"/>
      <c r="AW14" s="1555"/>
      <c r="AX14" s="1555"/>
      <c r="AY14" s="1555"/>
      <c r="AZ14" s="1555"/>
      <c r="BA14" s="1555"/>
      <c r="BB14" s="1555"/>
      <c r="BC14" s="1555"/>
      <c r="BD14" s="1555"/>
      <c r="BE14" s="1555"/>
      <c r="BF14" s="1555"/>
      <c r="BG14" s="1555"/>
      <c r="BH14" s="1555"/>
      <c r="BI14" s="1555"/>
      <c r="BJ14" s="1555"/>
      <c r="BK14" s="1555"/>
      <c r="BL14" s="1555"/>
      <c r="BM14" s="1555"/>
      <c r="BN14" s="1555"/>
      <c r="BO14" s="1555"/>
      <c r="BP14" s="1555"/>
      <c r="BQ14" s="1555"/>
      <c r="BR14" s="1555"/>
      <c r="BS14" s="1555"/>
      <c r="BT14" s="1555"/>
      <c r="BU14" s="1555"/>
      <c r="BV14" s="1555"/>
      <c r="BW14" s="1555"/>
      <c r="BX14" s="1555"/>
      <c r="BY14" s="1555"/>
      <c r="BZ14" s="1555"/>
      <c r="CA14" s="1555"/>
      <c r="CB14" s="1555"/>
      <c r="CC14" s="1555"/>
      <c r="CD14" s="1555"/>
      <c r="CE14" s="1555"/>
      <c r="CF14" s="1555"/>
      <c r="CG14" s="1555"/>
      <c r="CH14" s="1555"/>
      <c r="CI14" s="1555"/>
      <c r="CJ14" s="1555"/>
      <c r="CK14" s="1555"/>
      <c r="CL14" s="1555"/>
      <c r="CM14" s="1555"/>
      <c r="CN14" s="1555"/>
      <c r="CO14" s="1555"/>
      <c r="CP14" s="1555"/>
      <c r="CQ14" s="1555"/>
      <c r="CR14" s="1555"/>
      <c r="CS14" s="1555"/>
      <c r="CT14" s="1555"/>
    </row>
    <row r="15" spans="1:105" ht="14.25" hidden="1" customHeight="1">
      <c r="AC15" s="1281"/>
      <c r="AD15" s="1281"/>
      <c r="AE15" s="1282"/>
      <c r="AF15" s="7694"/>
      <c r="AG15" s="7695" t="s">
        <v>60</v>
      </c>
      <c r="AH15" s="7694"/>
      <c r="AI15" s="7695" t="s">
        <v>60</v>
      </c>
      <c r="AJ15" s="1555"/>
      <c r="AK15" s="1555"/>
      <c r="AL15" s="1555"/>
      <c r="AM15" s="1555"/>
      <c r="AN15" s="1555"/>
      <c r="AO15" s="1555"/>
      <c r="AP15" s="1555"/>
      <c r="AQ15" s="1555"/>
      <c r="AR15" s="1555"/>
      <c r="AS15" s="1555"/>
      <c r="AT15" s="1555"/>
      <c r="AU15" s="1555"/>
      <c r="AV15" s="1555"/>
      <c r="AW15" s="1555"/>
      <c r="AX15" s="1555"/>
      <c r="AY15" s="1555"/>
      <c r="AZ15" s="1555"/>
      <c r="BA15" s="1555"/>
      <c r="BB15" s="1555"/>
      <c r="BC15" s="1555"/>
      <c r="BD15" s="1555"/>
      <c r="BE15" s="1555"/>
      <c r="BF15" s="1555"/>
      <c r="BG15" s="1555"/>
      <c r="BH15" s="1555"/>
      <c r="BI15" s="1555"/>
      <c r="BJ15" s="1555"/>
      <c r="BK15" s="1555"/>
      <c r="BL15" s="1555"/>
      <c r="BM15" s="1555"/>
      <c r="BN15" s="1555"/>
      <c r="BO15" s="1555"/>
      <c r="BP15" s="1555"/>
      <c r="BQ15" s="1555"/>
      <c r="BR15" s="1555"/>
      <c r="BS15" s="1555"/>
      <c r="BT15" s="1555"/>
      <c r="BU15" s="1555"/>
      <c r="BV15" s="1555"/>
      <c r="BW15" s="1555"/>
      <c r="BX15" s="1555"/>
      <c r="BY15" s="1555"/>
      <c r="BZ15" s="1555"/>
      <c r="CA15" s="1555"/>
      <c r="CB15" s="1555"/>
      <c r="CC15" s="1555"/>
      <c r="CD15" s="1555"/>
      <c r="CE15" s="1555"/>
      <c r="CF15" s="1555"/>
      <c r="CG15" s="1555"/>
      <c r="CH15" s="1555"/>
      <c r="CI15" s="1555"/>
      <c r="CJ15" s="1555"/>
      <c r="CK15" s="1555"/>
      <c r="CL15" s="1555"/>
      <c r="CM15" s="1555"/>
      <c r="CN15" s="1555"/>
      <c r="CO15" s="1555"/>
      <c r="CP15" s="1555"/>
      <c r="CQ15" s="1555"/>
      <c r="CR15" s="1555"/>
      <c r="CS15" s="1555"/>
      <c r="CT15" s="1555"/>
    </row>
    <row r="16" spans="1:105" ht="14.25" hidden="1" customHeight="1">
      <c r="AC16" s="1281"/>
      <c r="AD16" s="1281"/>
      <c r="AE16" s="250" t="str">
        <f>AF15&amp;"-"&amp;AH15</f>
        <v>-</v>
      </c>
      <c r="AF16" s="7695"/>
      <c r="AG16" s="7695"/>
      <c r="AH16" s="7695"/>
      <c r="AI16" s="7695"/>
      <c r="AJ16" s="1555"/>
      <c r="AK16" s="1555"/>
      <c r="AL16" s="1555"/>
      <c r="AM16" s="1555"/>
      <c r="AN16" s="1555"/>
      <c r="AO16" s="1555"/>
      <c r="AP16" s="1555"/>
      <c r="AQ16" s="1555"/>
      <c r="AR16" s="1555"/>
      <c r="AS16" s="1555"/>
      <c r="AT16" s="1555"/>
      <c r="AU16" s="1555"/>
      <c r="AV16" s="1555"/>
      <c r="AW16" s="1555"/>
      <c r="AX16" s="1555"/>
      <c r="AY16" s="1555"/>
      <c r="AZ16" s="1555"/>
      <c r="BA16" s="1555"/>
      <c r="BB16" s="1555"/>
      <c r="BC16" s="1555"/>
      <c r="BD16" s="1555"/>
      <c r="BE16" s="1555"/>
      <c r="BF16" s="1555"/>
      <c r="BG16" s="1555"/>
      <c r="BH16" s="1555"/>
      <c r="BI16" s="1555"/>
      <c r="BJ16" s="1555"/>
      <c r="BK16" s="1555"/>
      <c r="BL16" s="1555"/>
      <c r="BM16" s="1555"/>
      <c r="BN16" s="1555"/>
      <c r="BO16" s="1555"/>
      <c r="BP16" s="1555"/>
      <c r="BQ16" s="1555"/>
      <c r="BR16" s="1555"/>
      <c r="BS16" s="1555"/>
      <c r="BT16" s="1555"/>
      <c r="BU16" s="1555"/>
      <c r="BV16" s="1555"/>
      <c r="BW16" s="1555"/>
      <c r="BX16" s="1555"/>
      <c r="BY16" s="1555"/>
      <c r="BZ16" s="1555"/>
      <c r="CA16" s="1555"/>
      <c r="CB16" s="1555"/>
      <c r="CC16" s="1555"/>
      <c r="CD16" s="1555"/>
      <c r="CE16" s="1555"/>
      <c r="CF16" s="1555"/>
      <c r="CG16" s="1555"/>
      <c r="CH16" s="1555"/>
      <c r="CI16" s="1555"/>
      <c r="CJ16" s="1555"/>
      <c r="CK16" s="1555"/>
      <c r="CL16" s="1555"/>
      <c r="CM16" s="1555"/>
      <c r="CN16" s="1555"/>
      <c r="CO16" s="1555"/>
      <c r="CP16" s="1555"/>
      <c r="CQ16" s="1555"/>
      <c r="CR16" s="1555"/>
      <c r="CS16" s="1555"/>
      <c r="CT16" s="1555"/>
    </row>
    <row r="17" spans="1:105" ht="14.25" hidden="1" customHeight="1">
      <c r="AI17" s="249"/>
      <c r="AJ17" s="1555"/>
      <c r="AK17" s="1555"/>
      <c r="AL17" s="1555"/>
      <c r="AM17" s="1555"/>
      <c r="AN17" s="1555"/>
      <c r="AO17" s="1555"/>
      <c r="AP17" s="1555"/>
      <c r="AQ17" s="1555"/>
      <c r="AR17" s="1555"/>
      <c r="AS17" s="1555"/>
      <c r="AT17" s="1555"/>
      <c r="AU17" s="1555"/>
      <c r="AV17" s="1555"/>
      <c r="AW17" s="1555"/>
      <c r="AX17" s="1555"/>
      <c r="AY17" s="1555"/>
      <c r="AZ17" s="1555"/>
      <c r="BA17" s="1555"/>
      <c r="BB17" s="1555"/>
      <c r="BC17" s="1555"/>
      <c r="BD17" s="1555"/>
      <c r="BE17" s="1555"/>
      <c r="BF17" s="1555"/>
      <c r="BG17" s="1555"/>
      <c r="BH17" s="1555"/>
      <c r="BI17" s="1555"/>
      <c r="BJ17" s="1555"/>
      <c r="BK17" s="1555"/>
      <c r="BL17" s="1555"/>
      <c r="BM17" s="1555"/>
      <c r="BN17" s="1555"/>
      <c r="BO17" s="1555"/>
      <c r="BP17" s="1555"/>
      <c r="BQ17" s="1555"/>
      <c r="BR17" s="1555"/>
      <c r="BS17" s="1555"/>
      <c r="BT17" s="1555"/>
      <c r="BU17" s="1555"/>
      <c r="BV17" s="1555"/>
      <c r="BW17" s="1555"/>
      <c r="BX17" s="1555"/>
      <c r="BY17" s="1555"/>
      <c r="BZ17" s="1555"/>
      <c r="CA17" s="1555"/>
      <c r="CB17" s="1555"/>
      <c r="CC17" s="1555"/>
      <c r="CD17" s="1555"/>
      <c r="CE17" s="1555"/>
      <c r="CF17" s="1555"/>
      <c r="CG17" s="1555"/>
      <c r="CH17" s="1555"/>
      <c r="CI17" s="1555"/>
      <c r="CJ17" s="1555"/>
      <c r="CK17" s="1555"/>
      <c r="CL17" s="1555"/>
      <c r="CM17" s="1555"/>
      <c r="CN17" s="1555"/>
      <c r="CO17" s="1555"/>
      <c r="CP17" s="1555"/>
      <c r="CQ17" s="1555"/>
      <c r="CR17" s="1555"/>
      <c r="CS17" s="1555"/>
      <c r="CT17" s="1555"/>
    </row>
    <row r="18" spans="1:105" s="1287" customFormat="1" ht="22.5" hidden="1" customHeight="1">
      <c r="L18" s="1341"/>
      <c r="M18" s="1283"/>
      <c r="N18" s="1283"/>
      <c r="O18" s="1288" t="s">
        <v>591</v>
      </c>
      <c r="P18" s="1283"/>
      <c r="Q18" s="1292"/>
      <c r="R18" s="1292"/>
      <c r="S18" s="646"/>
      <c r="Y18" s="1288"/>
      <c r="AA18" s="1288"/>
      <c r="AF18" s="1288"/>
      <c r="AH18" s="1288"/>
      <c r="AM18" s="1288"/>
      <c r="AO18" s="1288"/>
      <c r="AT18" s="1288"/>
      <c r="AV18" s="1288"/>
      <c r="BA18" s="1288"/>
      <c r="BC18" s="1288"/>
      <c r="BH18" s="1288"/>
      <c r="BJ18" s="1288"/>
      <c r="BO18" s="1288"/>
      <c r="BQ18" s="1288"/>
      <c r="BV18" s="1288"/>
      <c r="BX18" s="1288"/>
      <c r="CC18" s="1288"/>
      <c r="CE18" s="1288"/>
      <c r="CJ18" s="1288"/>
      <c r="CL18" s="1288"/>
      <c r="CQ18" s="1288"/>
      <c r="CS18" s="1288"/>
      <c r="CW18" s="435"/>
      <c r="CX18" s="435"/>
      <c r="CY18" s="435"/>
      <c r="CZ18" s="435"/>
      <c r="DA18" s="435"/>
    </row>
    <row r="19" spans="1:105" s="1287" customFormat="1" ht="14.25" hidden="1" customHeight="1">
      <c r="L19" s="1341"/>
      <c r="M19" s="1283"/>
      <c r="N19" s="1283"/>
      <c r="O19" s="1283"/>
      <c r="P19" s="1283"/>
      <c r="Q19" s="1292"/>
      <c r="R19" s="1292"/>
      <c r="S19" s="646"/>
      <c r="CW19" s="435"/>
      <c r="CX19" s="435"/>
      <c r="CY19" s="435"/>
      <c r="CZ19" s="435"/>
      <c r="DA19" s="435"/>
    </row>
    <row r="20" spans="1:105" s="1287" customFormat="1" ht="12" hidden="1" customHeight="1">
      <c r="L20" s="1341"/>
      <c r="M20" s="1283"/>
      <c r="N20" s="1283"/>
      <c r="O20" s="1285" t="s">
        <v>592</v>
      </c>
      <c r="P20" s="1283"/>
      <c r="Q20" s="1361"/>
      <c r="R20" s="1361"/>
      <c r="S20" s="646"/>
      <c r="T20" s="1065" t="s">
        <v>593</v>
      </c>
      <c r="Z20" s="104" t="s">
        <v>594</v>
      </c>
      <c r="AB20" s="104" t="s">
        <v>595</v>
      </c>
      <c r="AC20" s="1065" t="s">
        <v>593</v>
      </c>
      <c r="AG20" s="104" t="s">
        <v>596</v>
      </c>
      <c r="AI20" s="104" t="s">
        <v>595</v>
      </c>
      <c r="AN20" s="1291" t="s">
        <v>594</v>
      </c>
      <c r="AP20" s="1291" t="s">
        <v>595</v>
      </c>
      <c r="AU20" s="1291" t="s">
        <v>594</v>
      </c>
      <c r="AW20" s="1291" t="s">
        <v>595</v>
      </c>
      <c r="BB20" s="1291" t="s">
        <v>594</v>
      </c>
      <c r="BD20" s="1291" t="s">
        <v>595</v>
      </c>
      <c r="BI20" s="1291" t="s">
        <v>594</v>
      </c>
      <c r="BK20" s="1291" t="s">
        <v>595</v>
      </c>
      <c r="BP20" s="1291" t="s">
        <v>594</v>
      </c>
      <c r="BR20" s="1291" t="s">
        <v>595</v>
      </c>
      <c r="BW20" s="1291" t="s">
        <v>594</v>
      </c>
      <c r="BY20" s="1291" t="s">
        <v>595</v>
      </c>
      <c r="CD20" s="1291" t="s">
        <v>594</v>
      </c>
      <c r="CF20" s="1291" t="s">
        <v>595</v>
      </c>
      <c r="CK20" s="1291" t="s">
        <v>594</v>
      </c>
      <c r="CM20" s="1291" t="s">
        <v>595</v>
      </c>
      <c r="CR20" s="1291" t="s">
        <v>594</v>
      </c>
      <c r="CT20" s="1291" t="s">
        <v>595</v>
      </c>
    </row>
    <row r="21" spans="1:105" ht="14.25" hidden="1" customHeight="1">
      <c r="O21" s="1285"/>
      <c r="AJ21" s="1555"/>
      <c r="AK21" s="1555"/>
      <c r="AL21" s="1555"/>
      <c r="AM21" s="1555"/>
      <c r="AN21" s="1555"/>
      <c r="AO21" s="1555"/>
      <c r="AP21" s="1555"/>
      <c r="AQ21" s="1555"/>
      <c r="AR21" s="1555"/>
      <c r="AS21" s="1555"/>
      <c r="AT21" s="1555"/>
      <c r="AU21" s="1555"/>
      <c r="AV21" s="1555"/>
      <c r="AW21" s="1555"/>
      <c r="AX21" s="1555"/>
      <c r="AY21" s="1555"/>
      <c r="AZ21" s="1555"/>
      <c r="BA21" s="1555"/>
      <c r="BB21" s="1555"/>
      <c r="BC21" s="1555"/>
      <c r="BD21" s="1555"/>
      <c r="BE21" s="1555"/>
      <c r="BF21" s="1555"/>
      <c r="BG21" s="1555"/>
      <c r="BH21" s="1555"/>
      <c r="BI21" s="1555"/>
      <c r="BJ21" s="1555"/>
      <c r="BK21" s="1555"/>
      <c r="BL21" s="1555"/>
      <c r="BM21" s="1555"/>
      <c r="BN21" s="1555"/>
      <c r="BO21" s="1555"/>
      <c r="BP21" s="1555"/>
      <c r="BQ21" s="1555"/>
      <c r="BR21" s="1555"/>
      <c r="BS21" s="1555"/>
      <c r="BT21" s="1555"/>
      <c r="BU21" s="1555"/>
      <c r="BV21" s="1555"/>
      <c r="BW21" s="1555"/>
      <c r="BX21" s="1555"/>
      <c r="BY21" s="1555"/>
      <c r="BZ21" s="1555"/>
      <c r="CA21" s="1555"/>
      <c r="CB21" s="1555"/>
      <c r="CC21" s="1555"/>
      <c r="CD21" s="1555"/>
      <c r="CE21" s="1555"/>
      <c r="CF21" s="1555"/>
      <c r="CG21" s="1555"/>
      <c r="CH21" s="1555"/>
      <c r="CI21" s="1555"/>
      <c r="CJ21" s="1555"/>
      <c r="CK21" s="1555"/>
      <c r="CL21" s="1555"/>
      <c r="CM21" s="1555"/>
      <c r="CN21" s="1555"/>
      <c r="CO21" s="1555"/>
      <c r="CP21" s="1555"/>
      <c r="CQ21" s="1555"/>
      <c r="CR21" s="1555"/>
      <c r="CS21" s="1555"/>
      <c r="CT21" s="1555"/>
    </row>
    <row r="22" spans="1:105" ht="14.25" hidden="1" customHeight="1">
      <c r="O22" s="1285"/>
      <c r="AJ22" s="1555"/>
      <c r="AK22" s="1555"/>
      <c r="AL22" s="1555"/>
      <c r="AM22" s="1555"/>
      <c r="AN22" s="1555"/>
      <c r="AO22" s="1555"/>
      <c r="AP22" s="1555"/>
      <c r="AQ22" s="1555"/>
      <c r="AR22" s="1555"/>
      <c r="AS22" s="1555"/>
      <c r="AT22" s="1555"/>
      <c r="AU22" s="1555"/>
      <c r="AV22" s="1555"/>
      <c r="AW22" s="1555"/>
      <c r="AX22" s="1555"/>
      <c r="AY22" s="1555"/>
      <c r="AZ22" s="1555"/>
      <c r="BA22" s="1555"/>
      <c r="BB22" s="1555"/>
      <c r="BC22" s="1555"/>
      <c r="BD22" s="1555"/>
      <c r="BE22" s="1555"/>
      <c r="BF22" s="1555"/>
      <c r="BG22" s="1555"/>
      <c r="BH22" s="1555"/>
      <c r="BI22" s="1555"/>
      <c r="BJ22" s="1555"/>
      <c r="BK22" s="1555"/>
      <c r="BL22" s="1555"/>
      <c r="BM22" s="1555"/>
      <c r="BN22" s="1555"/>
      <c r="BO22" s="1555"/>
      <c r="BP22" s="1555"/>
      <c r="BQ22" s="1555"/>
      <c r="BR22" s="1555"/>
      <c r="BS22" s="1555"/>
      <c r="BT22" s="1555"/>
      <c r="BU22" s="1555"/>
      <c r="BV22" s="1555"/>
      <c r="BW22" s="1555"/>
      <c r="BX22" s="1555"/>
      <c r="BY22" s="1555"/>
      <c r="BZ22" s="1555"/>
      <c r="CA22" s="1555"/>
      <c r="CB22" s="1555"/>
      <c r="CC22" s="1555"/>
      <c r="CD22" s="1555"/>
      <c r="CE22" s="1555"/>
      <c r="CF22" s="1555"/>
      <c r="CG22" s="1555"/>
      <c r="CH22" s="1555"/>
      <c r="CI22" s="1555"/>
      <c r="CJ22" s="1555"/>
      <c r="CK22" s="1555"/>
      <c r="CL22" s="1555"/>
      <c r="CM22" s="1555"/>
      <c r="CN22" s="1555"/>
      <c r="CO22" s="1555"/>
      <c r="CP22" s="1555"/>
      <c r="CQ22" s="1555"/>
      <c r="CR22" s="1555"/>
      <c r="CS22" s="1555"/>
      <c r="CT22" s="1555"/>
    </row>
    <row r="23" spans="1:105" ht="14.25" customHeight="1">
      <c r="Q23" s="300"/>
      <c r="R23" s="300"/>
      <c r="S23" s="1200"/>
      <c r="T23" s="286"/>
      <c r="U23" s="286"/>
      <c r="V23" s="433"/>
      <c r="W23" s="433"/>
      <c r="X23" s="433"/>
      <c r="Y23" s="433"/>
      <c r="Z23" s="433"/>
      <c r="AA23" s="433"/>
      <c r="AB23" s="433"/>
      <c r="AC23" s="433"/>
      <c r="AD23" s="433"/>
      <c r="AE23" s="433"/>
      <c r="AF23" s="433"/>
      <c r="AG23" s="433"/>
      <c r="AH23" s="433"/>
      <c r="AI23" s="433"/>
      <c r="AJ23" s="1555"/>
      <c r="AK23" s="1555"/>
      <c r="AL23" s="1555"/>
      <c r="AM23" s="1555"/>
      <c r="AN23" s="1555"/>
      <c r="AO23" s="1555"/>
      <c r="AP23" s="1555"/>
      <c r="AQ23" s="1555"/>
      <c r="AR23" s="1555"/>
      <c r="AS23" s="1555"/>
      <c r="AT23" s="1555"/>
      <c r="AU23" s="1555"/>
      <c r="AV23" s="1555"/>
      <c r="AW23" s="1555"/>
      <c r="AX23" s="1555"/>
      <c r="AY23" s="1555"/>
      <c r="AZ23" s="1555"/>
      <c r="BA23" s="1555"/>
      <c r="BB23" s="1555"/>
      <c r="BC23" s="1555"/>
      <c r="BD23" s="1555"/>
      <c r="BE23" s="1555"/>
      <c r="BF23" s="1555"/>
      <c r="BG23" s="1555"/>
      <c r="BH23" s="1555"/>
      <c r="BI23" s="1555"/>
      <c r="BJ23" s="1555"/>
      <c r="BK23" s="1555"/>
      <c r="BL23" s="1555"/>
      <c r="BM23" s="1555"/>
      <c r="BN23" s="1555"/>
      <c r="BO23" s="1555"/>
      <c r="BP23" s="1555"/>
      <c r="BQ23" s="1555"/>
      <c r="BR23" s="1555"/>
      <c r="BS23" s="1555"/>
      <c r="BT23" s="1555"/>
      <c r="BU23" s="1555"/>
      <c r="BV23" s="1555"/>
      <c r="BW23" s="1555"/>
      <c r="BX23" s="1555"/>
      <c r="BY23" s="1555"/>
      <c r="BZ23" s="1555"/>
      <c r="CA23" s="1555"/>
      <c r="CB23" s="1555"/>
      <c r="CC23" s="1555"/>
      <c r="CD23" s="1555"/>
      <c r="CE23" s="1555"/>
      <c r="CF23" s="1555"/>
      <c r="CG23" s="1555"/>
      <c r="CH23" s="1555"/>
      <c r="CI23" s="1555"/>
      <c r="CJ23" s="1555"/>
      <c r="CK23" s="1555"/>
      <c r="CL23" s="1555"/>
      <c r="CM23" s="1555"/>
      <c r="CN23" s="1555"/>
      <c r="CO23" s="1555"/>
      <c r="CP23" s="1555"/>
      <c r="CQ23" s="1555"/>
      <c r="CR23" s="1555"/>
      <c r="CS23" s="1555"/>
      <c r="CT23" s="1555"/>
    </row>
    <row r="24" spans="1:105" ht="14.25" customHeight="1">
      <c r="Q24" s="300"/>
      <c r="R24" s="300"/>
      <c r="S24" s="767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7673"/>
      <c r="U24" s="7673"/>
      <c r="V24" s="7673"/>
      <c r="W24" s="7673"/>
      <c r="X24" s="7673"/>
      <c r="Y24" s="7673"/>
      <c r="Z24" s="7673"/>
      <c r="AA24" s="7673"/>
      <c r="AB24" s="7673"/>
      <c r="AC24" s="7673"/>
      <c r="AD24" s="7673"/>
      <c r="AE24" s="7673"/>
      <c r="AF24" s="7673"/>
      <c r="AG24" s="7673"/>
      <c r="AH24" s="7673"/>
      <c r="AI24" s="1157"/>
      <c r="AJ24" s="1814"/>
      <c r="AK24" s="1814"/>
      <c r="AL24" s="1814"/>
      <c r="AM24" s="1814"/>
      <c r="AN24" s="1814"/>
      <c r="AO24" s="1814"/>
      <c r="AP24" s="1814"/>
      <c r="AQ24" s="1814"/>
      <c r="AR24" s="1814"/>
      <c r="AS24" s="1814"/>
      <c r="AT24" s="1814"/>
      <c r="AU24" s="1814"/>
      <c r="AV24" s="1814"/>
      <c r="AW24" s="1814"/>
      <c r="AX24" s="1814"/>
      <c r="AY24" s="1814"/>
      <c r="AZ24" s="1814"/>
      <c r="BA24" s="1814"/>
      <c r="BB24" s="1814"/>
      <c r="BC24" s="1814"/>
      <c r="BD24" s="1814"/>
      <c r="BE24" s="1814"/>
      <c r="BF24" s="1814"/>
      <c r="BG24" s="1814"/>
      <c r="BH24" s="1814"/>
      <c r="BI24" s="1814"/>
      <c r="BJ24" s="1814"/>
      <c r="BK24" s="1814"/>
      <c r="BL24" s="1814"/>
      <c r="BM24" s="1814"/>
      <c r="BN24" s="1814"/>
      <c r="BO24" s="1814"/>
      <c r="BP24" s="1814"/>
      <c r="BQ24" s="1814"/>
      <c r="BR24" s="1814"/>
      <c r="BS24" s="1814"/>
      <c r="BT24" s="1814"/>
      <c r="BU24" s="1814"/>
      <c r="BV24" s="1814"/>
      <c r="BW24" s="1814"/>
      <c r="BX24" s="1814"/>
      <c r="BY24" s="1814"/>
      <c r="BZ24" s="1814"/>
      <c r="CA24" s="1814"/>
      <c r="CB24" s="1814"/>
      <c r="CC24" s="1814"/>
      <c r="CD24" s="1814"/>
      <c r="CE24" s="1814"/>
      <c r="CF24" s="1814"/>
      <c r="CG24" s="1814"/>
      <c r="CH24" s="1814"/>
      <c r="CI24" s="1814"/>
      <c r="CJ24" s="1814"/>
      <c r="CK24" s="1814"/>
      <c r="CL24" s="1814"/>
      <c r="CM24" s="1814"/>
      <c r="CN24" s="1814"/>
      <c r="CO24" s="1814"/>
      <c r="CP24" s="1814"/>
      <c r="CQ24" s="1814"/>
      <c r="CR24" s="1814"/>
      <c r="CS24" s="1814"/>
      <c r="CT24" s="1814"/>
    </row>
    <row r="25" spans="1:105" ht="14.25" customHeight="1">
      <c r="Q25" s="300"/>
      <c r="R25" s="300"/>
      <c r="S25" s="7620" t="str">
        <f>IF(org=0,"Не определено",org)</f>
        <v>ГУП СК "Ставрополькрайводоканал"</v>
      </c>
      <c r="T25" s="7620"/>
      <c r="U25" s="7620"/>
      <c r="V25" s="7620"/>
      <c r="W25" s="7620"/>
      <c r="X25" s="7620"/>
      <c r="Y25" s="7620"/>
      <c r="Z25" s="7620"/>
      <c r="AA25" s="7620"/>
      <c r="AB25" s="7620"/>
      <c r="AC25" s="7620"/>
      <c r="AD25" s="7620"/>
      <c r="AE25" s="7620"/>
      <c r="AF25" s="7620"/>
      <c r="AG25" s="7620"/>
      <c r="AH25" s="7620"/>
      <c r="AI25" s="1157"/>
      <c r="AJ25" s="1815"/>
      <c r="AK25" s="1815"/>
      <c r="AL25" s="1815"/>
      <c r="AM25" s="1815"/>
      <c r="AN25" s="1815"/>
      <c r="AO25" s="1815"/>
      <c r="AP25" s="1815"/>
      <c r="AQ25" s="1815"/>
      <c r="AR25" s="1815"/>
      <c r="AS25" s="1815"/>
      <c r="AT25" s="1815"/>
      <c r="AU25" s="1815"/>
      <c r="AV25" s="1815"/>
      <c r="AW25" s="1815"/>
      <c r="AX25" s="1815"/>
      <c r="AY25" s="1815"/>
      <c r="AZ25" s="1815"/>
      <c r="BA25" s="1815"/>
      <c r="BB25" s="1815"/>
      <c r="BC25" s="1815"/>
      <c r="BD25" s="1815"/>
      <c r="BE25" s="1815"/>
      <c r="BF25" s="1815"/>
      <c r="BG25" s="1815"/>
      <c r="BH25" s="1815"/>
      <c r="BI25" s="1815"/>
      <c r="BJ25" s="1815"/>
      <c r="BK25" s="1815"/>
      <c r="BL25" s="1815"/>
      <c r="BM25" s="1815"/>
      <c r="BN25" s="1815"/>
      <c r="BO25" s="1815"/>
      <c r="BP25" s="1815"/>
      <c r="BQ25" s="1815"/>
      <c r="BR25" s="1815"/>
      <c r="BS25" s="1815"/>
      <c r="BT25" s="1815"/>
      <c r="BU25" s="1815"/>
      <c r="BV25" s="1815"/>
      <c r="BW25" s="1815"/>
      <c r="BX25" s="1815"/>
      <c r="BY25" s="1815"/>
      <c r="BZ25" s="1815"/>
      <c r="CA25" s="1815"/>
      <c r="CB25" s="1815"/>
      <c r="CC25" s="1815"/>
      <c r="CD25" s="1815"/>
      <c r="CE25" s="1815"/>
      <c r="CF25" s="1815"/>
      <c r="CG25" s="1815"/>
      <c r="CH25" s="1815"/>
      <c r="CI25" s="1815"/>
      <c r="CJ25" s="1815"/>
      <c r="CK25" s="1815"/>
      <c r="CL25" s="1815"/>
      <c r="CM25" s="1815"/>
      <c r="CN25" s="1815"/>
      <c r="CO25" s="1815"/>
      <c r="CP25" s="1815"/>
      <c r="CQ25" s="1815"/>
      <c r="CR25" s="1815"/>
      <c r="CS25" s="1815"/>
      <c r="CT25" s="1815"/>
    </row>
    <row r="26" spans="1:105" ht="14.25" customHeight="1">
      <c r="Q26" s="300"/>
      <c r="R26" s="300"/>
      <c r="S26" s="1200"/>
      <c r="T26" s="286"/>
      <c r="U26" s="286"/>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2"/>
      <c r="AW26" s="242"/>
      <c r="AX26" s="242"/>
      <c r="AY26" s="242"/>
      <c r="AZ26" s="242"/>
      <c r="BA26" s="242"/>
      <c r="BB26" s="242"/>
      <c r="BC26" s="242"/>
      <c r="BD26" s="242"/>
      <c r="BE26" s="242"/>
      <c r="BF26" s="242"/>
      <c r="BG26" s="242"/>
      <c r="BH26" s="242"/>
      <c r="BI26" s="242"/>
      <c r="BJ26" s="242"/>
      <c r="BK26" s="242"/>
      <c r="BL26" s="242"/>
      <c r="BM26" s="242"/>
      <c r="BN26" s="242"/>
      <c r="BO26" s="242"/>
      <c r="BP26" s="242"/>
      <c r="BQ26" s="242"/>
      <c r="BR26" s="242"/>
      <c r="BS26" s="242"/>
      <c r="BT26" s="242"/>
      <c r="BU26" s="242"/>
      <c r="BV26" s="242"/>
      <c r="BW26" s="242"/>
      <c r="BX26" s="242"/>
      <c r="BY26" s="242"/>
      <c r="BZ26" s="242"/>
      <c r="CA26" s="242"/>
      <c r="CB26" s="242"/>
      <c r="CC26" s="242"/>
      <c r="CD26" s="242"/>
      <c r="CE26" s="242"/>
      <c r="CF26" s="242"/>
      <c r="CG26" s="242"/>
      <c r="CH26" s="242"/>
      <c r="CI26" s="242"/>
      <c r="CJ26" s="242"/>
      <c r="CK26" s="242"/>
      <c r="CL26" s="242"/>
      <c r="CM26" s="242"/>
      <c r="CN26" s="242"/>
      <c r="CO26" s="242"/>
      <c r="CP26" s="242"/>
      <c r="CQ26" s="242"/>
      <c r="CR26" s="242"/>
      <c r="CS26" s="242"/>
      <c r="CT26" s="242"/>
      <c r="CU26" s="433"/>
    </row>
    <row r="27" spans="1:105" s="1771" customFormat="1" ht="25.5" customHeight="1">
      <c r="A27" s="1289"/>
      <c r="B27" s="1289"/>
      <c r="C27" s="1289"/>
      <c r="D27" s="1289"/>
      <c r="E27" s="1289"/>
      <c r="F27" s="1289"/>
      <c r="G27" s="1289"/>
      <c r="H27" s="1289"/>
      <c r="I27" s="1289"/>
      <c r="J27" s="1289"/>
      <c r="K27" s="1289"/>
      <c r="L27" s="1290"/>
      <c r="M27" s="1289"/>
      <c r="N27" s="1289"/>
      <c r="O27" s="1289"/>
      <c r="S27" s="7681" t="s">
        <v>38</v>
      </c>
      <c r="T27" s="7681"/>
      <c r="U27" s="1293"/>
      <c r="V27" s="7682" t="str">
        <f>IF(TITLE_NAME_OR_PR_CHANGE="",IF(TITLE_NAME_OR_PR="","",TITLE_NAME_OR_PR),TITLE_NAME_OR_PR_CHANGE)</f>
        <v>Региональная тарифная комиссия Ставропольского края</v>
      </c>
      <c r="W27" s="7682"/>
      <c r="X27" s="7682"/>
      <c r="Y27" s="7682"/>
      <c r="Z27" s="7682"/>
      <c r="AA27" s="7682"/>
      <c r="AB27" s="248"/>
      <c r="AC27" s="7682" t="str">
        <f>IF(TITLE_NAME_OR_PR_CHANGE="",IF(TITLE_NAME_OR_PR="","",TITLE_NAME_OR_PR),TITLE_NAME_OR_PR_CHANGE)</f>
        <v>Региональная тарифная комиссия Ставропольского края</v>
      </c>
      <c r="AD27" s="7682"/>
      <c r="AE27" s="7682"/>
      <c r="AF27" s="7682"/>
      <c r="AG27" s="7682"/>
      <c r="AH27" s="7682"/>
      <c r="AI27" s="248"/>
      <c r="AJ27" s="7682" t="str">
        <f>IF(TITLE_NAME_OR_PR_CHANGE="",IF(TITLE_NAME_OR_PR="","",TITLE_NAME_OR_PR),TITLE_NAME_OR_PR_CHANGE)</f>
        <v>Региональная тарифная комиссия Ставропольского края</v>
      </c>
      <c r="AK27" s="7682"/>
      <c r="AL27" s="7682"/>
      <c r="AM27" s="7682"/>
      <c r="AN27" s="7682"/>
      <c r="AO27" s="7682"/>
      <c r="AP27" s="1555"/>
      <c r="AQ27" s="7682" t="str">
        <f>IF(TITLE_NAME_OR_PR_CHANGE="",IF(TITLE_NAME_OR_PR="","",TITLE_NAME_OR_PR),TITLE_NAME_OR_PR_CHANGE)</f>
        <v>Региональная тарифная комиссия Ставропольского края</v>
      </c>
      <c r="AR27" s="7682"/>
      <c r="AS27" s="7682"/>
      <c r="AT27" s="7682"/>
      <c r="AU27" s="7682"/>
      <c r="AV27" s="7682"/>
      <c r="AW27" s="1555"/>
      <c r="AX27" s="7682" t="str">
        <f>IF(TITLE_NAME_OR_PR_CHANGE="",IF(TITLE_NAME_OR_PR="","",TITLE_NAME_OR_PR),TITLE_NAME_OR_PR_CHANGE)</f>
        <v>Региональная тарифная комиссия Ставропольского края</v>
      </c>
      <c r="AY27" s="7682"/>
      <c r="AZ27" s="7682"/>
      <c r="BA27" s="7682"/>
      <c r="BB27" s="7682"/>
      <c r="BC27" s="7682"/>
      <c r="BD27" s="1555"/>
      <c r="BE27" s="7682" t="str">
        <f>IF(TITLE_NAME_OR_PR_CHANGE="",IF(TITLE_NAME_OR_PR="","",TITLE_NAME_OR_PR),TITLE_NAME_OR_PR_CHANGE)</f>
        <v>Региональная тарифная комиссия Ставропольского края</v>
      </c>
      <c r="BF27" s="7682"/>
      <c r="BG27" s="7682"/>
      <c r="BH27" s="7682"/>
      <c r="BI27" s="7682"/>
      <c r="BJ27" s="7682"/>
      <c r="BK27" s="1555"/>
      <c r="BL27" s="7682" t="str">
        <f>IF(TITLE_NAME_OR_PR_CHANGE="",IF(TITLE_NAME_OR_PR="","",TITLE_NAME_OR_PR),TITLE_NAME_OR_PR_CHANGE)</f>
        <v>Региональная тарифная комиссия Ставропольского края</v>
      </c>
      <c r="BM27" s="7682"/>
      <c r="BN27" s="7682"/>
      <c r="BO27" s="7682"/>
      <c r="BP27" s="7682"/>
      <c r="BQ27" s="7682"/>
      <c r="BR27" s="1555"/>
      <c r="BS27" s="7682" t="str">
        <f>IF(TITLE_NAME_OR_PR_CHANGE="",IF(TITLE_NAME_OR_PR="","",TITLE_NAME_OR_PR),TITLE_NAME_OR_PR_CHANGE)</f>
        <v>Региональная тарифная комиссия Ставропольского края</v>
      </c>
      <c r="BT27" s="7682"/>
      <c r="BU27" s="7682"/>
      <c r="BV27" s="7682"/>
      <c r="BW27" s="7682"/>
      <c r="BX27" s="7682"/>
      <c r="BY27" s="1555"/>
      <c r="BZ27" s="7682" t="str">
        <f>IF(TITLE_NAME_OR_PR_CHANGE="",IF(TITLE_NAME_OR_PR="","",TITLE_NAME_OR_PR),TITLE_NAME_OR_PR_CHANGE)</f>
        <v>Региональная тарифная комиссия Ставропольского края</v>
      </c>
      <c r="CA27" s="7682"/>
      <c r="CB27" s="7682"/>
      <c r="CC27" s="7682"/>
      <c r="CD27" s="7682"/>
      <c r="CE27" s="7682"/>
      <c r="CF27" s="1555"/>
      <c r="CG27" s="7682" t="str">
        <f>IF(TITLE_NAME_OR_PR_CHANGE="",IF(TITLE_NAME_OR_PR="","",TITLE_NAME_OR_PR),TITLE_NAME_OR_PR_CHANGE)</f>
        <v>Региональная тарифная комиссия Ставропольского края</v>
      </c>
      <c r="CH27" s="7682"/>
      <c r="CI27" s="7682"/>
      <c r="CJ27" s="7682"/>
      <c r="CK27" s="7682"/>
      <c r="CL27" s="7682"/>
      <c r="CM27" s="1555"/>
      <c r="CN27" s="7682" t="str">
        <f>IF(TITLE_NAME_OR_PR_CHANGE="",IF(TITLE_NAME_OR_PR="","",TITLE_NAME_OR_PR),TITLE_NAME_OR_PR_CHANGE)</f>
        <v>Региональная тарифная комиссия Ставропольского края</v>
      </c>
      <c r="CO27" s="7682"/>
      <c r="CP27" s="7682"/>
      <c r="CQ27" s="7682"/>
      <c r="CR27" s="7682"/>
      <c r="CS27" s="7682"/>
      <c r="CT27" s="1555"/>
      <c r="CU27" s="248"/>
      <c r="CV27" s="196"/>
      <c r="CW27" s="292"/>
      <c r="CX27" s="292"/>
      <c r="CY27" s="292"/>
      <c r="CZ27" s="292"/>
      <c r="DA27" s="292"/>
    </row>
    <row r="28" spans="1:105" s="1771" customFormat="1" ht="18.75" customHeight="1">
      <c r="A28" s="1289"/>
      <c r="B28" s="1289"/>
      <c r="C28" s="1289"/>
      <c r="D28" s="1289"/>
      <c r="E28" s="1289"/>
      <c r="F28" s="1289"/>
      <c r="G28" s="1289"/>
      <c r="H28" s="1289"/>
      <c r="I28" s="1289"/>
      <c r="J28" s="1289"/>
      <c r="K28" s="1289"/>
      <c r="L28" s="1290"/>
      <c r="M28" s="1289"/>
      <c r="N28" s="1289"/>
      <c r="O28" s="1289"/>
      <c r="S28" s="7681" t="s">
        <v>597</v>
      </c>
      <c r="T28" s="7681"/>
      <c r="U28" s="1293"/>
      <c r="V28" s="7691">
        <f>IF(TITLE_DATE_PR_CHANGE="",IF(TITLE_DATE_PR="","",TITLE_DATE_PR),TITLE_DATE_PR_CHANGE)</f>
        <v>45278</v>
      </c>
      <c r="W28" s="7691"/>
      <c r="X28" s="7691"/>
      <c r="Y28" s="7691"/>
      <c r="Z28" s="7691"/>
      <c r="AA28" s="7691"/>
      <c r="AB28" s="248"/>
      <c r="AC28" s="7691">
        <f>IF(TITLE_DATE_PR_CHANGE="",IF(TITLE_DATE_PR="","",TITLE_DATE_PR),TITLE_DATE_PR_CHANGE)</f>
        <v>45278</v>
      </c>
      <c r="AD28" s="7691"/>
      <c r="AE28" s="7691"/>
      <c r="AF28" s="7691"/>
      <c r="AG28" s="7691"/>
      <c r="AH28" s="7691"/>
      <c r="AI28" s="248"/>
      <c r="AJ28" s="7691">
        <f>IF(TITLE_DATE_PR_CHANGE="",IF(TITLE_DATE_PR="","",TITLE_DATE_PR),TITLE_DATE_PR_CHANGE)</f>
        <v>45278</v>
      </c>
      <c r="AK28" s="7691"/>
      <c r="AL28" s="7691"/>
      <c r="AM28" s="7691"/>
      <c r="AN28" s="7691"/>
      <c r="AO28" s="7691"/>
      <c r="AP28" s="1555"/>
      <c r="AQ28" s="7691">
        <f>IF(TITLE_DATE_PR_CHANGE="",IF(TITLE_DATE_PR="","",TITLE_DATE_PR),TITLE_DATE_PR_CHANGE)</f>
        <v>45278</v>
      </c>
      <c r="AR28" s="7691"/>
      <c r="AS28" s="7691"/>
      <c r="AT28" s="7691"/>
      <c r="AU28" s="7691"/>
      <c r="AV28" s="7691"/>
      <c r="AW28" s="1555"/>
      <c r="AX28" s="7691">
        <f>IF(TITLE_DATE_PR_CHANGE="",IF(TITLE_DATE_PR="","",TITLE_DATE_PR),TITLE_DATE_PR_CHANGE)</f>
        <v>45278</v>
      </c>
      <c r="AY28" s="7691"/>
      <c r="AZ28" s="7691"/>
      <c r="BA28" s="7691"/>
      <c r="BB28" s="7691"/>
      <c r="BC28" s="7691"/>
      <c r="BD28" s="1555"/>
      <c r="BE28" s="7691">
        <f>IF(TITLE_DATE_PR_CHANGE="",IF(TITLE_DATE_PR="","",TITLE_DATE_PR),TITLE_DATE_PR_CHANGE)</f>
        <v>45278</v>
      </c>
      <c r="BF28" s="7691"/>
      <c r="BG28" s="7691"/>
      <c r="BH28" s="7691"/>
      <c r="BI28" s="7691"/>
      <c r="BJ28" s="7691"/>
      <c r="BK28" s="1555"/>
      <c r="BL28" s="7691">
        <f>IF(TITLE_DATE_PR_CHANGE="",IF(TITLE_DATE_PR="","",TITLE_DATE_PR),TITLE_DATE_PR_CHANGE)</f>
        <v>45278</v>
      </c>
      <c r="BM28" s="7691"/>
      <c r="BN28" s="7691"/>
      <c r="BO28" s="7691"/>
      <c r="BP28" s="7691"/>
      <c r="BQ28" s="7691"/>
      <c r="BR28" s="1555"/>
      <c r="BS28" s="7691">
        <f>IF(TITLE_DATE_PR_CHANGE="",IF(TITLE_DATE_PR="","",TITLE_DATE_PR),TITLE_DATE_PR_CHANGE)</f>
        <v>45278</v>
      </c>
      <c r="BT28" s="7691"/>
      <c r="BU28" s="7691"/>
      <c r="BV28" s="7691"/>
      <c r="BW28" s="7691"/>
      <c r="BX28" s="7691"/>
      <c r="BY28" s="1555"/>
      <c r="BZ28" s="7691">
        <f>IF(TITLE_DATE_PR_CHANGE="",IF(TITLE_DATE_PR="","",TITLE_DATE_PR),TITLE_DATE_PR_CHANGE)</f>
        <v>45278</v>
      </c>
      <c r="CA28" s="7691"/>
      <c r="CB28" s="7691"/>
      <c r="CC28" s="7691"/>
      <c r="CD28" s="7691"/>
      <c r="CE28" s="7691"/>
      <c r="CF28" s="1555"/>
      <c r="CG28" s="7691">
        <f>IF(TITLE_DATE_PR_CHANGE="",IF(TITLE_DATE_PR="","",TITLE_DATE_PR),TITLE_DATE_PR_CHANGE)</f>
        <v>45278</v>
      </c>
      <c r="CH28" s="7691"/>
      <c r="CI28" s="7691"/>
      <c r="CJ28" s="7691"/>
      <c r="CK28" s="7691"/>
      <c r="CL28" s="7691"/>
      <c r="CM28" s="1555"/>
      <c r="CN28" s="7691">
        <f>IF(TITLE_DATE_PR_CHANGE="",IF(TITLE_DATE_PR="","",TITLE_DATE_PR),TITLE_DATE_PR_CHANGE)</f>
        <v>45278</v>
      </c>
      <c r="CO28" s="7691"/>
      <c r="CP28" s="7691"/>
      <c r="CQ28" s="7691"/>
      <c r="CR28" s="7691"/>
      <c r="CS28" s="7691"/>
      <c r="CT28" s="1555"/>
      <c r="CU28" s="248"/>
      <c r="CV28" s="196"/>
      <c r="CW28" s="292"/>
      <c r="CX28" s="292"/>
      <c r="CY28" s="292"/>
      <c r="CZ28" s="292"/>
      <c r="DA28" s="292"/>
    </row>
    <row r="29" spans="1:105" s="1771" customFormat="1" ht="18.75" customHeight="1">
      <c r="A29" s="1289"/>
      <c r="B29" s="1289"/>
      <c r="C29" s="1289"/>
      <c r="D29" s="1289"/>
      <c r="E29" s="1289"/>
      <c r="F29" s="1289"/>
      <c r="G29" s="1289"/>
      <c r="H29" s="1289"/>
      <c r="I29" s="1289"/>
      <c r="J29" s="1289"/>
      <c r="K29" s="1289"/>
      <c r="L29" s="1290"/>
      <c r="M29" s="1289"/>
      <c r="N29" s="1289"/>
      <c r="O29" s="1289"/>
      <c r="S29" s="7681" t="s">
        <v>598</v>
      </c>
      <c r="T29" s="7681"/>
      <c r="U29" s="1293"/>
      <c r="V29" s="7682" t="str">
        <f>IF(TITLE_NUMBER_PR_CHANGE="",IF(TITLE_NUMBER_PR="","",TITLE_NUMBER_PR),TITLE_NUMBER_PR_CHANGE)</f>
        <v>79/2</v>
      </c>
      <c r="W29" s="7682"/>
      <c r="X29" s="7682"/>
      <c r="Y29" s="7682"/>
      <c r="Z29" s="7682"/>
      <c r="AA29" s="7682"/>
      <c r="AB29" s="248"/>
      <c r="AC29" s="7682" t="str">
        <f>IF(TITLE_NUMBER_PR_CHANGE="",IF(TITLE_NUMBER_PR="","",TITLE_NUMBER_PR),TITLE_NUMBER_PR_CHANGE)</f>
        <v>79/2</v>
      </c>
      <c r="AD29" s="7682"/>
      <c r="AE29" s="7682"/>
      <c r="AF29" s="7682"/>
      <c r="AG29" s="7682"/>
      <c r="AH29" s="7682"/>
      <c r="AI29" s="248"/>
      <c r="AJ29" s="7682" t="str">
        <f>IF(TITLE_NUMBER_PR_CHANGE="",IF(TITLE_NUMBER_PR="","",TITLE_NUMBER_PR),TITLE_NUMBER_PR_CHANGE)</f>
        <v>79/2</v>
      </c>
      <c r="AK29" s="7682"/>
      <c r="AL29" s="7682"/>
      <c r="AM29" s="7682"/>
      <c r="AN29" s="7682"/>
      <c r="AO29" s="7682"/>
      <c r="AP29" s="1555"/>
      <c r="AQ29" s="7682" t="str">
        <f>IF(TITLE_NUMBER_PR_CHANGE="",IF(TITLE_NUMBER_PR="","",TITLE_NUMBER_PR),TITLE_NUMBER_PR_CHANGE)</f>
        <v>79/2</v>
      </c>
      <c r="AR29" s="7682"/>
      <c r="AS29" s="7682"/>
      <c r="AT29" s="7682"/>
      <c r="AU29" s="7682"/>
      <c r="AV29" s="7682"/>
      <c r="AW29" s="1555"/>
      <c r="AX29" s="7682" t="str">
        <f>IF(TITLE_NUMBER_PR_CHANGE="",IF(TITLE_NUMBER_PR="","",TITLE_NUMBER_PR),TITLE_NUMBER_PR_CHANGE)</f>
        <v>79/2</v>
      </c>
      <c r="AY29" s="7682"/>
      <c r="AZ29" s="7682"/>
      <c r="BA29" s="7682"/>
      <c r="BB29" s="7682"/>
      <c r="BC29" s="7682"/>
      <c r="BD29" s="1555"/>
      <c r="BE29" s="7682" t="str">
        <f>IF(TITLE_NUMBER_PR_CHANGE="",IF(TITLE_NUMBER_PR="","",TITLE_NUMBER_PR),TITLE_NUMBER_PR_CHANGE)</f>
        <v>79/2</v>
      </c>
      <c r="BF29" s="7682"/>
      <c r="BG29" s="7682"/>
      <c r="BH29" s="7682"/>
      <c r="BI29" s="7682"/>
      <c r="BJ29" s="7682"/>
      <c r="BK29" s="1555"/>
      <c r="BL29" s="7682" t="str">
        <f>IF(TITLE_NUMBER_PR_CHANGE="",IF(TITLE_NUMBER_PR="","",TITLE_NUMBER_PR),TITLE_NUMBER_PR_CHANGE)</f>
        <v>79/2</v>
      </c>
      <c r="BM29" s="7682"/>
      <c r="BN29" s="7682"/>
      <c r="BO29" s="7682"/>
      <c r="BP29" s="7682"/>
      <c r="BQ29" s="7682"/>
      <c r="BR29" s="1555"/>
      <c r="BS29" s="7682" t="str">
        <f>IF(TITLE_NUMBER_PR_CHANGE="",IF(TITLE_NUMBER_PR="","",TITLE_NUMBER_PR),TITLE_NUMBER_PR_CHANGE)</f>
        <v>79/2</v>
      </c>
      <c r="BT29" s="7682"/>
      <c r="BU29" s="7682"/>
      <c r="BV29" s="7682"/>
      <c r="BW29" s="7682"/>
      <c r="BX29" s="7682"/>
      <c r="BY29" s="1555"/>
      <c r="BZ29" s="7682" t="str">
        <f>IF(TITLE_NUMBER_PR_CHANGE="",IF(TITLE_NUMBER_PR="","",TITLE_NUMBER_PR),TITLE_NUMBER_PR_CHANGE)</f>
        <v>79/2</v>
      </c>
      <c r="CA29" s="7682"/>
      <c r="CB29" s="7682"/>
      <c r="CC29" s="7682"/>
      <c r="CD29" s="7682"/>
      <c r="CE29" s="7682"/>
      <c r="CF29" s="1555"/>
      <c r="CG29" s="7682" t="str">
        <f>IF(TITLE_NUMBER_PR_CHANGE="",IF(TITLE_NUMBER_PR="","",TITLE_NUMBER_PR),TITLE_NUMBER_PR_CHANGE)</f>
        <v>79/2</v>
      </c>
      <c r="CH29" s="7682"/>
      <c r="CI29" s="7682"/>
      <c r="CJ29" s="7682"/>
      <c r="CK29" s="7682"/>
      <c r="CL29" s="7682"/>
      <c r="CM29" s="1555"/>
      <c r="CN29" s="7682" t="str">
        <f>IF(TITLE_NUMBER_PR_CHANGE="",IF(TITLE_NUMBER_PR="","",TITLE_NUMBER_PR),TITLE_NUMBER_PR_CHANGE)</f>
        <v>79/2</v>
      </c>
      <c r="CO29" s="7682"/>
      <c r="CP29" s="7682"/>
      <c r="CQ29" s="7682"/>
      <c r="CR29" s="7682"/>
      <c r="CS29" s="7682"/>
      <c r="CT29" s="1555"/>
      <c r="CU29" s="248"/>
      <c r="CV29" s="196"/>
      <c r="CW29" s="292"/>
      <c r="CX29" s="292"/>
      <c r="CY29" s="292"/>
      <c r="CZ29" s="292"/>
      <c r="DA29" s="292"/>
    </row>
    <row r="30" spans="1:105" s="1771" customFormat="1" ht="18.75" customHeight="1">
      <c r="A30" s="1289"/>
      <c r="B30" s="1289"/>
      <c r="C30" s="1289"/>
      <c r="D30" s="1289"/>
      <c r="E30" s="1289"/>
      <c r="F30" s="1289"/>
      <c r="G30" s="1289"/>
      <c r="H30" s="1289"/>
      <c r="I30" s="1289"/>
      <c r="J30" s="1289"/>
      <c r="K30" s="1289"/>
      <c r="L30" s="1290"/>
      <c r="M30" s="1289"/>
      <c r="N30" s="1289"/>
      <c r="O30" s="1289"/>
      <c r="S30" s="7681" t="s">
        <v>40</v>
      </c>
      <c r="T30" s="7681"/>
      <c r="U30" s="1293"/>
      <c r="V30" s="7682" t="str">
        <f>IF(TITLE_IST_PUB_CHANGE="",IF(TITLE_IST_PUB="","",TITLE_IST_PUB),TITLE_IST_PUB_CHANGE)</f>
        <v>http://pravo.stavregion.ru/</v>
      </c>
      <c r="W30" s="7682"/>
      <c r="X30" s="7682"/>
      <c r="Y30" s="7682"/>
      <c r="Z30" s="7682"/>
      <c r="AA30" s="7682"/>
      <c r="AB30" s="248"/>
      <c r="AC30" s="7682" t="str">
        <f>IF(TITLE_IST_PUB_CHANGE="",IF(TITLE_IST_PUB="","",TITLE_IST_PUB),TITLE_IST_PUB_CHANGE)</f>
        <v>http://pravo.stavregion.ru/</v>
      </c>
      <c r="AD30" s="7682"/>
      <c r="AE30" s="7682"/>
      <c r="AF30" s="7682"/>
      <c r="AG30" s="7682"/>
      <c r="AH30" s="7682"/>
      <c r="AI30" s="248"/>
      <c r="AJ30" s="7682" t="str">
        <f>IF(TITLE_IST_PUB_CHANGE="",IF(TITLE_IST_PUB="","",TITLE_IST_PUB),TITLE_IST_PUB_CHANGE)</f>
        <v>http://pravo.stavregion.ru/</v>
      </c>
      <c r="AK30" s="7682"/>
      <c r="AL30" s="7682"/>
      <c r="AM30" s="7682"/>
      <c r="AN30" s="7682"/>
      <c r="AO30" s="7682"/>
      <c r="AP30" s="1555"/>
      <c r="AQ30" s="7682" t="str">
        <f>IF(TITLE_IST_PUB_CHANGE="",IF(TITLE_IST_PUB="","",TITLE_IST_PUB),TITLE_IST_PUB_CHANGE)</f>
        <v>http://pravo.stavregion.ru/</v>
      </c>
      <c r="AR30" s="7682"/>
      <c r="AS30" s="7682"/>
      <c r="AT30" s="7682"/>
      <c r="AU30" s="7682"/>
      <c r="AV30" s="7682"/>
      <c r="AW30" s="1555"/>
      <c r="AX30" s="7682" t="str">
        <f>IF(TITLE_IST_PUB_CHANGE="",IF(TITLE_IST_PUB="","",TITLE_IST_PUB),TITLE_IST_PUB_CHANGE)</f>
        <v>http://pravo.stavregion.ru/</v>
      </c>
      <c r="AY30" s="7682"/>
      <c r="AZ30" s="7682"/>
      <c r="BA30" s="7682"/>
      <c r="BB30" s="7682"/>
      <c r="BC30" s="7682"/>
      <c r="BD30" s="1555"/>
      <c r="BE30" s="7682" t="str">
        <f>IF(TITLE_IST_PUB_CHANGE="",IF(TITLE_IST_PUB="","",TITLE_IST_PUB),TITLE_IST_PUB_CHANGE)</f>
        <v>http://pravo.stavregion.ru/</v>
      </c>
      <c r="BF30" s="7682"/>
      <c r="BG30" s="7682"/>
      <c r="BH30" s="7682"/>
      <c r="BI30" s="7682"/>
      <c r="BJ30" s="7682"/>
      <c r="BK30" s="1555"/>
      <c r="BL30" s="7682" t="str">
        <f>IF(TITLE_IST_PUB_CHANGE="",IF(TITLE_IST_PUB="","",TITLE_IST_PUB),TITLE_IST_PUB_CHANGE)</f>
        <v>http://pravo.stavregion.ru/</v>
      </c>
      <c r="BM30" s="7682"/>
      <c r="BN30" s="7682"/>
      <c r="BO30" s="7682"/>
      <c r="BP30" s="7682"/>
      <c r="BQ30" s="7682"/>
      <c r="BR30" s="1555"/>
      <c r="BS30" s="7682" t="str">
        <f>IF(TITLE_IST_PUB_CHANGE="",IF(TITLE_IST_PUB="","",TITLE_IST_PUB),TITLE_IST_PUB_CHANGE)</f>
        <v>http://pravo.stavregion.ru/</v>
      </c>
      <c r="BT30" s="7682"/>
      <c r="BU30" s="7682"/>
      <c r="BV30" s="7682"/>
      <c r="BW30" s="7682"/>
      <c r="BX30" s="7682"/>
      <c r="BY30" s="1555"/>
      <c r="BZ30" s="7682" t="str">
        <f>IF(TITLE_IST_PUB_CHANGE="",IF(TITLE_IST_PUB="","",TITLE_IST_PUB),TITLE_IST_PUB_CHANGE)</f>
        <v>http://pravo.stavregion.ru/</v>
      </c>
      <c r="CA30" s="7682"/>
      <c r="CB30" s="7682"/>
      <c r="CC30" s="7682"/>
      <c r="CD30" s="7682"/>
      <c r="CE30" s="7682"/>
      <c r="CF30" s="1555"/>
      <c r="CG30" s="7682" t="str">
        <f>IF(TITLE_IST_PUB_CHANGE="",IF(TITLE_IST_PUB="","",TITLE_IST_PUB),TITLE_IST_PUB_CHANGE)</f>
        <v>http://pravo.stavregion.ru/</v>
      </c>
      <c r="CH30" s="7682"/>
      <c r="CI30" s="7682"/>
      <c r="CJ30" s="7682"/>
      <c r="CK30" s="7682"/>
      <c r="CL30" s="7682"/>
      <c r="CM30" s="1555"/>
      <c r="CN30" s="7682" t="str">
        <f>IF(TITLE_IST_PUB_CHANGE="",IF(TITLE_IST_PUB="","",TITLE_IST_PUB),TITLE_IST_PUB_CHANGE)</f>
        <v>http://pravo.stavregion.ru/</v>
      </c>
      <c r="CO30" s="7682"/>
      <c r="CP30" s="7682"/>
      <c r="CQ30" s="7682"/>
      <c r="CR30" s="7682"/>
      <c r="CS30" s="7682"/>
      <c r="CT30" s="1555"/>
      <c r="CU30" s="248"/>
      <c r="CV30" s="196"/>
      <c r="CW30" s="292"/>
      <c r="CX30" s="292"/>
      <c r="CY30" s="292"/>
      <c r="CZ30" s="292"/>
      <c r="DA30" s="292"/>
    </row>
    <row r="31" spans="1:105" ht="14.25" hidden="1" customHeight="1">
      <c r="Q31" s="300"/>
      <c r="R31" s="300"/>
      <c r="S31" s="1200"/>
      <c r="T31" s="286"/>
      <c r="U31" s="286"/>
      <c r="V31" s="242"/>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433"/>
    </row>
    <row r="32" spans="1:105" s="1771" customFormat="1" ht="18.75" hidden="1" customHeight="1">
      <c r="A32" s="1289"/>
      <c r="B32" s="1289"/>
      <c r="C32" s="1289"/>
      <c r="D32" s="1289"/>
      <c r="E32" s="1289"/>
      <c r="F32" s="1289"/>
      <c r="G32" s="1289"/>
      <c r="H32" s="1289"/>
      <c r="I32" s="1289"/>
      <c r="J32" s="1289"/>
      <c r="K32" s="1289"/>
      <c r="L32" s="1290"/>
      <c r="M32" s="1289"/>
      <c r="N32" s="1289"/>
      <c r="O32" s="1289"/>
      <c r="S32" s="7681" t="s">
        <v>599</v>
      </c>
      <c r="T32" s="7681"/>
      <c r="U32" s="1293"/>
      <c r="V32" s="7691">
        <f>IF(TITLE_DATE_PR_CHANGE="",IF(TITLE_DATE_PR="","",TITLE_DATE_PR),TITLE_DATE_PR_CHANGE)</f>
        <v>45278</v>
      </c>
      <c r="W32" s="7691"/>
      <c r="X32" s="7691"/>
      <c r="Y32" s="7691"/>
      <c r="Z32" s="7691"/>
      <c r="AA32" s="7691"/>
      <c r="AB32" s="248"/>
      <c r="AC32" s="7691">
        <f>IF(TITLE_DATE_PR_CHANGE="",IF(TITLE_DATE_PR="","",TITLE_DATE_PR),TITLE_DATE_PR_CHANGE)</f>
        <v>45278</v>
      </c>
      <c r="AD32" s="7691"/>
      <c r="AE32" s="7691"/>
      <c r="AF32" s="7691"/>
      <c r="AG32" s="7691"/>
      <c r="AH32" s="7691"/>
      <c r="AI32" s="248"/>
      <c r="AJ32" s="7691">
        <f>IF(TITLE_DATE_PR_CHANGE="",IF(TITLE_DATE_PR="","",TITLE_DATE_PR),TITLE_DATE_PR_CHANGE)</f>
        <v>45278</v>
      </c>
      <c r="AK32" s="7691"/>
      <c r="AL32" s="7691"/>
      <c r="AM32" s="7691"/>
      <c r="AN32" s="7691"/>
      <c r="AO32" s="7691"/>
      <c r="AP32" s="1555"/>
      <c r="AQ32" s="7691">
        <f>IF(TITLE_DATE_PR_CHANGE="",IF(TITLE_DATE_PR="","",TITLE_DATE_PR),TITLE_DATE_PR_CHANGE)</f>
        <v>45278</v>
      </c>
      <c r="AR32" s="7691"/>
      <c r="AS32" s="7691"/>
      <c r="AT32" s="7691"/>
      <c r="AU32" s="7691"/>
      <c r="AV32" s="7691"/>
      <c r="AW32" s="1555"/>
      <c r="AX32" s="7691">
        <f>IF(TITLE_DATE_PR_CHANGE="",IF(TITLE_DATE_PR="","",TITLE_DATE_PR),TITLE_DATE_PR_CHANGE)</f>
        <v>45278</v>
      </c>
      <c r="AY32" s="7691"/>
      <c r="AZ32" s="7691"/>
      <c r="BA32" s="7691"/>
      <c r="BB32" s="7691"/>
      <c r="BC32" s="7691"/>
      <c r="BD32" s="1555"/>
      <c r="BE32" s="7691">
        <f>IF(TITLE_DATE_PR_CHANGE="",IF(TITLE_DATE_PR="","",TITLE_DATE_PR),TITLE_DATE_PR_CHANGE)</f>
        <v>45278</v>
      </c>
      <c r="BF32" s="7691"/>
      <c r="BG32" s="7691"/>
      <c r="BH32" s="7691"/>
      <c r="BI32" s="7691"/>
      <c r="BJ32" s="7691"/>
      <c r="BK32" s="1555"/>
      <c r="BL32" s="7691">
        <f>IF(TITLE_DATE_PR_CHANGE="",IF(TITLE_DATE_PR="","",TITLE_DATE_PR),TITLE_DATE_PR_CHANGE)</f>
        <v>45278</v>
      </c>
      <c r="BM32" s="7691"/>
      <c r="BN32" s="7691"/>
      <c r="BO32" s="7691"/>
      <c r="BP32" s="7691"/>
      <c r="BQ32" s="7691"/>
      <c r="BR32" s="1555"/>
      <c r="BS32" s="7691">
        <f>IF(TITLE_DATE_PR_CHANGE="",IF(TITLE_DATE_PR="","",TITLE_DATE_PR),TITLE_DATE_PR_CHANGE)</f>
        <v>45278</v>
      </c>
      <c r="BT32" s="7691"/>
      <c r="BU32" s="7691"/>
      <c r="BV32" s="7691"/>
      <c r="BW32" s="7691"/>
      <c r="BX32" s="7691"/>
      <c r="BY32" s="1555"/>
      <c r="BZ32" s="7691">
        <f>IF(TITLE_DATE_PR_CHANGE="",IF(TITLE_DATE_PR="","",TITLE_DATE_PR),TITLE_DATE_PR_CHANGE)</f>
        <v>45278</v>
      </c>
      <c r="CA32" s="7691"/>
      <c r="CB32" s="7691"/>
      <c r="CC32" s="7691"/>
      <c r="CD32" s="7691"/>
      <c r="CE32" s="7691"/>
      <c r="CF32" s="1555"/>
      <c r="CG32" s="7691">
        <f>IF(TITLE_DATE_PR_CHANGE="",IF(TITLE_DATE_PR="","",TITLE_DATE_PR),TITLE_DATE_PR_CHANGE)</f>
        <v>45278</v>
      </c>
      <c r="CH32" s="7691"/>
      <c r="CI32" s="7691"/>
      <c r="CJ32" s="7691"/>
      <c r="CK32" s="7691"/>
      <c r="CL32" s="7691"/>
      <c r="CM32" s="1555"/>
      <c r="CN32" s="7691">
        <f>IF(TITLE_DATE_PR_CHANGE="",IF(TITLE_DATE_PR="","",TITLE_DATE_PR),TITLE_DATE_PR_CHANGE)</f>
        <v>45278</v>
      </c>
      <c r="CO32" s="7691"/>
      <c r="CP32" s="7691"/>
      <c r="CQ32" s="7691"/>
      <c r="CR32" s="7691"/>
      <c r="CS32" s="7691"/>
      <c r="CT32" s="1555"/>
      <c r="CU32" s="248"/>
      <c r="CV32" s="196"/>
      <c r="CW32" s="292"/>
      <c r="CX32" s="292"/>
      <c r="CY32" s="292"/>
      <c r="CZ32" s="292"/>
      <c r="DA32" s="292"/>
    </row>
    <row r="33" spans="1:105" s="1771" customFormat="1" ht="18.75" hidden="1" customHeight="1">
      <c r="A33" s="1289"/>
      <c r="B33" s="1289"/>
      <c r="C33" s="1289"/>
      <c r="D33" s="1289"/>
      <c r="E33" s="1289"/>
      <c r="F33" s="1289"/>
      <c r="G33" s="1289"/>
      <c r="H33" s="1289"/>
      <c r="I33" s="1289"/>
      <c r="J33" s="1289"/>
      <c r="K33" s="1289"/>
      <c r="L33" s="1290"/>
      <c r="M33" s="1289"/>
      <c r="N33" s="1289"/>
      <c r="O33" s="1289"/>
      <c r="S33" s="7681" t="s">
        <v>600</v>
      </c>
      <c r="T33" s="7681"/>
      <c r="U33" s="1293"/>
      <c r="V33" s="7682" t="str">
        <f>IF(TITLE_NUMBER_PR_CHANGE="",IF(TITLE_NUMBER_PR="","",TITLE_NUMBER_PR),TITLE_NUMBER_PR_CHANGE)</f>
        <v>79/2</v>
      </c>
      <c r="W33" s="7682"/>
      <c r="X33" s="7682"/>
      <c r="Y33" s="7682"/>
      <c r="Z33" s="7682"/>
      <c r="AA33" s="7682"/>
      <c r="AB33" s="248"/>
      <c r="AC33" s="7682" t="str">
        <f>IF(TITLE_NUMBER_PR_CHANGE="",IF(TITLE_NUMBER_PR="","",TITLE_NUMBER_PR),TITLE_NUMBER_PR_CHANGE)</f>
        <v>79/2</v>
      </c>
      <c r="AD33" s="7682"/>
      <c r="AE33" s="7682"/>
      <c r="AF33" s="7682"/>
      <c r="AG33" s="7682"/>
      <c r="AH33" s="7682"/>
      <c r="AI33" s="248"/>
      <c r="AJ33" s="7682" t="str">
        <f>IF(TITLE_NUMBER_PR_CHANGE="",IF(TITLE_NUMBER_PR="","",TITLE_NUMBER_PR),TITLE_NUMBER_PR_CHANGE)</f>
        <v>79/2</v>
      </c>
      <c r="AK33" s="7682"/>
      <c r="AL33" s="7682"/>
      <c r="AM33" s="7682"/>
      <c r="AN33" s="7682"/>
      <c r="AO33" s="7682"/>
      <c r="AP33" s="1555"/>
      <c r="AQ33" s="7682" t="str">
        <f>IF(TITLE_NUMBER_PR_CHANGE="",IF(TITLE_NUMBER_PR="","",TITLE_NUMBER_PR),TITLE_NUMBER_PR_CHANGE)</f>
        <v>79/2</v>
      </c>
      <c r="AR33" s="7682"/>
      <c r="AS33" s="7682"/>
      <c r="AT33" s="7682"/>
      <c r="AU33" s="7682"/>
      <c r="AV33" s="7682"/>
      <c r="AW33" s="1555"/>
      <c r="AX33" s="7682" t="str">
        <f>IF(TITLE_NUMBER_PR_CHANGE="",IF(TITLE_NUMBER_PR="","",TITLE_NUMBER_PR),TITLE_NUMBER_PR_CHANGE)</f>
        <v>79/2</v>
      </c>
      <c r="AY33" s="7682"/>
      <c r="AZ33" s="7682"/>
      <c r="BA33" s="7682"/>
      <c r="BB33" s="7682"/>
      <c r="BC33" s="7682"/>
      <c r="BD33" s="1555"/>
      <c r="BE33" s="7682" t="str">
        <f>IF(TITLE_NUMBER_PR_CHANGE="",IF(TITLE_NUMBER_PR="","",TITLE_NUMBER_PR),TITLE_NUMBER_PR_CHANGE)</f>
        <v>79/2</v>
      </c>
      <c r="BF33" s="7682"/>
      <c r="BG33" s="7682"/>
      <c r="BH33" s="7682"/>
      <c r="BI33" s="7682"/>
      <c r="BJ33" s="7682"/>
      <c r="BK33" s="1555"/>
      <c r="BL33" s="7682" t="str">
        <f>IF(TITLE_NUMBER_PR_CHANGE="",IF(TITLE_NUMBER_PR="","",TITLE_NUMBER_PR),TITLE_NUMBER_PR_CHANGE)</f>
        <v>79/2</v>
      </c>
      <c r="BM33" s="7682"/>
      <c r="BN33" s="7682"/>
      <c r="BO33" s="7682"/>
      <c r="BP33" s="7682"/>
      <c r="BQ33" s="7682"/>
      <c r="BR33" s="1555"/>
      <c r="BS33" s="7682" t="str">
        <f>IF(TITLE_NUMBER_PR_CHANGE="",IF(TITLE_NUMBER_PR="","",TITLE_NUMBER_PR),TITLE_NUMBER_PR_CHANGE)</f>
        <v>79/2</v>
      </c>
      <c r="BT33" s="7682"/>
      <c r="BU33" s="7682"/>
      <c r="BV33" s="7682"/>
      <c r="BW33" s="7682"/>
      <c r="BX33" s="7682"/>
      <c r="BY33" s="1555"/>
      <c r="BZ33" s="7682" t="str">
        <f>IF(TITLE_NUMBER_PR_CHANGE="",IF(TITLE_NUMBER_PR="","",TITLE_NUMBER_PR),TITLE_NUMBER_PR_CHANGE)</f>
        <v>79/2</v>
      </c>
      <c r="CA33" s="7682"/>
      <c r="CB33" s="7682"/>
      <c r="CC33" s="7682"/>
      <c r="CD33" s="7682"/>
      <c r="CE33" s="7682"/>
      <c r="CF33" s="1555"/>
      <c r="CG33" s="7682" t="str">
        <f>IF(TITLE_NUMBER_PR_CHANGE="",IF(TITLE_NUMBER_PR="","",TITLE_NUMBER_PR),TITLE_NUMBER_PR_CHANGE)</f>
        <v>79/2</v>
      </c>
      <c r="CH33" s="7682"/>
      <c r="CI33" s="7682"/>
      <c r="CJ33" s="7682"/>
      <c r="CK33" s="7682"/>
      <c r="CL33" s="7682"/>
      <c r="CM33" s="1555"/>
      <c r="CN33" s="7682" t="str">
        <f>IF(TITLE_NUMBER_PR_CHANGE="",IF(TITLE_NUMBER_PR="","",TITLE_NUMBER_PR),TITLE_NUMBER_PR_CHANGE)</f>
        <v>79/2</v>
      </c>
      <c r="CO33" s="7682"/>
      <c r="CP33" s="7682"/>
      <c r="CQ33" s="7682"/>
      <c r="CR33" s="7682"/>
      <c r="CS33" s="7682"/>
      <c r="CT33" s="1555"/>
      <c r="CU33" s="248"/>
      <c r="CV33" s="196"/>
      <c r="CW33" s="292"/>
      <c r="CX33" s="292"/>
      <c r="CY33" s="292"/>
      <c r="CZ33" s="292"/>
      <c r="DA33" s="292"/>
    </row>
    <row r="34" spans="1:105" s="1771" customFormat="1" ht="0.75" customHeight="1">
      <c r="A34" s="1289"/>
      <c r="B34" s="1289"/>
      <c r="C34" s="1289"/>
      <c r="D34" s="1289"/>
      <c r="E34" s="1289"/>
      <c r="F34" s="1289"/>
      <c r="G34" s="1289"/>
      <c r="H34" s="1289"/>
      <c r="I34" s="1289"/>
      <c r="J34" s="1289"/>
      <c r="K34" s="1289"/>
      <c r="L34" s="1290"/>
      <c r="M34" s="1289"/>
      <c r="N34" s="1289"/>
      <c r="O34" s="1289"/>
      <c r="S34" s="244"/>
      <c r="T34" s="244"/>
      <c r="U34" s="1276"/>
      <c r="V34" s="248"/>
      <c r="W34" s="248"/>
      <c r="X34" s="248"/>
      <c r="Y34" s="248"/>
      <c r="Z34" s="248"/>
      <c r="AA34" s="248"/>
      <c r="AB34" s="194" t="s">
        <v>601</v>
      </c>
      <c r="AC34" s="248"/>
      <c r="AD34" s="248"/>
      <c r="AE34" s="248"/>
      <c r="AF34" s="248"/>
      <c r="AG34" s="248"/>
      <c r="AH34" s="248"/>
      <c r="AI34" s="194" t="s">
        <v>601</v>
      </c>
      <c r="AJ34" s="1555"/>
      <c r="AK34" s="1555"/>
      <c r="AL34" s="1555"/>
      <c r="AM34" s="1555"/>
      <c r="AN34" s="1555"/>
      <c r="AO34" s="1555"/>
      <c r="AP34" s="1562" t="s">
        <v>601</v>
      </c>
      <c r="AQ34" s="1555"/>
      <c r="AR34" s="1555"/>
      <c r="AS34" s="1555"/>
      <c r="AT34" s="1555"/>
      <c r="AU34" s="1555"/>
      <c r="AV34" s="1555"/>
      <c r="AW34" s="1562" t="s">
        <v>601</v>
      </c>
      <c r="AX34" s="1555"/>
      <c r="AY34" s="1555"/>
      <c r="AZ34" s="1555"/>
      <c r="BA34" s="1555"/>
      <c r="BB34" s="1555"/>
      <c r="BC34" s="1555"/>
      <c r="BD34" s="1562" t="s">
        <v>601</v>
      </c>
      <c r="BE34" s="1555"/>
      <c r="BF34" s="1555"/>
      <c r="BG34" s="1555"/>
      <c r="BH34" s="1555"/>
      <c r="BI34" s="1555"/>
      <c r="BJ34" s="1555"/>
      <c r="BK34" s="1562" t="s">
        <v>601</v>
      </c>
      <c r="BL34" s="1555"/>
      <c r="BM34" s="1555"/>
      <c r="BN34" s="1555"/>
      <c r="BO34" s="1555"/>
      <c r="BP34" s="1555"/>
      <c r="BQ34" s="1555"/>
      <c r="BR34" s="1562" t="s">
        <v>601</v>
      </c>
      <c r="BS34" s="1555"/>
      <c r="BT34" s="1555"/>
      <c r="BU34" s="1555"/>
      <c r="BV34" s="1555"/>
      <c r="BW34" s="1555"/>
      <c r="BX34" s="1555"/>
      <c r="BY34" s="1562" t="s">
        <v>601</v>
      </c>
      <c r="BZ34" s="1555"/>
      <c r="CA34" s="1555"/>
      <c r="CB34" s="1555"/>
      <c r="CC34" s="1555"/>
      <c r="CD34" s="1555"/>
      <c r="CE34" s="1555"/>
      <c r="CF34" s="1562" t="s">
        <v>601</v>
      </c>
      <c r="CG34" s="1555"/>
      <c r="CH34" s="1555"/>
      <c r="CI34" s="1555"/>
      <c r="CJ34" s="1555"/>
      <c r="CK34" s="1555"/>
      <c r="CL34" s="1555"/>
      <c r="CM34" s="1562" t="s">
        <v>601</v>
      </c>
      <c r="CN34" s="1555"/>
      <c r="CO34" s="1555"/>
      <c r="CP34" s="1555"/>
      <c r="CQ34" s="1555"/>
      <c r="CR34" s="1555"/>
      <c r="CS34" s="1555"/>
      <c r="CT34" s="1562" t="s">
        <v>601</v>
      </c>
      <c r="CW34" s="292"/>
      <c r="CX34" s="292"/>
      <c r="CY34" s="292"/>
      <c r="CZ34" s="292"/>
      <c r="DA34" s="292"/>
    </row>
    <row r="35" spans="1:105" ht="14.25" customHeight="1">
      <c r="Q35" s="300"/>
      <c r="R35" s="300"/>
      <c r="S35" s="1200"/>
      <c r="T35" s="286"/>
      <c r="U35" s="1158"/>
      <c r="V35" s="7683"/>
      <c r="W35" s="7683"/>
      <c r="X35" s="7683"/>
      <c r="Y35" s="7683"/>
      <c r="Z35" s="7683"/>
      <c r="AA35" s="7683"/>
      <c r="AB35" s="7683"/>
      <c r="AC35" s="7683"/>
      <c r="AD35" s="7683"/>
      <c r="AE35" s="7683"/>
      <c r="AF35" s="7683"/>
      <c r="AG35" s="7683"/>
      <c r="AH35" s="7683"/>
      <c r="AI35" s="7683"/>
      <c r="AJ35" s="7683" t="s">
        <v>101</v>
      </c>
      <c r="AK35" s="7683"/>
      <c r="AL35" s="7683"/>
      <c r="AM35" s="7683"/>
      <c r="AN35" s="7683"/>
      <c r="AO35" s="7683"/>
      <c r="AP35" s="7683"/>
      <c r="AQ35" s="7683" t="s">
        <v>101</v>
      </c>
      <c r="AR35" s="7683"/>
      <c r="AS35" s="7683"/>
      <c r="AT35" s="7683"/>
      <c r="AU35" s="7683"/>
      <c r="AV35" s="7683"/>
      <c r="AW35" s="7683"/>
      <c r="AX35" s="7683" t="s">
        <v>101</v>
      </c>
      <c r="AY35" s="7683"/>
      <c r="AZ35" s="7683"/>
      <c r="BA35" s="7683"/>
      <c r="BB35" s="7683"/>
      <c r="BC35" s="7683"/>
      <c r="BD35" s="7683"/>
      <c r="BE35" s="7683" t="s">
        <v>101</v>
      </c>
      <c r="BF35" s="7683"/>
      <c r="BG35" s="7683"/>
      <c r="BH35" s="7683"/>
      <c r="BI35" s="7683"/>
      <c r="BJ35" s="7683"/>
      <c r="BK35" s="7683"/>
      <c r="BL35" s="7683" t="s">
        <v>101</v>
      </c>
      <c r="BM35" s="7683"/>
      <c r="BN35" s="7683"/>
      <c r="BO35" s="7683"/>
      <c r="BP35" s="7683"/>
      <c r="BQ35" s="7683"/>
      <c r="BR35" s="7683"/>
      <c r="BS35" s="7683" t="s">
        <v>101</v>
      </c>
      <c r="BT35" s="7683"/>
      <c r="BU35" s="7683"/>
      <c r="BV35" s="7683"/>
      <c r="BW35" s="7683"/>
      <c r="BX35" s="7683"/>
      <c r="BY35" s="7683"/>
      <c r="BZ35" s="7683" t="s">
        <v>101</v>
      </c>
      <c r="CA35" s="7683"/>
      <c r="CB35" s="7683"/>
      <c r="CC35" s="7683"/>
      <c r="CD35" s="7683"/>
      <c r="CE35" s="7683"/>
      <c r="CF35" s="7683"/>
      <c r="CG35" s="7683" t="s">
        <v>101</v>
      </c>
      <c r="CH35" s="7683"/>
      <c r="CI35" s="7683"/>
      <c r="CJ35" s="7683"/>
      <c r="CK35" s="7683"/>
      <c r="CL35" s="7683"/>
      <c r="CM35" s="7683"/>
      <c r="CN35" s="7683" t="s">
        <v>101</v>
      </c>
      <c r="CO35" s="7683"/>
      <c r="CP35" s="7683"/>
      <c r="CQ35" s="7683"/>
      <c r="CR35" s="7683"/>
      <c r="CS35" s="7683"/>
      <c r="CT35" s="7683"/>
    </row>
    <row r="36" spans="1:105" ht="14.25" customHeight="1">
      <c r="Q36" s="300"/>
      <c r="R36" s="300"/>
      <c r="S36" s="7559" t="s">
        <v>474</v>
      </c>
      <c r="T36" s="7559"/>
      <c r="U36" s="7559"/>
      <c r="V36" s="7559"/>
      <c r="W36" s="7559"/>
      <c r="X36" s="7559"/>
      <c r="Y36" s="7559"/>
      <c r="Z36" s="7559"/>
      <c r="AA36" s="7559"/>
      <c r="AB36" s="7559"/>
      <c r="AC36" s="7559"/>
      <c r="AD36" s="7559"/>
      <c r="AE36" s="7559"/>
      <c r="AF36" s="7559"/>
      <c r="AG36" s="7559"/>
      <c r="AH36" s="7559"/>
      <c r="AI36" s="7559"/>
      <c r="AJ36" s="7559" t="s">
        <v>474</v>
      </c>
      <c r="AK36" s="7559"/>
      <c r="AL36" s="7559"/>
      <c r="AM36" s="7559"/>
      <c r="AN36" s="7559"/>
      <c r="AO36" s="7559"/>
      <c r="AP36" s="7559"/>
      <c r="AQ36" s="7559" t="s">
        <v>474</v>
      </c>
      <c r="AR36" s="7559"/>
      <c r="AS36" s="7559"/>
      <c r="AT36" s="7559"/>
      <c r="AU36" s="7559"/>
      <c r="AV36" s="7559"/>
      <c r="AW36" s="7559"/>
      <c r="AX36" s="7559" t="s">
        <v>474</v>
      </c>
      <c r="AY36" s="7559"/>
      <c r="AZ36" s="7559"/>
      <c r="BA36" s="7559"/>
      <c r="BB36" s="7559"/>
      <c r="BC36" s="7559"/>
      <c r="BD36" s="7559"/>
      <c r="BE36" s="7559" t="s">
        <v>474</v>
      </c>
      <c r="BF36" s="7559"/>
      <c r="BG36" s="7559"/>
      <c r="BH36" s="7559"/>
      <c r="BI36" s="7559"/>
      <c r="BJ36" s="7559"/>
      <c r="BK36" s="7559"/>
      <c r="BL36" s="7559" t="s">
        <v>474</v>
      </c>
      <c r="BM36" s="7559"/>
      <c r="BN36" s="7559"/>
      <c r="BO36" s="7559"/>
      <c r="BP36" s="7559"/>
      <c r="BQ36" s="7559"/>
      <c r="BR36" s="7559"/>
      <c r="BS36" s="7559" t="s">
        <v>474</v>
      </c>
      <c r="BT36" s="7559"/>
      <c r="BU36" s="7559"/>
      <c r="BV36" s="7559"/>
      <c r="BW36" s="7559"/>
      <c r="BX36" s="7559"/>
      <c r="BY36" s="7559"/>
      <c r="BZ36" s="7559" t="s">
        <v>474</v>
      </c>
      <c r="CA36" s="7559"/>
      <c r="CB36" s="7559"/>
      <c r="CC36" s="7559"/>
      <c r="CD36" s="7559"/>
      <c r="CE36" s="7559"/>
      <c r="CF36" s="7559"/>
      <c r="CG36" s="7559" t="s">
        <v>474</v>
      </c>
      <c r="CH36" s="7559"/>
      <c r="CI36" s="7559"/>
      <c r="CJ36" s="7559"/>
      <c r="CK36" s="7559"/>
      <c r="CL36" s="7559"/>
      <c r="CM36" s="7559"/>
      <c r="CN36" s="7559" t="s">
        <v>474</v>
      </c>
      <c r="CO36" s="7559"/>
      <c r="CP36" s="7559"/>
      <c r="CQ36" s="7559"/>
      <c r="CR36" s="7559"/>
      <c r="CS36" s="7559"/>
      <c r="CT36" s="7559"/>
      <c r="CU36" s="7559"/>
      <c r="CV36" s="7559"/>
    </row>
    <row r="37" spans="1:105" ht="14.25" customHeight="1">
      <c r="Q37" s="300"/>
      <c r="R37" s="300"/>
      <c r="S37" s="7697" t="s">
        <v>86</v>
      </c>
      <c r="T37" s="7649" t="s">
        <v>602</v>
      </c>
      <c r="U37" s="215"/>
      <c r="V37" s="7698" t="s">
        <v>603</v>
      </c>
      <c r="W37" s="7699"/>
      <c r="X37" s="7699"/>
      <c r="Y37" s="7699"/>
      <c r="Z37" s="7699"/>
      <c r="AA37" s="7700"/>
      <c r="AB37" s="7701" t="s">
        <v>604</v>
      </c>
      <c r="AC37" s="7698" t="s">
        <v>603</v>
      </c>
      <c r="AD37" s="7699"/>
      <c r="AE37" s="7699"/>
      <c r="AF37" s="7699"/>
      <c r="AG37" s="7699"/>
      <c r="AH37" s="7700"/>
      <c r="AI37" s="7701" t="s">
        <v>605</v>
      </c>
      <c r="AJ37" s="7698" t="s">
        <v>603</v>
      </c>
      <c r="AK37" s="7699"/>
      <c r="AL37" s="7699"/>
      <c r="AM37" s="7699"/>
      <c r="AN37" s="7699"/>
      <c r="AO37" s="7700"/>
      <c r="AP37" s="7701" t="s">
        <v>604</v>
      </c>
      <c r="AQ37" s="7698" t="s">
        <v>603</v>
      </c>
      <c r="AR37" s="7699"/>
      <c r="AS37" s="7699"/>
      <c r="AT37" s="7699"/>
      <c r="AU37" s="7699"/>
      <c r="AV37" s="7700"/>
      <c r="AW37" s="7701" t="s">
        <v>604</v>
      </c>
      <c r="AX37" s="7698" t="s">
        <v>603</v>
      </c>
      <c r="AY37" s="7699"/>
      <c r="AZ37" s="7699"/>
      <c r="BA37" s="7699"/>
      <c r="BB37" s="7699"/>
      <c r="BC37" s="7700"/>
      <c r="BD37" s="7701" t="s">
        <v>604</v>
      </c>
      <c r="BE37" s="7698" t="s">
        <v>603</v>
      </c>
      <c r="BF37" s="7699"/>
      <c r="BG37" s="7699"/>
      <c r="BH37" s="7699"/>
      <c r="BI37" s="7699"/>
      <c r="BJ37" s="7700"/>
      <c r="BK37" s="7701" t="s">
        <v>604</v>
      </c>
      <c r="BL37" s="7698" t="s">
        <v>603</v>
      </c>
      <c r="BM37" s="7699"/>
      <c r="BN37" s="7699"/>
      <c r="BO37" s="7699"/>
      <c r="BP37" s="7699"/>
      <c r="BQ37" s="7700"/>
      <c r="BR37" s="7701" t="s">
        <v>604</v>
      </c>
      <c r="BS37" s="7698" t="s">
        <v>603</v>
      </c>
      <c r="BT37" s="7699"/>
      <c r="BU37" s="7699"/>
      <c r="BV37" s="7699"/>
      <c r="BW37" s="7699"/>
      <c r="BX37" s="7700"/>
      <c r="BY37" s="7701" t="s">
        <v>604</v>
      </c>
      <c r="BZ37" s="7698" t="s">
        <v>603</v>
      </c>
      <c r="CA37" s="7699"/>
      <c r="CB37" s="7699"/>
      <c r="CC37" s="7699"/>
      <c r="CD37" s="7699"/>
      <c r="CE37" s="7700"/>
      <c r="CF37" s="7701" t="s">
        <v>604</v>
      </c>
      <c r="CG37" s="7698" t="s">
        <v>603</v>
      </c>
      <c r="CH37" s="7699"/>
      <c r="CI37" s="7699"/>
      <c r="CJ37" s="7699"/>
      <c r="CK37" s="7699"/>
      <c r="CL37" s="7700"/>
      <c r="CM37" s="7701" t="s">
        <v>604</v>
      </c>
      <c r="CN37" s="7698" t="s">
        <v>603</v>
      </c>
      <c r="CO37" s="7699"/>
      <c r="CP37" s="7699"/>
      <c r="CQ37" s="7699"/>
      <c r="CR37" s="7699"/>
      <c r="CS37" s="7700"/>
      <c r="CT37" s="7701" t="s">
        <v>604</v>
      </c>
      <c r="CU37" s="7704" t="s">
        <v>606</v>
      </c>
      <c r="CV37" s="7559"/>
    </row>
    <row r="38" spans="1:105" ht="33.75" customHeight="1">
      <c r="Q38" s="300"/>
      <c r="R38" s="300"/>
      <c r="S38" s="7697"/>
      <c r="T38" s="7649"/>
      <c r="U38" s="942"/>
      <c r="V38" s="1273" t="s">
        <v>662</v>
      </c>
      <c r="W38" s="7530" t="s">
        <v>609</v>
      </c>
      <c r="X38" s="7529"/>
      <c r="Y38" s="7530" t="s">
        <v>610</v>
      </c>
      <c r="Z38" s="7536"/>
      <c r="AA38" s="7529"/>
      <c r="AB38" s="7702"/>
      <c r="AC38" s="1273" t="s">
        <v>662</v>
      </c>
      <c r="AD38" s="7530" t="s">
        <v>609</v>
      </c>
      <c r="AE38" s="7529"/>
      <c r="AF38" s="7530" t="s">
        <v>610</v>
      </c>
      <c r="AG38" s="7536"/>
      <c r="AH38" s="7529"/>
      <c r="AI38" s="7702"/>
      <c r="AJ38" s="1809" t="s">
        <v>662</v>
      </c>
      <c r="AK38" s="7530" t="s">
        <v>609</v>
      </c>
      <c r="AL38" s="7529"/>
      <c r="AM38" s="7530" t="s">
        <v>610</v>
      </c>
      <c r="AN38" s="7536"/>
      <c r="AO38" s="7529"/>
      <c r="AP38" s="7702"/>
      <c r="AQ38" s="1809" t="s">
        <v>662</v>
      </c>
      <c r="AR38" s="7530" t="s">
        <v>609</v>
      </c>
      <c r="AS38" s="7529"/>
      <c r="AT38" s="7530" t="s">
        <v>610</v>
      </c>
      <c r="AU38" s="7536"/>
      <c r="AV38" s="7529"/>
      <c r="AW38" s="7702"/>
      <c r="AX38" s="1809" t="s">
        <v>662</v>
      </c>
      <c r="AY38" s="7530" t="s">
        <v>609</v>
      </c>
      <c r="AZ38" s="7529"/>
      <c r="BA38" s="7530" t="s">
        <v>610</v>
      </c>
      <c r="BB38" s="7536"/>
      <c r="BC38" s="7529"/>
      <c r="BD38" s="7702"/>
      <c r="BE38" s="1809" t="s">
        <v>662</v>
      </c>
      <c r="BF38" s="7530" t="s">
        <v>609</v>
      </c>
      <c r="BG38" s="7529"/>
      <c r="BH38" s="7530" t="s">
        <v>610</v>
      </c>
      <c r="BI38" s="7536"/>
      <c r="BJ38" s="7529"/>
      <c r="BK38" s="7702"/>
      <c r="BL38" s="1809" t="s">
        <v>662</v>
      </c>
      <c r="BM38" s="7530" t="s">
        <v>609</v>
      </c>
      <c r="BN38" s="7529"/>
      <c r="BO38" s="7530" t="s">
        <v>610</v>
      </c>
      <c r="BP38" s="7536"/>
      <c r="BQ38" s="7529"/>
      <c r="BR38" s="7702"/>
      <c r="BS38" s="1809" t="s">
        <v>662</v>
      </c>
      <c r="BT38" s="7530" t="s">
        <v>609</v>
      </c>
      <c r="BU38" s="7529"/>
      <c r="BV38" s="7530" t="s">
        <v>610</v>
      </c>
      <c r="BW38" s="7536"/>
      <c r="BX38" s="7529"/>
      <c r="BY38" s="7702"/>
      <c r="BZ38" s="1809" t="s">
        <v>662</v>
      </c>
      <c r="CA38" s="7530" t="s">
        <v>609</v>
      </c>
      <c r="CB38" s="7529"/>
      <c r="CC38" s="7530" t="s">
        <v>610</v>
      </c>
      <c r="CD38" s="7536"/>
      <c r="CE38" s="7529"/>
      <c r="CF38" s="7702"/>
      <c r="CG38" s="1809" t="s">
        <v>662</v>
      </c>
      <c r="CH38" s="7530" t="s">
        <v>609</v>
      </c>
      <c r="CI38" s="7529"/>
      <c r="CJ38" s="7530" t="s">
        <v>610</v>
      </c>
      <c r="CK38" s="7536"/>
      <c r="CL38" s="7529"/>
      <c r="CM38" s="7702"/>
      <c r="CN38" s="1809" t="s">
        <v>662</v>
      </c>
      <c r="CO38" s="7530" t="s">
        <v>609</v>
      </c>
      <c r="CP38" s="7529"/>
      <c r="CQ38" s="7530" t="s">
        <v>610</v>
      </c>
      <c r="CR38" s="7536"/>
      <c r="CS38" s="7529"/>
      <c r="CT38" s="7702"/>
      <c r="CU38" s="7705"/>
      <c r="CV38" s="7559"/>
    </row>
    <row r="39" spans="1:105" ht="33.75" customHeight="1">
      <c r="A39" s="1291"/>
      <c r="B39" s="1291" t="s">
        <v>249</v>
      </c>
      <c r="C39" s="1291" t="s">
        <v>250</v>
      </c>
      <c r="D39" s="1291" t="s">
        <v>251</v>
      </c>
      <c r="E39" s="1285" t="s">
        <v>611</v>
      </c>
      <c r="F39" s="1285" t="s">
        <v>612</v>
      </c>
      <c r="G39" s="1285" t="s">
        <v>613</v>
      </c>
      <c r="H39" s="1285"/>
      <c r="I39" s="1285" t="s">
        <v>663</v>
      </c>
      <c r="J39" s="1285" t="s">
        <v>616</v>
      </c>
      <c r="K39" s="1285" t="s">
        <v>664</v>
      </c>
      <c r="L39" s="1285" t="s">
        <v>592</v>
      </c>
      <c r="Q39" s="300"/>
      <c r="R39" s="300"/>
      <c r="S39" s="7697"/>
      <c r="T39" s="7649"/>
      <c r="U39" s="216"/>
      <c r="V39" s="1273" t="s">
        <v>665</v>
      </c>
      <c r="W39" s="1133" t="s">
        <v>666</v>
      </c>
      <c r="X39" s="1133" t="s">
        <v>667</v>
      </c>
      <c r="Y39" s="1278" t="s">
        <v>620</v>
      </c>
      <c r="Z39" s="7657" t="s">
        <v>621</v>
      </c>
      <c r="AA39" s="7659"/>
      <c r="AB39" s="7703"/>
      <c r="AC39" s="1273" t="s">
        <v>665</v>
      </c>
      <c r="AD39" s="1133" t="s">
        <v>666</v>
      </c>
      <c r="AE39" s="1133" t="s">
        <v>667</v>
      </c>
      <c r="AF39" s="1278" t="s">
        <v>620</v>
      </c>
      <c r="AG39" s="7657" t="s">
        <v>621</v>
      </c>
      <c r="AH39" s="7659"/>
      <c r="AI39" s="7703"/>
      <c r="AJ39" s="1809" t="s">
        <v>665</v>
      </c>
      <c r="AK39" s="1824" t="s">
        <v>666</v>
      </c>
      <c r="AL39" s="1824" t="s">
        <v>667</v>
      </c>
      <c r="AM39" s="1824" t="s">
        <v>620</v>
      </c>
      <c r="AN39" s="7657" t="s">
        <v>621</v>
      </c>
      <c r="AO39" s="7659"/>
      <c r="AP39" s="7703"/>
      <c r="AQ39" s="1809" t="s">
        <v>665</v>
      </c>
      <c r="AR39" s="1824" t="s">
        <v>666</v>
      </c>
      <c r="AS39" s="1824" t="s">
        <v>667</v>
      </c>
      <c r="AT39" s="1824" t="s">
        <v>620</v>
      </c>
      <c r="AU39" s="7657" t="s">
        <v>621</v>
      </c>
      <c r="AV39" s="7659"/>
      <c r="AW39" s="7703"/>
      <c r="AX39" s="1809" t="s">
        <v>665</v>
      </c>
      <c r="AY39" s="1824" t="s">
        <v>666</v>
      </c>
      <c r="AZ39" s="1824" t="s">
        <v>667</v>
      </c>
      <c r="BA39" s="1824" t="s">
        <v>620</v>
      </c>
      <c r="BB39" s="7657" t="s">
        <v>621</v>
      </c>
      <c r="BC39" s="7659"/>
      <c r="BD39" s="7703"/>
      <c r="BE39" s="1809" t="s">
        <v>665</v>
      </c>
      <c r="BF39" s="1824" t="s">
        <v>666</v>
      </c>
      <c r="BG39" s="1824" t="s">
        <v>667</v>
      </c>
      <c r="BH39" s="1824" t="s">
        <v>620</v>
      </c>
      <c r="BI39" s="7657" t="s">
        <v>621</v>
      </c>
      <c r="BJ39" s="7659"/>
      <c r="BK39" s="7703"/>
      <c r="BL39" s="1809" t="s">
        <v>665</v>
      </c>
      <c r="BM39" s="1824" t="s">
        <v>666</v>
      </c>
      <c r="BN39" s="1824" t="s">
        <v>667</v>
      </c>
      <c r="BO39" s="1824" t="s">
        <v>620</v>
      </c>
      <c r="BP39" s="7657" t="s">
        <v>621</v>
      </c>
      <c r="BQ39" s="7659"/>
      <c r="BR39" s="7703"/>
      <c r="BS39" s="1809" t="s">
        <v>665</v>
      </c>
      <c r="BT39" s="1824" t="s">
        <v>666</v>
      </c>
      <c r="BU39" s="1824" t="s">
        <v>667</v>
      </c>
      <c r="BV39" s="1824" t="s">
        <v>620</v>
      </c>
      <c r="BW39" s="7657" t="s">
        <v>621</v>
      </c>
      <c r="BX39" s="7659"/>
      <c r="BY39" s="7703"/>
      <c r="BZ39" s="1809" t="s">
        <v>665</v>
      </c>
      <c r="CA39" s="1824" t="s">
        <v>666</v>
      </c>
      <c r="CB39" s="1824" t="s">
        <v>667</v>
      </c>
      <c r="CC39" s="1824" t="s">
        <v>620</v>
      </c>
      <c r="CD39" s="7657" t="s">
        <v>621</v>
      </c>
      <c r="CE39" s="7659"/>
      <c r="CF39" s="7703"/>
      <c r="CG39" s="1809" t="s">
        <v>665</v>
      </c>
      <c r="CH39" s="1824" t="s">
        <v>666</v>
      </c>
      <c r="CI39" s="1824" t="s">
        <v>667</v>
      </c>
      <c r="CJ39" s="1824" t="s">
        <v>620</v>
      </c>
      <c r="CK39" s="7657" t="s">
        <v>621</v>
      </c>
      <c r="CL39" s="7659"/>
      <c r="CM39" s="7703"/>
      <c r="CN39" s="1809" t="s">
        <v>665</v>
      </c>
      <c r="CO39" s="1824" t="s">
        <v>666</v>
      </c>
      <c r="CP39" s="1824" t="s">
        <v>667</v>
      </c>
      <c r="CQ39" s="1824" t="s">
        <v>620</v>
      </c>
      <c r="CR39" s="7657" t="s">
        <v>621</v>
      </c>
      <c r="CS39" s="7659"/>
      <c r="CT39" s="7703"/>
      <c r="CU39" s="7706"/>
      <c r="CV39" s="7559"/>
    </row>
    <row r="40" spans="1:105"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100</v>
      </c>
      <c r="U40" s="1159" t="str">
        <f ca="1">OFFSET(U40,0,-1)</f>
        <v>2</v>
      </c>
      <c r="V40" s="1274">
        <f ca="1">OFFSET(V40,0,-1)+1</f>
        <v>3</v>
      </c>
      <c r="W40" s="1274">
        <f ca="1">OFFSET(W40,0,-1)+1</f>
        <v>4</v>
      </c>
      <c r="X40" s="1274">
        <f ca="1">OFFSET(X40,0,-1)+1</f>
        <v>5</v>
      </c>
      <c r="Y40" s="1274">
        <f ca="1">OFFSET(Y40,0,-1)+1</f>
        <v>6</v>
      </c>
      <c r="Z40" s="7696">
        <f ca="1">OFFSET(Z40,0,-1)+1</f>
        <v>7</v>
      </c>
      <c r="AA40" s="7696"/>
      <c r="AB40" s="1274">
        <f ca="1">OFFSET(AB40,0,-2)+1</f>
        <v>8</v>
      </c>
      <c r="AC40" s="1274">
        <f ca="1">OFFSET(AC40,0,-1)+1</f>
        <v>9</v>
      </c>
      <c r="AD40" s="1274">
        <f ca="1">OFFSET(AD40,0,-1)+1</f>
        <v>10</v>
      </c>
      <c r="AE40" s="1274">
        <f ca="1">OFFSET(AE40,0,-1)+1</f>
        <v>11</v>
      </c>
      <c r="AF40" s="1274">
        <f ca="1">OFFSET(AF40,0,-1)+1</f>
        <v>12</v>
      </c>
      <c r="AG40" s="7696">
        <f ca="1">OFFSET(AG40,0,-1)+1</f>
        <v>13</v>
      </c>
      <c r="AH40" s="7696"/>
      <c r="AI40" s="1274">
        <f ca="1">OFFSET(AI40,0,-2)+1</f>
        <v>14</v>
      </c>
      <c r="AJ40" s="1812">
        <f ca="1">OFFSET(AJ40,0,-1)+1</f>
        <v>15</v>
      </c>
      <c r="AK40" s="1812">
        <f ca="1">OFFSET(AK40,0,-1)+1</f>
        <v>16</v>
      </c>
      <c r="AL40" s="1812">
        <f ca="1">OFFSET(AL40,0,-1)+1</f>
        <v>17</v>
      </c>
      <c r="AM40" s="1812">
        <f ca="1">OFFSET(AM40,0,-1)+1</f>
        <v>18</v>
      </c>
      <c r="AN40" s="7696">
        <f ca="1">OFFSET(AN40,0,-1)+1</f>
        <v>19</v>
      </c>
      <c r="AO40" s="7696"/>
      <c r="AP40" s="1812">
        <f ca="1">OFFSET(AP40,0,-2)+1</f>
        <v>20</v>
      </c>
      <c r="AQ40" s="1812">
        <f ca="1">OFFSET(AQ40,0,-1)+1</f>
        <v>21</v>
      </c>
      <c r="AR40" s="1812">
        <f ca="1">OFFSET(AR40,0,-1)+1</f>
        <v>22</v>
      </c>
      <c r="AS40" s="1812">
        <f ca="1">OFFSET(AS40,0,-1)+1</f>
        <v>23</v>
      </c>
      <c r="AT40" s="1812">
        <f ca="1">OFFSET(AT40,0,-1)+1</f>
        <v>24</v>
      </c>
      <c r="AU40" s="7696">
        <f ca="1">OFFSET(AU40,0,-1)+1</f>
        <v>25</v>
      </c>
      <c r="AV40" s="7696"/>
      <c r="AW40" s="1812">
        <f ca="1">OFFSET(AW40,0,-2)+1</f>
        <v>26</v>
      </c>
      <c r="AX40" s="1812">
        <f ca="1">OFFSET(AX40,0,-1)+1</f>
        <v>27</v>
      </c>
      <c r="AY40" s="1812">
        <f ca="1">OFFSET(AY40,0,-1)+1</f>
        <v>28</v>
      </c>
      <c r="AZ40" s="1812">
        <f ca="1">OFFSET(AZ40,0,-1)+1</f>
        <v>29</v>
      </c>
      <c r="BA40" s="1812">
        <f ca="1">OFFSET(BA40,0,-1)+1</f>
        <v>30</v>
      </c>
      <c r="BB40" s="7696">
        <f ca="1">OFFSET(BB40,0,-1)+1</f>
        <v>31</v>
      </c>
      <c r="BC40" s="7696"/>
      <c r="BD40" s="1812">
        <f ca="1">OFFSET(BD40,0,-2)+1</f>
        <v>32</v>
      </c>
      <c r="BE40" s="1812">
        <f ca="1">OFFSET(BE40,0,-1)+1</f>
        <v>33</v>
      </c>
      <c r="BF40" s="1812">
        <f ca="1">OFFSET(BF40,0,-1)+1</f>
        <v>34</v>
      </c>
      <c r="BG40" s="1812">
        <f ca="1">OFFSET(BG40,0,-1)+1</f>
        <v>35</v>
      </c>
      <c r="BH40" s="1812">
        <f ca="1">OFFSET(BH40,0,-1)+1</f>
        <v>36</v>
      </c>
      <c r="BI40" s="7696">
        <f ca="1">OFFSET(BI40,0,-1)+1</f>
        <v>37</v>
      </c>
      <c r="BJ40" s="7696"/>
      <c r="BK40" s="1812">
        <f ca="1">OFFSET(BK40,0,-2)+1</f>
        <v>38</v>
      </c>
      <c r="BL40" s="1812">
        <f ca="1">OFFSET(BL40,0,-1)+1</f>
        <v>39</v>
      </c>
      <c r="BM40" s="1812">
        <f ca="1">OFFSET(BM40,0,-1)+1</f>
        <v>40</v>
      </c>
      <c r="BN40" s="1812">
        <f ca="1">OFFSET(BN40,0,-1)+1</f>
        <v>41</v>
      </c>
      <c r="BO40" s="1812">
        <f ca="1">OFFSET(BO40,0,-1)+1</f>
        <v>42</v>
      </c>
      <c r="BP40" s="7696">
        <f ca="1">OFFSET(BP40,0,-1)+1</f>
        <v>43</v>
      </c>
      <c r="BQ40" s="7696"/>
      <c r="BR40" s="1812">
        <f ca="1">OFFSET(BR40,0,-2)+1</f>
        <v>44</v>
      </c>
      <c r="BS40" s="1812">
        <f ca="1">OFFSET(BS40,0,-1)+1</f>
        <v>45</v>
      </c>
      <c r="BT40" s="1812">
        <f ca="1">OFFSET(BT40,0,-1)+1</f>
        <v>46</v>
      </c>
      <c r="BU40" s="1812">
        <f ca="1">OFFSET(BU40,0,-1)+1</f>
        <v>47</v>
      </c>
      <c r="BV40" s="1812">
        <f ca="1">OFFSET(BV40,0,-1)+1</f>
        <v>48</v>
      </c>
      <c r="BW40" s="7696">
        <f ca="1">OFFSET(BW40,0,-1)+1</f>
        <v>49</v>
      </c>
      <c r="BX40" s="7696"/>
      <c r="BY40" s="1812">
        <f ca="1">OFFSET(BY40,0,-2)+1</f>
        <v>50</v>
      </c>
      <c r="BZ40" s="1812">
        <f ca="1">OFFSET(BZ40,0,-1)+1</f>
        <v>51</v>
      </c>
      <c r="CA40" s="1812">
        <f ca="1">OFFSET(CA40,0,-1)+1</f>
        <v>52</v>
      </c>
      <c r="CB40" s="1812">
        <f ca="1">OFFSET(CB40,0,-1)+1</f>
        <v>53</v>
      </c>
      <c r="CC40" s="1812">
        <f ca="1">OFFSET(CC40,0,-1)+1</f>
        <v>54</v>
      </c>
      <c r="CD40" s="7696">
        <f ca="1">OFFSET(CD40,0,-1)+1</f>
        <v>55</v>
      </c>
      <c r="CE40" s="7696"/>
      <c r="CF40" s="1812">
        <f ca="1">OFFSET(CF40,0,-2)+1</f>
        <v>56</v>
      </c>
      <c r="CG40" s="1812">
        <f ca="1">OFFSET(CG40,0,-1)+1</f>
        <v>57</v>
      </c>
      <c r="CH40" s="1812">
        <f ca="1">OFFSET(CH40,0,-1)+1</f>
        <v>58</v>
      </c>
      <c r="CI40" s="1812">
        <f ca="1">OFFSET(CI40,0,-1)+1</f>
        <v>59</v>
      </c>
      <c r="CJ40" s="1812">
        <f ca="1">OFFSET(CJ40,0,-1)+1</f>
        <v>60</v>
      </c>
      <c r="CK40" s="7696">
        <f ca="1">OFFSET(CK40,0,-1)+1</f>
        <v>61</v>
      </c>
      <c r="CL40" s="7696"/>
      <c r="CM40" s="1812">
        <f ca="1">OFFSET(CM40,0,-2)+1</f>
        <v>62</v>
      </c>
      <c r="CN40" s="1812">
        <f ca="1">OFFSET(CN40,0,-1)+1</f>
        <v>63</v>
      </c>
      <c r="CO40" s="1812">
        <f ca="1">OFFSET(CO40,0,-1)+1</f>
        <v>64</v>
      </c>
      <c r="CP40" s="1812">
        <f ca="1">OFFSET(CP40,0,-1)+1</f>
        <v>65</v>
      </c>
      <c r="CQ40" s="1812">
        <f ca="1">OFFSET(CQ40,0,-1)+1</f>
        <v>66</v>
      </c>
      <c r="CR40" s="7696">
        <f ca="1">OFFSET(CR40,0,-1)+1</f>
        <v>67</v>
      </c>
      <c r="CS40" s="7696"/>
      <c r="CT40" s="1812">
        <f ca="1">OFFSET(CT40,0,-2)+1</f>
        <v>68</v>
      </c>
      <c r="CU40" s="1159">
        <f ca="1">OFFSET(CU40,0,-1)</f>
        <v>68</v>
      </c>
      <c r="CV40" s="1274">
        <f ca="1">OFFSET(CV40,0,-1)+1</f>
        <v>69</v>
      </c>
      <c r="CW40" s="435"/>
      <c r="CX40" s="435"/>
      <c r="CY40" s="435"/>
      <c r="CZ40" s="435"/>
      <c r="DA40" s="435"/>
    </row>
    <row r="41" spans="1:105" ht="23.25" customHeight="1">
      <c r="A41" s="1284" t="s">
        <v>322</v>
      </c>
      <c r="B41" s="1284"/>
      <c r="C41" s="1284"/>
      <c r="D41" s="1284"/>
      <c r="E41" s="7689">
        <v>1</v>
      </c>
      <c r="F41" s="1284"/>
      <c r="G41" s="1284"/>
      <c r="H41" s="1284"/>
      <c r="I41" s="1284"/>
      <c r="J41" s="1284"/>
      <c r="K41" s="1284"/>
      <c r="L41" s="1285"/>
      <c r="M41" s="1286"/>
      <c r="N41" s="1286"/>
      <c r="O41" s="1286"/>
      <c r="P41" s="282"/>
      <c r="Q41" s="281"/>
      <c r="R41" s="276"/>
      <c r="S41" s="1279">
        <f>INDEX(PT_DIFFERENTIATION_NUM_NTAR,MATCH(A41,PT_DIFFERENTIATION_NTAR_ID,0))</f>
        <v>1</v>
      </c>
      <c r="T41" s="212" t="s">
        <v>237</v>
      </c>
      <c r="U41" s="214"/>
      <c r="V41" s="7675"/>
      <c r="W41" s="7676"/>
      <c r="X41" s="7676"/>
      <c r="Y41" s="7676"/>
      <c r="Z41" s="7676"/>
      <c r="AA41" s="7676"/>
      <c r="AB41" s="7677"/>
      <c r="AC41" s="7675" t="str">
        <f>INDEX(PT_DIFFERENTIATION_NTAR,MATCH(A41,PT_DIFFERENTIATION_NTAR_ID,0))</f>
        <v>Тарифы на питьевую воду для потребителей, осуществляющих деятельность в сфере теплоснабжения и электроснабжения на территории города Лермонтова</v>
      </c>
      <c r="AD41" s="7676"/>
      <c r="AE41" s="7676"/>
      <c r="AF41" s="7676"/>
      <c r="AG41" s="7676"/>
      <c r="AH41" s="7676"/>
      <c r="AI41" s="7676"/>
      <c r="AJ41" s="7675"/>
      <c r="AK41" s="7676"/>
      <c r="AL41" s="7676"/>
      <c r="AM41" s="7676"/>
      <c r="AN41" s="7676"/>
      <c r="AO41" s="7676"/>
      <c r="AP41" s="7677"/>
      <c r="AQ41" s="7675"/>
      <c r="AR41" s="7676"/>
      <c r="AS41" s="7676"/>
      <c r="AT41" s="7676"/>
      <c r="AU41" s="7676"/>
      <c r="AV41" s="7676"/>
      <c r="AW41" s="7677"/>
      <c r="AX41" s="7675"/>
      <c r="AY41" s="7676"/>
      <c r="AZ41" s="7676"/>
      <c r="BA41" s="7676"/>
      <c r="BB41" s="7676"/>
      <c r="BC41" s="7676"/>
      <c r="BD41" s="7677"/>
      <c r="BE41" s="7675"/>
      <c r="BF41" s="7676"/>
      <c r="BG41" s="7676"/>
      <c r="BH41" s="7676"/>
      <c r="BI41" s="7676"/>
      <c r="BJ41" s="7676"/>
      <c r="BK41" s="7677"/>
      <c r="BL41" s="7675"/>
      <c r="BM41" s="7676"/>
      <c r="BN41" s="7676"/>
      <c r="BO41" s="7676"/>
      <c r="BP41" s="7676"/>
      <c r="BQ41" s="7676"/>
      <c r="BR41" s="7677"/>
      <c r="BS41" s="7675"/>
      <c r="BT41" s="7676"/>
      <c r="BU41" s="7676"/>
      <c r="BV41" s="7676"/>
      <c r="BW41" s="7676"/>
      <c r="BX41" s="7676"/>
      <c r="BY41" s="7677"/>
      <c r="BZ41" s="7675"/>
      <c r="CA41" s="7676"/>
      <c r="CB41" s="7676"/>
      <c r="CC41" s="7676"/>
      <c r="CD41" s="7676"/>
      <c r="CE41" s="7676"/>
      <c r="CF41" s="7677"/>
      <c r="CG41" s="7675"/>
      <c r="CH41" s="7676"/>
      <c r="CI41" s="7676"/>
      <c r="CJ41" s="7676"/>
      <c r="CK41" s="7676"/>
      <c r="CL41" s="7676"/>
      <c r="CM41" s="7677"/>
      <c r="CN41" s="7675"/>
      <c r="CO41" s="7676"/>
      <c r="CP41" s="7676"/>
      <c r="CQ41" s="7676"/>
      <c r="CR41" s="7676"/>
      <c r="CS41" s="7676"/>
      <c r="CT41" s="7677"/>
      <c r="CU41" s="7677"/>
      <c r="CV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41" s="424"/>
      <c r="CY41" s="424" t="str">
        <f t="shared" ref="CY41:CY104" si="1">IF(T41="","",T41)</f>
        <v>Наименование тарифа</v>
      </c>
      <c r="CZ41" s="424"/>
      <c r="DA41" s="424"/>
    </row>
    <row r="42" spans="1:105" ht="23.25" customHeight="1">
      <c r="A42" s="1284" t="s">
        <v>322</v>
      </c>
      <c r="B42" s="1284" t="s">
        <v>323</v>
      </c>
      <c r="C42" s="1284"/>
      <c r="D42" s="1284"/>
      <c r="E42" s="7690"/>
      <c r="F42" s="7689">
        <v>1</v>
      </c>
      <c r="G42" s="1284"/>
      <c r="H42" s="1284"/>
      <c r="I42" s="1284"/>
      <c r="J42" s="1284"/>
      <c r="K42" s="1284"/>
      <c r="L42" s="1285"/>
      <c r="M42" s="1286"/>
      <c r="N42" s="1286"/>
      <c r="O42" s="1286"/>
      <c r="P42" s="1277"/>
      <c r="Q42" s="273"/>
      <c r="R42" s="274"/>
      <c r="S42" s="1279" t="str">
        <f>INDEX(PT_DIFFERENTIATION_NUM_TER,MATCH(B42,PT_DIFFERENTIATION_TER_ID,0))</f>
        <v>1.1</v>
      </c>
      <c r="T42" s="224" t="s">
        <v>573</v>
      </c>
      <c r="U42" s="214"/>
      <c r="V42" s="7675"/>
      <c r="W42" s="7676"/>
      <c r="X42" s="7676"/>
      <c r="Y42" s="7676"/>
      <c r="Z42" s="7676"/>
      <c r="AA42" s="7676"/>
      <c r="AB42" s="7677"/>
      <c r="AC42" s="7675" t="str">
        <f>INDEX(PT_DIFFERENTIATION_TER,MATCH(B42,PT_DIFFERENTIATION_TER_ID,0))</f>
        <v>Территория 2</v>
      </c>
      <c r="AD42" s="7676"/>
      <c r="AE42" s="7676"/>
      <c r="AF42" s="7676"/>
      <c r="AG42" s="7676"/>
      <c r="AH42" s="7676"/>
      <c r="AI42" s="7676"/>
      <c r="AJ42" s="7675"/>
      <c r="AK42" s="7676"/>
      <c r="AL42" s="7676"/>
      <c r="AM42" s="7676"/>
      <c r="AN42" s="7676"/>
      <c r="AO42" s="7676"/>
      <c r="AP42" s="7677"/>
      <c r="AQ42" s="7675"/>
      <c r="AR42" s="7676"/>
      <c r="AS42" s="7676"/>
      <c r="AT42" s="7676"/>
      <c r="AU42" s="7676"/>
      <c r="AV42" s="7676"/>
      <c r="AW42" s="7677"/>
      <c r="AX42" s="7675"/>
      <c r="AY42" s="7676"/>
      <c r="AZ42" s="7676"/>
      <c r="BA42" s="7676"/>
      <c r="BB42" s="7676"/>
      <c r="BC42" s="7676"/>
      <c r="BD42" s="7677"/>
      <c r="BE42" s="7675"/>
      <c r="BF42" s="7676"/>
      <c r="BG42" s="7676"/>
      <c r="BH42" s="7676"/>
      <c r="BI42" s="7676"/>
      <c r="BJ42" s="7676"/>
      <c r="BK42" s="7677"/>
      <c r="BL42" s="7675"/>
      <c r="BM42" s="7676"/>
      <c r="BN42" s="7676"/>
      <c r="BO42" s="7676"/>
      <c r="BP42" s="7676"/>
      <c r="BQ42" s="7676"/>
      <c r="BR42" s="7677"/>
      <c r="BS42" s="7675"/>
      <c r="BT42" s="7676"/>
      <c r="BU42" s="7676"/>
      <c r="BV42" s="7676"/>
      <c r="BW42" s="7676"/>
      <c r="BX42" s="7676"/>
      <c r="BY42" s="7677"/>
      <c r="BZ42" s="7675"/>
      <c r="CA42" s="7676"/>
      <c r="CB42" s="7676"/>
      <c r="CC42" s="7676"/>
      <c r="CD42" s="7676"/>
      <c r="CE42" s="7676"/>
      <c r="CF42" s="7677"/>
      <c r="CG42" s="7675"/>
      <c r="CH42" s="7676"/>
      <c r="CI42" s="7676"/>
      <c r="CJ42" s="7676"/>
      <c r="CK42" s="7676"/>
      <c r="CL42" s="7676"/>
      <c r="CM42" s="7677"/>
      <c r="CN42" s="7675"/>
      <c r="CO42" s="7676"/>
      <c r="CP42" s="7676"/>
      <c r="CQ42" s="7676"/>
      <c r="CR42" s="7676"/>
      <c r="CS42" s="7676"/>
      <c r="CT42" s="7677"/>
      <c r="CU42" s="7677"/>
      <c r="CV42" s="1182" t="s">
        <v>574</v>
      </c>
      <c r="CX42" s="424"/>
      <c r="CY42" s="424" t="str">
        <f t="shared" si="1"/>
        <v>Территория действия тарифа</v>
      </c>
      <c r="CZ42" s="424"/>
      <c r="DA42" s="424"/>
    </row>
    <row r="43" spans="1:105" ht="23.25" customHeight="1">
      <c r="A43" s="1284" t="s">
        <v>322</v>
      </c>
      <c r="B43" s="1284" t="s">
        <v>323</v>
      </c>
      <c r="C43" s="1284" t="s">
        <v>324</v>
      </c>
      <c r="D43" s="1284"/>
      <c r="E43" s="7690"/>
      <c r="F43" s="7690"/>
      <c r="G43" s="7689">
        <v>1</v>
      </c>
      <c r="H43" s="1284"/>
      <c r="I43" s="1284"/>
      <c r="J43" s="1284"/>
      <c r="K43" s="1284"/>
      <c r="L43" s="1285"/>
      <c r="M43" s="1286"/>
      <c r="N43" s="1286"/>
      <c r="O43" s="1286"/>
      <c r="P43" s="275"/>
      <c r="Q43" s="273"/>
      <c r="R43" s="274"/>
      <c r="S43" s="1279" t="str">
        <f>INDEX(PT_DIFFERENTIATION_NUM_CS,MATCH(C43,PT_DIFFERENTIATION_CS_ID,0))</f>
        <v>1.1.1</v>
      </c>
      <c r="T43" s="225" t="s">
        <v>654</v>
      </c>
      <c r="U43" s="214"/>
      <c r="V43" s="7675"/>
      <c r="W43" s="7676"/>
      <c r="X43" s="7676"/>
      <c r="Y43" s="7676"/>
      <c r="Z43" s="7676"/>
      <c r="AA43" s="7676"/>
      <c r="AB43" s="7677"/>
      <c r="AC43" s="7675" t="str">
        <f>INDEX(PT_DIFFERENTIATION_CS,MATCH(C43,PT_DIFFERENTIATION_CS_ID,0))</f>
        <v>без дифференциации</v>
      </c>
      <c r="AD43" s="7676"/>
      <c r="AE43" s="7676"/>
      <c r="AF43" s="7676"/>
      <c r="AG43" s="7676"/>
      <c r="AH43" s="7676"/>
      <c r="AI43" s="7676"/>
      <c r="AJ43" s="7675"/>
      <c r="AK43" s="7676"/>
      <c r="AL43" s="7676"/>
      <c r="AM43" s="7676"/>
      <c r="AN43" s="7676"/>
      <c r="AO43" s="7676"/>
      <c r="AP43" s="7677"/>
      <c r="AQ43" s="7675"/>
      <c r="AR43" s="7676"/>
      <c r="AS43" s="7676"/>
      <c r="AT43" s="7676"/>
      <c r="AU43" s="7676"/>
      <c r="AV43" s="7676"/>
      <c r="AW43" s="7677"/>
      <c r="AX43" s="7675"/>
      <c r="AY43" s="7676"/>
      <c r="AZ43" s="7676"/>
      <c r="BA43" s="7676"/>
      <c r="BB43" s="7676"/>
      <c r="BC43" s="7676"/>
      <c r="BD43" s="7677"/>
      <c r="BE43" s="7675"/>
      <c r="BF43" s="7676"/>
      <c r="BG43" s="7676"/>
      <c r="BH43" s="7676"/>
      <c r="BI43" s="7676"/>
      <c r="BJ43" s="7676"/>
      <c r="BK43" s="7677"/>
      <c r="BL43" s="7675"/>
      <c r="BM43" s="7676"/>
      <c r="BN43" s="7676"/>
      <c r="BO43" s="7676"/>
      <c r="BP43" s="7676"/>
      <c r="BQ43" s="7676"/>
      <c r="BR43" s="7677"/>
      <c r="BS43" s="7675"/>
      <c r="BT43" s="7676"/>
      <c r="BU43" s="7676"/>
      <c r="BV43" s="7676"/>
      <c r="BW43" s="7676"/>
      <c r="BX43" s="7676"/>
      <c r="BY43" s="7677"/>
      <c r="BZ43" s="7675"/>
      <c r="CA43" s="7676"/>
      <c r="CB43" s="7676"/>
      <c r="CC43" s="7676"/>
      <c r="CD43" s="7676"/>
      <c r="CE43" s="7676"/>
      <c r="CF43" s="7677"/>
      <c r="CG43" s="7675"/>
      <c r="CH43" s="7676"/>
      <c r="CI43" s="7676"/>
      <c r="CJ43" s="7676"/>
      <c r="CK43" s="7676"/>
      <c r="CL43" s="7676"/>
      <c r="CM43" s="7677"/>
      <c r="CN43" s="7675"/>
      <c r="CO43" s="7676"/>
      <c r="CP43" s="7676"/>
      <c r="CQ43" s="7676"/>
      <c r="CR43" s="7676"/>
      <c r="CS43" s="7676"/>
      <c r="CT43" s="7677"/>
      <c r="CU43" s="7677"/>
      <c r="CV43" s="1182" t="s">
        <v>655</v>
      </c>
      <c r="CX43" s="424"/>
      <c r="CY43" s="424" t="str">
        <f t="shared" si="1"/>
        <v>Наименование централизованной системы холодного водоснабжения</v>
      </c>
      <c r="CZ43" s="424"/>
      <c r="DA43" s="424"/>
    </row>
    <row r="44" spans="1:105" ht="23.25" customHeight="1">
      <c r="A44" s="1284" t="s">
        <v>322</v>
      </c>
      <c r="B44" s="1284" t="s">
        <v>323</v>
      </c>
      <c r="C44" s="1284" t="s">
        <v>324</v>
      </c>
      <c r="D44" s="1284" t="s">
        <v>668</v>
      </c>
      <c r="E44" s="7690"/>
      <c r="F44" s="7690"/>
      <c r="G44" s="7690"/>
      <c r="H44" s="7690"/>
      <c r="I44" s="7687" t="str">
        <f>S43&amp;".1"</f>
        <v>1.1.1.1</v>
      </c>
      <c r="J44" s="1284"/>
      <c r="K44" s="1284"/>
      <c r="L44" s="1285"/>
      <c r="P44" s="7688">
        <v>1</v>
      </c>
      <c r="Q44" s="1275"/>
      <c r="R44" s="277"/>
      <c r="S44" s="1279" t="str">
        <f>$I44</f>
        <v>1.1.1.1</v>
      </c>
      <c r="T44" s="200" t="s">
        <v>656</v>
      </c>
      <c r="U44" s="214"/>
      <c r="V44" s="7748"/>
      <c r="W44" s="7749"/>
      <c r="X44" s="7749"/>
      <c r="Y44" s="7749"/>
      <c r="Z44" s="7749"/>
      <c r="AA44" s="7749"/>
      <c r="AB44" s="7750"/>
      <c r="AC44" s="7751"/>
      <c r="AD44" s="7752"/>
      <c r="AE44" s="7752"/>
      <c r="AF44" s="7752"/>
      <c r="AG44" s="7752"/>
      <c r="AH44" s="7752"/>
      <c r="AI44" s="7752"/>
      <c r="AJ44" s="7748"/>
      <c r="AK44" s="7749"/>
      <c r="AL44" s="7749"/>
      <c r="AM44" s="7749"/>
      <c r="AN44" s="7749"/>
      <c r="AO44" s="7749"/>
      <c r="AP44" s="7750"/>
      <c r="AQ44" s="7748"/>
      <c r="AR44" s="7749"/>
      <c r="AS44" s="7749"/>
      <c r="AT44" s="7749"/>
      <c r="AU44" s="7749"/>
      <c r="AV44" s="7749"/>
      <c r="AW44" s="7750"/>
      <c r="AX44" s="7748"/>
      <c r="AY44" s="7749"/>
      <c r="AZ44" s="7749"/>
      <c r="BA44" s="7749"/>
      <c r="BB44" s="7749"/>
      <c r="BC44" s="7749"/>
      <c r="BD44" s="7750"/>
      <c r="BE44" s="7748"/>
      <c r="BF44" s="7749"/>
      <c r="BG44" s="7749"/>
      <c r="BH44" s="7749"/>
      <c r="BI44" s="7749"/>
      <c r="BJ44" s="7749"/>
      <c r="BK44" s="7750"/>
      <c r="BL44" s="7748"/>
      <c r="BM44" s="7749"/>
      <c r="BN44" s="7749"/>
      <c r="BO44" s="7749"/>
      <c r="BP44" s="7749"/>
      <c r="BQ44" s="7749"/>
      <c r="BR44" s="7750"/>
      <c r="BS44" s="7748"/>
      <c r="BT44" s="7749"/>
      <c r="BU44" s="7749"/>
      <c r="BV44" s="7749"/>
      <c r="BW44" s="7749"/>
      <c r="BX44" s="7749"/>
      <c r="BY44" s="7750"/>
      <c r="BZ44" s="7748"/>
      <c r="CA44" s="7749"/>
      <c r="CB44" s="7749"/>
      <c r="CC44" s="7749"/>
      <c r="CD44" s="7749"/>
      <c r="CE44" s="7749"/>
      <c r="CF44" s="7750"/>
      <c r="CG44" s="7748"/>
      <c r="CH44" s="7749"/>
      <c r="CI44" s="7749"/>
      <c r="CJ44" s="7749"/>
      <c r="CK44" s="7749"/>
      <c r="CL44" s="7749"/>
      <c r="CM44" s="7750"/>
      <c r="CN44" s="7748"/>
      <c r="CO44" s="7749"/>
      <c r="CP44" s="7749"/>
      <c r="CQ44" s="7749"/>
      <c r="CR44" s="7749"/>
      <c r="CS44" s="7749"/>
      <c r="CT44" s="7750"/>
      <c r="CU44" s="7753"/>
      <c r="CV44" s="1182" t="s">
        <v>657</v>
      </c>
      <c r="CX44" s="424"/>
      <c r="CY44" s="424" t="str">
        <f t="shared" si="1"/>
        <v>Наименование признака дифференциации</v>
      </c>
      <c r="CZ44" s="424"/>
      <c r="DA44" s="424"/>
    </row>
    <row r="45" spans="1:105" ht="23.25" customHeight="1">
      <c r="A45" s="1284" t="s">
        <v>322</v>
      </c>
      <c r="B45" s="1284" t="s">
        <v>323</v>
      </c>
      <c r="C45" s="1284" t="s">
        <v>324</v>
      </c>
      <c r="D45" s="1284" t="s">
        <v>668</v>
      </c>
      <c r="E45" s="7690"/>
      <c r="F45" s="7690"/>
      <c r="G45" s="7690"/>
      <c r="H45" s="7690"/>
      <c r="I45" s="7710"/>
      <c r="J45" s="7687" t="str">
        <f>I44&amp;".1"</f>
        <v>1.1.1.1.1</v>
      </c>
      <c r="K45" s="1284"/>
      <c r="L45" s="1285" t="s">
        <v>582</v>
      </c>
      <c r="P45" s="7688"/>
      <c r="Q45" s="7688">
        <v>1</v>
      </c>
      <c r="R45" s="278"/>
      <c r="S45" s="1279" t="str">
        <f>$J45</f>
        <v>1.1.1.1.1</v>
      </c>
      <c r="T45" s="201" t="s">
        <v>583</v>
      </c>
      <c r="U45" s="214"/>
      <c r="V45" s="7678"/>
      <c r="W45" s="7679"/>
      <c r="X45" s="7679"/>
      <c r="Y45" s="7679"/>
      <c r="Z45" s="7679"/>
      <c r="AA45" s="7679"/>
      <c r="AB45" s="7680"/>
      <c r="AC45" s="7678" t="s">
        <v>669</v>
      </c>
      <c r="AD45" s="7679"/>
      <c r="AE45" s="7679"/>
      <c r="AF45" s="7679"/>
      <c r="AG45" s="7679"/>
      <c r="AH45" s="7679"/>
      <c r="AI45" s="7679"/>
      <c r="AJ45" s="7678"/>
      <c r="AK45" s="7679"/>
      <c r="AL45" s="7679"/>
      <c r="AM45" s="7679"/>
      <c r="AN45" s="7679"/>
      <c r="AO45" s="7679"/>
      <c r="AP45" s="7680"/>
      <c r="AQ45" s="7678"/>
      <c r="AR45" s="7679"/>
      <c r="AS45" s="7679"/>
      <c r="AT45" s="7679"/>
      <c r="AU45" s="7679"/>
      <c r="AV45" s="7679"/>
      <c r="AW45" s="7680"/>
      <c r="AX45" s="7678"/>
      <c r="AY45" s="7679"/>
      <c r="AZ45" s="7679"/>
      <c r="BA45" s="7679"/>
      <c r="BB45" s="7679"/>
      <c r="BC45" s="7679"/>
      <c r="BD45" s="7680"/>
      <c r="BE45" s="7678"/>
      <c r="BF45" s="7679"/>
      <c r="BG45" s="7679"/>
      <c r="BH45" s="7679"/>
      <c r="BI45" s="7679"/>
      <c r="BJ45" s="7679"/>
      <c r="BK45" s="7680"/>
      <c r="BL45" s="7678"/>
      <c r="BM45" s="7679"/>
      <c r="BN45" s="7679"/>
      <c r="BO45" s="7679"/>
      <c r="BP45" s="7679"/>
      <c r="BQ45" s="7679"/>
      <c r="BR45" s="7680"/>
      <c r="BS45" s="7678"/>
      <c r="BT45" s="7679"/>
      <c r="BU45" s="7679"/>
      <c r="BV45" s="7679"/>
      <c r="BW45" s="7679"/>
      <c r="BX45" s="7679"/>
      <c r="BY45" s="7680"/>
      <c r="BZ45" s="7678"/>
      <c r="CA45" s="7679"/>
      <c r="CB45" s="7679"/>
      <c r="CC45" s="7679"/>
      <c r="CD45" s="7679"/>
      <c r="CE45" s="7679"/>
      <c r="CF45" s="7680"/>
      <c r="CG45" s="7678"/>
      <c r="CH45" s="7679"/>
      <c r="CI45" s="7679"/>
      <c r="CJ45" s="7679"/>
      <c r="CK45" s="7679"/>
      <c r="CL45" s="7679"/>
      <c r="CM45" s="7680"/>
      <c r="CN45" s="7678"/>
      <c r="CO45" s="7679"/>
      <c r="CP45" s="7679"/>
      <c r="CQ45" s="7679"/>
      <c r="CR45" s="7679"/>
      <c r="CS45" s="7679"/>
      <c r="CT45" s="7680"/>
      <c r="CU45" s="7680"/>
      <c r="CV45" s="1231" t="s">
        <v>658</v>
      </c>
      <c r="CX45" s="424"/>
      <c r="CY45" s="424" t="str">
        <f t="shared" si="1"/>
        <v>Группа потребителей</v>
      </c>
      <c r="CZ45" s="424"/>
      <c r="DA45" s="424"/>
    </row>
    <row r="46" spans="1:105" ht="23.25" customHeight="1">
      <c r="A46" s="1284" t="s">
        <v>322</v>
      </c>
      <c r="B46" s="1284" t="s">
        <v>323</v>
      </c>
      <c r="C46" s="1284" t="s">
        <v>324</v>
      </c>
      <c r="D46" s="1284" t="s">
        <v>668</v>
      </c>
      <c r="E46" s="7690"/>
      <c r="F46" s="7690"/>
      <c r="G46" s="7690"/>
      <c r="H46" s="7690"/>
      <c r="I46" s="7710"/>
      <c r="J46" s="7710"/>
      <c r="K46" s="7687" t="str">
        <f>J45&amp;".1"</f>
        <v>1.1.1.1.1.1</v>
      </c>
      <c r="L46" s="1285"/>
      <c r="P46" s="7688"/>
      <c r="Q46" s="7688"/>
      <c r="R46" s="278">
        <v>1</v>
      </c>
      <c r="S46" s="1279" t="str">
        <f>$K46</f>
        <v>1.1.1.1.1.1</v>
      </c>
      <c r="T46" s="1357" t="s">
        <v>670</v>
      </c>
      <c r="U46" s="214"/>
      <c r="V46" s="666"/>
      <c r="W46" s="666"/>
      <c r="X46" s="1181"/>
      <c r="Y46" s="7692"/>
      <c r="Z46" s="7540" t="s">
        <v>60</v>
      </c>
      <c r="AA46" s="7711"/>
      <c r="AB46" s="7540" t="s">
        <v>60</v>
      </c>
      <c r="AC46" s="666">
        <v>38.549999999999997</v>
      </c>
      <c r="AD46" s="666"/>
      <c r="AE46" s="1181"/>
      <c r="AF46" s="7692">
        <v>45292</v>
      </c>
      <c r="AG46" s="7540" t="s">
        <v>60</v>
      </c>
      <c r="AH46" s="7711">
        <v>45473</v>
      </c>
      <c r="AI46" s="7540" t="s">
        <v>60</v>
      </c>
      <c r="AJ46" s="666">
        <v>50.19</v>
      </c>
      <c r="AK46" s="666"/>
      <c r="AL46" s="1181"/>
      <c r="AM46" s="7692">
        <v>45474</v>
      </c>
      <c r="AN46" s="7540" t="s">
        <v>60</v>
      </c>
      <c r="AO46" s="7711">
        <v>45657</v>
      </c>
      <c r="AP46" s="7540" t="s">
        <v>60</v>
      </c>
      <c r="AQ46" s="666">
        <v>50.19</v>
      </c>
      <c r="AR46" s="666"/>
      <c r="AS46" s="1181"/>
      <c r="AT46" s="7692">
        <v>45658</v>
      </c>
      <c r="AU46" s="7540" t="s">
        <v>60</v>
      </c>
      <c r="AV46" s="7711">
        <v>45838</v>
      </c>
      <c r="AW46" s="7540" t="s">
        <v>60</v>
      </c>
      <c r="AX46" s="666">
        <v>50.4</v>
      </c>
      <c r="AY46" s="666"/>
      <c r="AZ46" s="1181"/>
      <c r="BA46" s="7692">
        <v>45839</v>
      </c>
      <c r="BB46" s="7540" t="s">
        <v>60</v>
      </c>
      <c r="BC46" s="7711">
        <v>46022</v>
      </c>
      <c r="BD46" s="7540" t="s">
        <v>60</v>
      </c>
      <c r="BE46" s="666">
        <v>49.51</v>
      </c>
      <c r="BF46" s="666"/>
      <c r="BG46" s="1181"/>
      <c r="BH46" s="7692">
        <v>46023</v>
      </c>
      <c r="BI46" s="7540" t="s">
        <v>60</v>
      </c>
      <c r="BJ46" s="7711">
        <v>46203</v>
      </c>
      <c r="BK46" s="7540" t="s">
        <v>60</v>
      </c>
      <c r="BL46" s="666">
        <v>49.51</v>
      </c>
      <c r="BM46" s="666"/>
      <c r="BN46" s="1181"/>
      <c r="BO46" s="7692">
        <v>46204</v>
      </c>
      <c r="BP46" s="7540" t="s">
        <v>60</v>
      </c>
      <c r="BQ46" s="7711">
        <v>46387</v>
      </c>
      <c r="BR46" s="7540" t="s">
        <v>60</v>
      </c>
      <c r="BS46" s="666">
        <v>49.51</v>
      </c>
      <c r="BT46" s="666"/>
      <c r="BU46" s="1181"/>
      <c r="BV46" s="7692">
        <v>46388</v>
      </c>
      <c r="BW46" s="7540" t="s">
        <v>60</v>
      </c>
      <c r="BX46" s="7711">
        <v>46568</v>
      </c>
      <c r="BY46" s="7540" t="s">
        <v>60</v>
      </c>
      <c r="BZ46" s="666">
        <v>50.2</v>
      </c>
      <c r="CA46" s="666"/>
      <c r="CB46" s="1181"/>
      <c r="CC46" s="7692">
        <v>46569</v>
      </c>
      <c r="CD46" s="7540" t="s">
        <v>60</v>
      </c>
      <c r="CE46" s="7711">
        <v>46752</v>
      </c>
      <c r="CF46" s="7540" t="s">
        <v>60</v>
      </c>
      <c r="CG46" s="666">
        <v>50.2</v>
      </c>
      <c r="CH46" s="666"/>
      <c r="CI46" s="1181"/>
      <c r="CJ46" s="7692">
        <v>46753</v>
      </c>
      <c r="CK46" s="7540" t="s">
        <v>60</v>
      </c>
      <c r="CL46" s="7711">
        <v>46934</v>
      </c>
      <c r="CM46" s="7540" t="s">
        <v>60</v>
      </c>
      <c r="CN46" s="666">
        <v>52.46</v>
      </c>
      <c r="CO46" s="666"/>
      <c r="CP46" s="1181"/>
      <c r="CQ46" s="7692">
        <v>46935</v>
      </c>
      <c r="CR46" s="7540" t="s">
        <v>60</v>
      </c>
      <c r="CS46" s="7711">
        <v>47118</v>
      </c>
      <c r="CT46" s="7540" t="s">
        <v>60</v>
      </c>
      <c r="CU46" s="1358"/>
      <c r="CV4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6" s="435" t="e">
        <f ca="1">STRCHECKDATE(V47:CU47)</f>
        <v>#NAME?</v>
      </c>
      <c r="CX46" s="424"/>
      <c r="CY46" s="424" t="str">
        <f t="shared" si="1"/>
        <v>Тариф, руб. за 1 куб. метр без НДС</v>
      </c>
      <c r="CZ46" s="424"/>
      <c r="DA46" s="424"/>
    </row>
    <row r="47" spans="1:105" ht="0" hidden="1" customHeight="1">
      <c r="A47" s="1284" t="s">
        <v>322</v>
      </c>
      <c r="B47" s="1284" t="s">
        <v>323</v>
      </c>
      <c r="C47" s="1284" t="s">
        <v>324</v>
      </c>
      <c r="D47" s="1284" t="s">
        <v>668</v>
      </c>
      <c r="E47" s="7690"/>
      <c r="F47" s="7690"/>
      <c r="G47" s="7690"/>
      <c r="H47" s="7690"/>
      <c r="I47" s="7710"/>
      <c r="J47" s="7710"/>
      <c r="K47" s="7687"/>
      <c r="L47" s="1285"/>
      <c r="P47" s="7688"/>
      <c r="Q47" s="7688"/>
      <c r="R47" s="278"/>
      <c r="S47" s="1280"/>
      <c r="T47" s="214"/>
      <c r="U47" s="214"/>
      <c r="V47" s="246"/>
      <c r="W47" s="246"/>
      <c r="X47" s="250" t="str">
        <f>Y46&amp;"-"&amp;AA46</f>
        <v>-</v>
      </c>
      <c r="Y47" s="7693"/>
      <c r="Z47" s="7540"/>
      <c r="AA47" s="7712"/>
      <c r="AB47" s="7540"/>
      <c r="AC47" s="246"/>
      <c r="AD47" s="246"/>
      <c r="AE47" s="250" t="str">
        <f>AF46&amp;"-"&amp;AH46</f>
        <v>45292-45473</v>
      </c>
      <c r="AF47" s="7693"/>
      <c r="AG47" s="7540"/>
      <c r="AH47" s="7712"/>
      <c r="AI47" s="7540"/>
      <c r="AJ47" s="246"/>
      <c r="AK47" s="246"/>
      <c r="AL47" s="250" t="str">
        <f>AM46&amp;"-"&amp;AO46</f>
        <v>45474-45657</v>
      </c>
      <c r="AM47" s="7693"/>
      <c r="AN47" s="7540"/>
      <c r="AO47" s="7712"/>
      <c r="AP47" s="7540"/>
      <c r="AQ47" s="246"/>
      <c r="AR47" s="246"/>
      <c r="AS47" s="250" t="str">
        <f>AT46&amp;"-"&amp;AV46</f>
        <v>45658-45838</v>
      </c>
      <c r="AT47" s="7693"/>
      <c r="AU47" s="7540"/>
      <c r="AV47" s="7712"/>
      <c r="AW47" s="7540"/>
      <c r="AX47" s="246"/>
      <c r="AY47" s="246"/>
      <c r="AZ47" s="250" t="str">
        <f>BA46&amp;"-"&amp;BC46</f>
        <v>45839-46022</v>
      </c>
      <c r="BA47" s="7693"/>
      <c r="BB47" s="7540"/>
      <c r="BC47" s="7712"/>
      <c r="BD47" s="7540"/>
      <c r="BE47" s="246"/>
      <c r="BF47" s="246"/>
      <c r="BG47" s="250" t="str">
        <f>BH46&amp;"-"&amp;BJ46</f>
        <v>46023-46203</v>
      </c>
      <c r="BH47" s="7693"/>
      <c r="BI47" s="7540"/>
      <c r="BJ47" s="7712"/>
      <c r="BK47" s="7540"/>
      <c r="BL47" s="246"/>
      <c r="BM47" s="246"/>
      <c r="BN47" s="250" t="str">
        <f>BO46&amp;"-"&amp;BQ46</f>
        <v>46204-46387</v>
      </c>
      <c r="BO47" s="7693"/>
      <c r="BP47" s="7540"/>
      <c r="BQ47" s="7712"/>
      <c r="BR47" s="7540"/>
      <c r="BS47" s="246"/>
      <c r="BT47" s="246"/>
      <c r="BU47" s="250" t="str">
        <f>BV46&amp;"-"&amp;BX46</f>
        <v>46388-46568</v>
      </c>
      <c r="BV47" s="7693"/>
      <c r="BW47" s="7540"/>
      <c r="BX47" s="7712"/>
      <c r="BY47" s="7540"/>
      <c r="BZ47" s="246"/>
      <c r="CA47" s="246"/>
      <c r="CB47" s="250" t="str">
        <f>CC46&amp;"-"&amp;CE46</f>
        <v>46569-46752</v>
      </c>
      <c r="CC47" s="7693"/>
      <c r="CD47" s="7540"/>
      <c r="CE47" s="7712"/>
      <c r="CF47" s="7540"/>
      <c r="CG47" s="246"/>
      <c r="CH47" s="246"/>
      <c r="CI47" s="250" t="str">
        <f>CJ46&amp;"-"&amp;CL46</f>
        <v>46753-46934</v>
      </c>
      <c r="CJ47" s="7693"/>
      <c r="CK47" s="7540"/>
      <c r="CL47" s="7712"/>
      <c r="CM47" s="7540"/>
      <c r="CN47" s="246"/>
      <c r="CO47" s="246"/>
      <c r="CP47" s="250" t="str">
        <f>CQ46&amp;"-"&amp;CS46</f>
        <v>46935-47118</v>
      </c>
      <c r="CQ47" s="7693"/>
      <c r="CR47" s="7540"/>
      <c r="CS47" s="7712"/>
      <c r="CT47" s="7540"/>
      <c r="CU47" s="1359"/>
      <c r="CV47" s="7747"/>
      <c r="CX47" s="424"/>
      <c r="CY47" s="424" t="str">
        <f t="shared" si="1"/>
        <v/>
      </c>
      <c r="CZ47" s="424"/>
      <c r="DA47" s="424"/>
    </row>
    <row r="48" spans="1:105" ht="21" customHeight="1">
      <c r="A48" s="1284" t="s">
        <v>322</v>
      </c>
      <c r="B48" s="1284" t="s">
        <v>323</v>
      </c>
      <c r="C48" s="1284" t="s">
        <v>324</v>
      </c>
      <c r="D48" s="1284" t="s">
        <v>668</v>
      </c>
      <c r="E48" s="7690"/>
      <c r="F48" s="7690"/>
      <c r="G48" s="7690"/>
      <c r="H48" s="7690"/>
      <c r="I48" s="7710"/>
      <c r="J48" s="7687"/>
      <c r="K48" s="1284"/>
      <c r="L48" s="1285"/>
      <c r="P48" s="7688"/>
      <c r="Q48" s="7688"/>
      <c r="R48" s="277"/>
      <c r="S48" s="1203"/>
      <c r="T48" s="202" t="s">
        <v>659</v>
      </c>
      <c r="U48" s="291"/>
      <c r="V48" s="291"/>
      <c r="W48" s="291"/>
      <c r="X48" s="291"/>
      <c r="Y48" s="291"/>
      <c r="Z48" s="291"/>
      <c r="AA48" s="291"/>
      <c r="AB48" s="291"/>
      <c r="AC48" s="291"/>
      <c r="AD48" s="291"/>
      <c r="AE48" s="291"/>
      <c r="AF48" s="291"/>
      <c r="AG48" s="291"/>
      <c r="AH48" s="291"/>
      <c r="AI48" s="291"/>
      <c r="AJ48" s="2054"/>
      <c r="AK48" s="2055"/>
      <c r="AL48" s="2056"/>
      <c r="AM48" s="2057"/>
      <c r="AN48" s="2058"/>
      <c r="AO48" s="2059"/>
      <c r="AP48" s="2060"/>
      <c r="AQ48" s="2061"/>
      <c r="AR48" s="2062"/>
      <c r="AS48" s="2063"/>
      <c r="AT48" s="2064"/>
      <c r="AU48" s="2065"/>
      <c r="AV48" s="2066"/>
      <c r="AW48" s="2067"/>
      <c r="AX48" s="2068"/>
      <c r="AY48" s="2069"/>
      <c r="AZ48" s="2070"/>
      <c r="BA48" s="2071"/>
      <c r="BB48" s="2072"/>
      <c r="BC48" s="2073"/>
      <c r="BD48" s="2074"/>
      <c r="BE48" s="2075"/>
      <c r="BF48" s="2076"/>
      <c r="BG48" s="2077"/>
      <c r="BH48" s="2078"/>
      <c r="BI48" s="2079"/>
      <c r="BJ48" s="2080"/>
      <c r="BK48" s="2081"/>
      <c r="BL48" s="2082"/>
      <c r="BM48" s="2083"/>
      <c r="BN48" s="2084"/>
      <c r="BO48" s="2085"/>
      <c r="BP48" s="2086"/>
      <c r="BQ48" s="2087"/>
      <c r="BR48" s="2088"/>
      <c r="BS48" s="2089"/>
      <c r="BT48" s="2090"/>
      <c r="BU48" s="2091"/>
      <c r="BV48" s="2092"/>
      <c r="BW48" s="2093"/>
      <c r="BX48" s="2094"/>
      <c r="BY48" s="2095"/>
      <c r="BZ48" s="2096"/>
      <c r="CA48" s="2097"/>
      <c r="CB48" s="2098"/>
      <c r="CC48" s="2099"/>
      <c r="CD48" s="2100"/>
      <c r="CE48" s="2101"/>
      <c r="CF48" s="2102"/>
      <c r="CG48" s="2103"/>
      <c r="CH48" s="2104"/>
      <c r="CI48" s="2105"/>
      <c r="CJ48" s="2106"/>
      <c r="CK48" s="2107"/>
      <c r="CL48" s="2108"/>
      <c r="CM48" s="2109"/>
      <c r="CN48" s="2110"/>
      <c r="CO48" s="2111"/>
      <c r="CP48" s="2112"/>
      <c r="CQ48" s="2113"/>
      <c r="CR48" s="2114"/>
      <c r="CS48" s="2115"/>
      <c r="CT48" s="2116"/>
      <c r="CU48" s="291"/>
      <c r="CV48" s="1182" t="s">
        <v>660</v>
      </c>
      <c r="CX48" s="424"/>
      <c r="CY48" s="424" t="str">
        <f t="shared" si="1"/>
        <v>Добавить значение признака дифференциации</v>
      </c>
      <c r="CZ48" s="424"/>
      <c r="DA48" s="424"/>
    </row>
    <row r="49" spans="1:105" ht="21" customHeight="1">
      <c r="A49" s="1284" t="s">
        <v>322</v>
      </c>
      <c r="B49" s="1284" t="s">
        <v>323</v>
      </c>
      <c r="C49" s="1284" t="s">
        <v>324</v>
      </c>
      <c r="D49" s="1284" t="s">
        <v>668</v>
      </c>
      <c r="E49" s="7690"/>
      <c r="F49" s="7690"/>
      <c r="G49" s="7690"/>
      <c r="H49" s="7690"/>
      <c r="I49" s="7687"/>
      <c r="J49" s="1284"/>
      <c r="K49" s="1284"/>
      <c r="L49" s="1285"/>
      <c r="P49" s="7688"/>
      <c r="Q49" s="1275"/>
      <c r="R49" s="277"/>
      <c r="S49" s="1203"/>
      <c r="T49" s="288" t="s">
        <v>588</v>
      </c>
      <c r="U49" s="291"/>
      <c r="V49" s="291"/>
      <c r="W49" s="291"/>
      <c r="X49" s="291"/>
      <c r="Y49" s="291"/>
      <c r="Z49" s="291"/>
      <c r="AA49" s="291"/>
      <c r="AB49" s="290"/>
      <c r="AC49" s="291"/>
      <c r="AD49" s="291"/>
      <c r="AE49" s="291"/>
      <c r="AF49" s="291"/>
      <c r="AG49" s="291"/>
      <c r="AH49" s="291"/>
      <c r="AI49" s="290"/>
      <c r="AJ49" s="2117"/>
      <c r="AK49" s="2118"/>
      <c r="AL49" s="2119"/>
      <c r="AM49" s="2120"/>
      <c r="AN49" s="2121"/>
      <c r="AO49" s="2122"/>
      <c r="AP49" s="2123"/>
      <c r="AQ49" s="2124"/>
      <c r="AR49" s="2125"/>
      <c r="AS49" s="2126"/>
      <c r="AT49" s="2127"/>
      <c r="AU49" s="2128"/>
      <c r="AV49" s="2129"/>
      <c r="AW49" s="2130"/>
      <c r="AX49" s="2131"/>
      <c r="AY49" s="2132"/>
      <c r="AZ49" s="2133"/>
      <c r="BA49" s="2134"/>
      <c r="BB49" s="2135"/>
      <c r="BC49" s="2136"/>
      <c r="BD49" s="2137"/>
      <c r="BE49" s="2138"/>
      <c r="BF49" s="2139"/>
      <c r="BG49" s="2140"/>
      <c r="BH49" s="2141"/>
      <c r="BI49" s="2142"/>
      <c r="BJ49" s="2143"/>
      <c r="BK49" s="2144"/>
      <c r="BL49" s="2145"/>
      <c r="BM49" s="2146"/>
      <c r="BN49" s="2147"/>
      <c r="BO49" s="2148"/>
      <c r="BP49" s="2149"/>
      <c r="BQ49" s="2150"/>
      <c r="BR49" s="2151"/>
      <c r="BS49" s="2152"/>
      <c r="BT49" s="2153"/>
      <c r="BU49" s="2154"/>
      <c r="BV49" s="2155"/>
      <c r="BW49" s="2156"/>
      <c r="BX49" s="2157"/>
      <c r="BY49" s="2158"/>
      <c r="BZ49" s="2159"/>
      <c r="CA49" s="2160"/>
      <c r="CB49" s="2161"/>
      <c r="CC49" s="2162"/>
      <c r="CD49" s="2163"/>
      <c r="CE49" s="2164"/>
      <c r="CF49" s="2165"/>
      <c r="CG49" s="2166"/>
      <c r="CH49" s="2167"/>
      <c r="CI49" s="2168"/>
      <c r="CJ49" s="2169"/>
      <c r="CK49" s="2170"/>
      <c r="CL49" s="2171"/>
      <c r="CM49" s="2172"/>
      <c r="CN49" s="2173"/>
      <c r="CO49" s="2174"/>
      <c r="CP49" s="2175"/>
      <c r="CQ49" s="2176"/>
      <c r="CR49" s="2177"/>
      <c r="CS49" s="2178"/>
      <c r="CT49" s="2179"/>
      <c r="CU49" s="291"/>
      <c r="CV49" s="1360"/>
      <c r="CX49" s="424"/>
      <c r="CY49" s="424" t="str">
        <f t="shared" si="1"/>
        <v>Добавить группу потребителей</v>
      </c>
      <c r="CZ49" s="424"/>
      <c r="DA49" s="424"/>
    </row>
    <row r="50" spans="1:105" ht="21" customHeight="1">
      <c r="A50" s="1284" t="s">
        <v>322</v>
      </c>
      <c r="B50" s="1284" t="s">
        <v>323</v>
      </c>
      <c r="C50" s="1284" t="s">
        <v>324</v>
      </c>
      <c r="D50" s="1284" t="s">
        <v>668</v>
      </c>
      <c r="E50" s="7690"/>
      <c r="F50" s="7690"/>
      <c r="G50" s="7690"/>
      <c r="H50" s="7689"/>
      <c r="I50" s="1284"/>
      <c r="J50" s="1284"/>
      <c r="K50" s="1284"/>
      <c r="L50" s="1285"/>
      <c r="M50" s="1286"/>
      <c r="N50" s="1286"/>
      <c r="O50" s="460"/>
      <c r="P50" s="281"/>
      <c r="Q50" s="299"/>
      <c r="R50" s="276"/>
      <c r="S50" s="1203"/>
      <c r="T50" s="296" t="s">
        <v>661</v>
      </c>
      <c r="U50" s="291"/>
      <c r="V50" s="291"/>
      <c r="W50" s="291"/>
      <c r="X50" s="291"/>
      <c r="Y50" s="291"/>
      <c r="Z50" s="291"/>
      <c r="AA50" s="291"/>
      <c r="AB50" s="290"/>
      <c r="AC50" s="291"/>
      <c r="AD50" s="291"/>
      <c r="AE50" s="291"/>
      <c r="AF50" s="291"/>
      <c r="AG50" s="291"/>
      <c r="AH50" s="291"/>
      <c r="AI50" s="290"/>
      <c r="AJ50" s="2180"/>
      <c r="AK50" s="2181"/>
      <c r="AL50" s="2182"/>
      <c r="AM50" s="2183"/>
      <c r="AN50" s="2184"/>
      <c r="AO50" s="2185"/>
      <c r="AP50" s="2186"/>
      <c r="AQ50" s="2187"/>
      <c r="AR50" s="2188"/>
      <c r="AS50" s="2189"/>
      <c r="AT50" s="2190"/>
      <c r="AU50" s="2191"/>
      <c r="AV50" s="2192"/>
      <c r="AW50" s="2193"/>
      <c r="AX50" s="2194"/>
      <c r="AY50" s="2195"/>
      <c r="AZ50" s="2196"/>
      <c r="BA50" s="2197"/>
      <c r="BB50" s="2198"/>
      <c r="BC50" s="2199"/>
      <c r="BD50" s="2200"/>
      <c r="BE50" s="2201"/>
      <c r="BF50" s="2202"/>
      <c r="BG50" s="2203"/>
      <c r="BH50" s="2204"/>
      <c r="BI50" s="2205"/>
      <c r="BJ50" s="2206"/>
      <c r="BK50" s="2207"/>
      <c r="BL50" s="2208"/>
      <c r="BM50" s="2209"/>
      <c r="BN50" s="2210"/>
      <c r="BO50" s="2211"/>
      <c r="BP50" s="2212"/>
      <c r="BQ50" s="2213"/>
      <c r="BR50" s="2214"/>
      <c r="BS50" s="2215"/>
      <c r="BT50" s="2216"/>
      <c r="BU50" s="2217"/>
      <c r="BV50" s="2218"/>
      <c r="BW50" s="2219"/>
      <c r="BX50" s="2220"/>
      <c r="BY50" s="2221"/>
      <c r="BZ50" s="2222"/>
      <c r="CA50" s="2223"/>
      <c r="CB50" s="2224"/>
      <c r="CC50" s="2225"/>
      <c r="CD50" s="2226"/>
      <c r="CE50" s="2227"/>
      <c r="CF50" s="2228"/>
      <c r="CG50" s="2229"/>
      <c r="CH50" s="2230"/>
      <c r="CI50" s="2231"/>
      <c r="CJ50" s="2232"/>
      <c r="CK50" s="2233"/>
      <c r="CL50" s="2234"/>
      <c r="CM50" s="2235"/>
      <c r="CN50" s="2236"/>
      <c r="CO50" s="2237"/>
      <c r="CP50" s="2238"/>
      <c r="CQ50" s="2239"/>
      <c r="CR50" s="2240"/>
      <c r="CS50" s="2241"/>
      <c r="CT50" s="2242"/>
      <c r="CU50" s="291"/>
      <c r="CV50" s="217"/>
      <c r="CX50" s="424"/>
      <c r="CY50" s="424" t="str">
        <f t="shared" si="1"/>
        <v>Добавить наименование признака дифференциации</v>
      </c>
      <c r="CZ50" s="424"/>
      <c r="DA50" s="424"/>
    </row>
    <row r="51" spans="1:105" s="1562" customFormat="1" ht="0" hidden="1" customHeight="1">
      <c r="A51" s="1265" t="s">
        <v>322</v>
      </c>
      <c r="B51" s="1265" t="s">
        <v>323</v>
      </c>
      <c r="C51" s="1237"/>
      <c r="D51" s="1237"/>
      <c r="E51" s="7690"/>
      <c r="F51" s="7689"/>
      <c r="G51" s="1237"/>
      <c r="H51" s="1237"/>
      <c r="I51" s="1237"/>
      <c r="J51" s="1237"/>
      <c r="K51" s="1237"/>
      <c r="L51" s="1346"/>
      <c r="M51" s="1244"/>
      <c r="N51" s="1244"/>
      <c r="P51" s="1239"/>
      <c r="Q51" s="1240"/>
      <c r="R51" s="1239"/>
      <c r="S51" s="1245"/>
      <c r="T51" s="1248" t="s">
        <v>325</v>
      </c>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1247"/>
      <c r="AS51" s="1247"/>
      <c r="AT51" s="1247"/>
      <c r="AU51" s="1247"/>
      <c r="AV51" s="1247"/>
      <c r="AW51" s="1247"/>
      <c r="AX51" s="1247"/>
      <c r="AY51" s="1247"/>
      <c r="AZ51" s="1247"/>
      <c r="BA51" s="1247"/>
      <c r="BB51" s="1247"/>
      <c r="BC51" s="1247"/>
      <c r="BD51" s="1247"/>
      <c r="BE51" s="1247"/>
      <c r="BF51" s="1247"/>
      <c r="BG51" s="1247"/>
      <c r="BH51" s="1247"/>
      <c r="BI51" s="1247"/>
      <c r="BJ51" s="1247"/>
      <c r="BK51" s="1247"/>
      <c r="BL51" s="1247"/>
      <c r="BM51" s="1247"/>
      <c r="BN51" s="1247"/>
      <c r="BO51" s="1247"/>
      <c r="BP51" s="1247"/>
      <c r="BQ51" s="1247"/>
      <c r="BR51" s="1247"/>
      <c r="BS51" s="1247"/>
      <c r="BT51" s="1247"/>
      <c r="BU51" s="1247"/>
      <c r="BV51" s="1247"/>
      <c r="BW51" s="1247"/>
      <c r="BX51" s="1247"/>
      <c r="BY51" s="1247"/>
      <c r="BZ51" s="1247"/>
      <c r="CA51" s="1247"/>
      <c r="CB51" s="1247"/>
      <c r="CC51" s="1247"/>
      <c r="CD51" s="1247"/>
      <c r="CE51" s="1247"/>
      <c r="CF51" s="1247"/>
      <c r="CG51" s="1247"/>
      <c r="CH51" s="1247"/>
      <c r="CI51" s="1247"/>
      <c r="CJ51" s="1247"/>
      <c r="CK51" s="1247"/>
      <c r="CL51" s="1247"/>
      <c r="CM51" s="1247"/>
      <c r="CN51" s="1247"/>
      <c r="CO51" s="1247"/>
      <c r="CP51" s="1247"/>
      <c r="CQ51" s="1247"/>
      <c r="CR51" s="1247"/>
      <c r="CS51" s="1247"/>
      <c r="CT51" s="1247"/>
      <c r="CU51" s="1247"/>
      <c r="CV51" s="1247"/>
      <c r="CX51" s="703"/>
      <c r="CY51" s="703" t="str">
        <f t="shared" si="1"/>
        <v>Добавить централизованную систему для дифференциации</v>
      </c>
      <c r="CZ51" s="703"/>
      <c r="DA51" s="703"/>
    </row>
    <row r="52" spans="1:105" s="1562" customFormat="1" ht="0" hidden="1" customHeight="1">
      <c r="A52" s="1265" t="s">
        <v>322</v>
      </c>
      <c r="B52" s="1265"/>
      <c r="C52" s="1265"/>
      <c r="D52" s="1265"/>
      <c r="E52" s="7689"/>
      <c r="F52" s="1265"/>
      <c r="G52" s="1265"/>
      <c r="H52" s="1265"/>
      <c r="I52" s="1265"/>
      <c r="J52" s="1265"/>
      <c r="K52" s="1265"/>
      <c r="L52" s="1268"/>
      <c r="M52" s="1244"/>
      <c r="N52" s="1244"/>
      <c r="O52" s="442"/>
      <c r="P52" s="308"/>
      <c r="Q52" s="1266"/>
      <c r="R52" s="308"/>
      <c r="S52" s="1245"/>
      <c r="T52" s="1248" t="s">
        <v>326</v>
      </c>
      <c r="U52" s="1247"/>
      <c r="V52" s="1247"/>
      <c r="W52" s="1247"/>
      <c r="X52" s="1247"/>
      <c r="Y52" s="1247"/>
      <c r="Z52" s="1247"/>
      <c r="AA52" s="1247"/>
      <c r="AB52" s="1247"/>
      <c r="AC52" s="1247"/>
      <c r="AD52" s="1247"/>
      <c r="AE52" s="1247"/>
      <c r="AF52" s="1247"/>
      <c r="AG52" s="1247"/>
      <c r="AH52" s="1247"/>
      <c r="AI52" s="1247"/>
      <c r="AJ52" s="1247"/>
      <c r="AK52" s="1247"/>
      <c r="AL52" s="1247"/>
      <c r="AM52" s="1247"/>
      <c r="AN52" s="1247"/>
      <c r="AO52" s="1247"/>
      <c r="AP52" s="1247"/>
      <c r="AQ52" s="1247"/>
      <c r="AR52" s="1247"/>
      <c r="AS52" s="1247"/>
      <c r="AT52" s="1247"/>
      <c r="AU52" s="1247"/>
      <c r="AV52" s="1247"/>
      <c r="AW52" s="1247"/>
      <c r="AX52" s="1247"/>
      <c r="AY52" s="1247"/>
      <c r="AZ52" s="1247"/>
      <c r="BA52" s="1247"/>
      <c r="BB52" s="1247"/>
      <c r="BC52" s="1247"/>
      <c r="BD52" s="1247"/>
      <c r="BE52" s="1247"/>
      <c r="BF52" s="1247"/>
      <c r="BG52" s="1247"/>
      <c r="BH52" s="1247"/>
      <c r="BI52" s="1247"/>
      <c r="BJ52" s="1247"/>
      <c r="BK52" s="1247"/>
      <c r="BL52" s="1247"/>
      <c r="BM52" s="1247"/>
      <c r="BN52" s="1247"/>
      <c r="BO52" s="1247"/>
      <c r="BP52" s="1247"/>
      <c r="BQ52" s="1247"/>
      <c r="BR52" s="1247"/>
      <c r="BS52" s="1247"/>
      <c r="BT52" s="1247"/>
      <c r="BU52" s="1247"/>
      <c r="BV52" s="1247"/>
      <c r="BW52" s="1247"/>
      <c r="BX52" s="1247"/>
      <c r="BY52" s="1247"/>
      <c r="BZ52" s="1247"/>
      <c r="CA52" s="1247"/>
      <c r="CB52" s="1247"/>
      <c r="CC52" s="1247"/>
      <c r="CD52" s="1247"/>
      <c r="CE52" s="1247"/>
      <c r="CF52" s="1247"/>
      <c r="CG52" s="1247"/>
      <c r="CH52" s="1247"/>
      <c r="CI52" s="1247"/>
      <c r="CJ52" s="1247"/>
      <c r="CK52" s="1247"/>
      <c r="CL52" s="1247"/>
      <c r="CM52" s="1247"/>
      <c r="CN52" s="1247"/>
      <c r="CO52" s="1247"/>
      <c r="CP52" s="1247"/>
      <c r="CQ52" s="1247"/>
      <c r="CR52" s="1247"/>
      <c r="CS52" s="1247"/>
      <c r="CT52" s="1247"/>
      <c r="CU52" s="1247"/>
      <c r="CV52" s="1247"/>
      <c r="CX52" s="424"/>
      <c r="CY52" s="424" t="str">
        <f t="shared" si="1"/>
        <v>Добавить территорию для дифференциации</v>
      </c>
      <c r="CZ52" s="424"/>
      <c r="DA52" s="424"/>
    </row>
    <row r="53" spans="1:105" s="1827" customFormat="1" ht="23.25" customHeight="1">
      <c r="A53" s="1284" t="s">
        <v>328</v>
      </c>
      <c r="B53" s="1284"/>
      <c r="C53" s="1284"/>
      <c r="D53" s="1284"/>
      <c r="E53" s="7689" t="s">
        <v>100</v>
      </c>
      <c r="F53" s="1284"/>
      <c r="G53" s="1284"/>
      <c r="H53" s="1284"/>
      <c r="I53" s="1284"/>
      <c r="J53" s="1284"/>
      <c r="K53" s="1284"/>
      <c r="L53" s="1290"/>
      <c r="M53" s="1286"/>
      <c r="N53" s="1286"/>
      <c r="O53" s="1286"/>
      <c r="P53" s="1817"/>
      <c r="Q53" s="1742"/>
      <c r="R53" s="276"/>
      <c r="S53" s="1813" t="str">
        <f>INDEX(PT_DIFFERENTIATION_NUM_NTAR,MATCH(A53,PT_DIFFERENTIATION_NTAR_ID,0))</f>
        <v>2</v>
      </c>
      <c r="T53" s="1440" t="s">
        <v>237</v>
      </c>
      <c r="U53" s="214"/>
      <c r="V53" s="7675"/>
      <c r="W53" s="7676"/>
      <c r="X53" s="7676"/>
      <c r="Y53" s="7676"/>
      <c r="Z53" s="7676"/>
      <c r="AA53" s="7676"/>
      <c r="AB53" s="7677"/>
      <c r="AC53" s="7675" t="str">
        <f>INDEX(PT_DIFFERENTIATION_NTAR,MATCH(A53,PT_DIFFERENTIATION_NTAR_ID,0))</f>
        <v>Тарифы на питьевую воду для потребителей Ставропольского края</v>
      </c>
      <c r="AD53" s="7676"/>
      <c r="AE53" s="7676"/>
      <c r="AF53" s="7676"/>
      <c r="AG53" s="7676"/>
      <c r="AH53" s="7676"/>
      <c r="AI53" s="7676"/>
      <c r="AJ53" s="7675"/>
      <c r="AK53" s="7676"/>
      <c r="AL53" s="7676"/>
      <c r="AM53" s="7676"/>
      <c r="AN53" s="7676"/>
      <c r="AO53" s="7676"/>
      <c r="AP53" s="7677"/>
      <c r="AQ53" s="7675"/>
      <c r="AR53" s="7676"/>
      <c r="AS53" s="7676"/>
      <c r="AT53" s="7676"/>
      <c r="AU53" s="7676"/>
      <c r="AV53" s="7676"/>
      <c r="AW53" s="7677"/>
      <c r="AX53" s="7675"/>
      <c r="AY53" s="7676"/>
      <c r="AZ53" s="7676"/>
      <c r="BA53" s="7676"/>
      <c r="BB53" s="7676"/>
      <c r="BC53" s="7676"/>
      <c r="BD53" s="7677"/>
      <c r="BE53" s="7675"/>
      <c r="BF53" s="7676"/>
      <c r="BG53" s="7676"/>
      <c r="BH53" s="7676"/>
      <c r="BI53" s="7676"/>
      <c r="BJ53" s="7676"/>
      <c r="BK53" s="7677"/>
      <c r="BL53" s="7675"/>
      <c r="BM53" s="7676"/>
      <c r="BN53" s="7676"/>
      <c r="BO53" s="7676"/>
      <c r="BP53" s="7676"/>
      <c r="BQ53" s="7676"/>
      <c r="BR53" s="7677"/>
      <c r="BS53" s="7675"/>
      <c r="BT53" s="7676"/>
      <c r="BU53" s="7676"/>
      <c r="BV53" s="7676"/>
      <c r="BW53" s="7676"/>
      <c r="BX53" s="7676"/>
      <c r="BY53" s="7677"/>
      <c r="BZ53" s="7675"/>
      <c r="CA53" s="7676"/>
      <c r="CB53" s="7676"/>
      <c r="CC53" s="7676"/>
      <c r="CD53" s="7676"/>
      <c r="CE53" s="7676"/>
      <c r="CF53" s="7677"/>
      <c r="CG53" s="7675"/>
      <c r="CH53" s="7676"/>
      <c r="CI53" s="7676"/>
      <c r="CJ53" s="7676"/>
      <c r="CK53" s="7676"/>
      <c r="CL53" s="7676"/>
      <c r="CM53" s="7677"/>
      <c r="CN53" s="7675"/>
      <c r="CO53" s="7676"/>
      <c r="CP53" s="7676"/>
      <c r="CQ53" s="7676"/>
      <c r="CR53" s="7676"/>
      <c r="CS53" s="7676"/>
      <c r="CT53" s="7677"/>
      <c r="CU53" s="7677"/>
      <c r="CV5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53" s="1562"/>
      <c r="CX53" s="1544"/>
      <c r="CY53" s="1544" t="str">
        <f t="shared" si="1"/>
        <v>Наименование тарифа</v>
      </c>
      <c r="CZ53" s="1544"/>
      <c r="DA53" s="1544"/>
    </row>
    <row r="54" spans="1:105" s="1827" customFormat="1" ht="23.25" customHeight="1">
      <c r="A54" s="1284"/>
      <c r="B54" s="1284" t="s">
        <v>329</v>
      </c>
      <c r="C54" s="1284"/>
      <c r="D54" s="1284"/>
      <c r="E54" s="7690">
        <v>1</v>
      </c>
      <c r="F54" s="7689">
        <v>1</v>
      </c>
      <c r="G54" s="1284"/>
      <c r="H54" s="1284"/>
      <c r="I54" s="1284"/>
      <c r="J54" s="1284"/>
      <c r="K54" s="1284"/>
      <c r="L54" s="1290"/>
      <c r="M54" s="1286"/>
      <c r="N54" s="1286"/>
      <c r="O54" s="1286"/>
      <c r="P54" s="1807"/>
      <c r="Q54" s="273"/>
      <c r="R54" s="274"/>
      <c r="S54" s="1813" t="str">
        <f>INDEX(PT_DIFFERENTIATION_NUM_TER,MATCH(B54,PT_DIFFERENTIATION_TER_ID,0))</f>
        <v>2.1</v>
      </c>
      <c r="T54" s="1437" t="s">
        <v>573</v>
      </c>
      <c r="U54" s="214"/>
      <c r="V54" s="7675"/>
      <c r="W54" s="7676"/>
      <c r="X54" s="7676"/>
      <c r="Y54" s="7676"/>
      <c r="Z54" s="7676"/>
      <c r="AA54" s="7676"/>
      <c r="AB54" s="7677"/>
      <c r="AC54" s="7675" t="str">
        <f>INDEX(PT_DIFFERENTIATION_TER,MATCH(B54,PT_DIFFERENTIATION_TER_ID,0))</f>
        <v>Территория 1</v>
      </c>
      <c r="AD54" s="7676"/>
      <c r="AE54" s="7676"/>
      <c r="AF54" s="7676"/>
      <c r="AG54" s="7676"/>
      <c r="AH54" s="7676"/>
      <c r="AI54" s="7676"/>
      <c r="AJ54" s="7675"/>
      <c r="AK54" s="7676"/>
      <c r="AL54" s="7676"/>
      <c r="AM54" s="7676"/>
      <c r="AN54" s="7676"/>
      <c r="AO54" s="7676"/>
      <c r="AP54" s="7677"/>
      <c r="AQ54" s="7675"/>
      <c r="AR54" s="7676"/>
      <c r="AS54" s="7676"/>
      <c r="AT54" s="7676"/>
      <c r="AU54" s="7676"/>
      <c r="AV54" s="7676"/>
      <c r="AW54" s="7677"/>
      <c r="AX54" s="7675"/>
      <c r="AY54" s="7676"/>
      <c r="AZ54" s="7676"/>
      <c r="BA54" s="7676"/>
      <c r="BB54" s="7676"/>
      <c r="BC54" s="7676"/>
      <c r="BD54" s="7677"/>
      <c r="BE54" s="7675"/>
      <c r="BF54" s="7676"/>
      <c r="BG54" s="7676"/>
      <c r="BH54" s="7676"/>
      <c r="BI54" s="7676"/>
      <c r="BJ54" s="7676"/>
      <c r="BK54" s="7677"/>
      <c r="BL54" s="7675"/>
      <c r="BM54" s="7676"/>
      <c r="BN54" s="7676"/>
      <c r="BO54" s="7676"/>
      <c r="BP54" s="7676"/>
      <c r="BQ54" s="7676"/>
      <c r="BR54" s="7677"/>
      <c r="BS54" s="7675"/>
      <c r="BT54" s="7676"/>
      <c r="BU54" s="7676"/>
      <c r="BV54" s="7676"/>
      <c r="BW54" s="7676"/>
      <c r="BX54" s="7676"/>
      <c r="BY54" s="7677"/>
      <c r="BZ54" s="7675"/>
      <c r="CA54" s="7676"/>
      <c r="CB54" s="7676"/>
      <c r="CC54" s="7676"/>
      <c r="CD54" s="7676"/>
      <c r="CE54" s="7676"/>
      <c r="CF54" s="7677"/>
      <c r="CG54" s="7675"/>
      <c r="CH54" s="7676"/>
      <c r="CI54" s="7676"/>
      <c r="CJ54" s="7676"/>
      <c r="CK54" s="7676"/>
      <c r="CL54" s="7676"/>
      <c r="CM54" s="7677"/>
      <c r="CN54" s="7675"/>
      <c r="CO54" s="7676"/>
      <c r="CP54" s="7676"/>
      <c r="CQ54" s="7676"/>
      <c r="CR54" s="7676"/>
      <c r="CS54" s="7676"/>
      <c r="CT54" s="7677"/>
      <c r="CU54" s="7677"/>
      <c r="CV54" s="1182" t="s">
        <v>574</v>
      </c>
      <c r="CW54" s="1562"/>
      <c r="CX54" s="1544"/>
      <c r="CY54" s="1544" t="str">
        <f t="shared" si="1"/>
        <v>Территория действия тарифа</v>
      </c>
      <c r="CZ54" s="1544"/>
      <c r="DA54" s="1544"/>
    </row>
    <row r="55" spans="1:105" s="1827" customFormat="1" ht="23.25" customHeight="1">
      <c r="A55" s="1284"/>
      <c r="B55" s="1284"/>
      <c r="C55" s="1284" t="s">
        <v>330</v>
      </c>
      <c r="D55" s="1284"/>
      <c r="E55" s="7690">
        <v>1</v>
      </c>
      <c r="F55" s="7690"/>
      <c r="G55" s="7689">
        <v>1</v>
      </c>
      <c r="H55" s="1284"/>
      <c r="I55" s="1284"/>
      <c r="J55" s="1284"/>
      <c r="K55" s="1284"/>
      <c r="L55" s="1290"/>
      <c r="M55" s="1286"/>
      <c r="N55" s="1286"/>
      <c r="O55" s="1286"/>
      <c r="P55" s="275"/>
      <c r="Q55" s="273"/>
      <c r="R55" s="274"/>
      <c r="S55" s="1813" t="str">
        <f>INDEX(PT_DIFFERENTIATION_NUM_CS,MATCH(C55,PT_DIFFERENTIATION_CS_ID,0))</f>
        <v>2.1.1</v>
      </c>
      <c r="T55" s="225" t="s">
        <v>654</v>
      </c>
      <c r="U55" s="214"/>
      <c r="V55" s="7675"/>
      <c r="W55" s="7676"/>
      <c r="X55" s="7676"/>
      <c r="Y55" s="7676"/>
      <c r="Z55" s="7676"/>
      <c r="AA55" s="7676"/>
      <c r="AB55" s="7677"/>
      <c r="AC55" s="7675" t="str">
        <f>INDEX(PT_DIFFERENTIATION_CS,MATCH(C55,PT_DIFFERENTIATION_CS_ID,0))</f>
        <v>без дифференциации</v>
      </c>
      <c r="AD55" s="7676"/>
      <c r="AE55" s="7676"/>
      <c r="AF55" s="7676"/>
      <c r="AG55" s="7676"/>
      <c r="AH55" s="7676"/>
      <c r="AI55" s="7676"/>
      <c r="AJ55" s="7675"/>
      <c r="AK55" s="7676"/>
      <c r="AL55" s="7676"/>
      <c r="AM55" s="7676"/>
      <c r="AN55" s="7676"/>
      <c r="AO55" s="7676"/>
      <c r="AP55" s="7677"/>
      <c r="AQ55" s="7675"/>
      <c r="AR55" s="7676"/>
      <c r="AS55" s="7676"/>
      <c r="AT55" s="7676"/>
      <c r="AU55" s="7676"/>
      <c r="AV55" s="7676"/>
      <c r="AW55" s="7677"/>
      <c r="AX55" s="7675"/>
      <c r="AY55" s="7676"/>
      <c r="AZ55" s="7676"/>
      <c r="BA55" s="7676"/>
      <c r="BB55" s="7676"/>
      <c r="BC55" s="7676"/>
      <c r="BD55" s="7677"/>
      <c r="BE55" s="7675"/>
      <c r="BF55" s="7676"/>
      <c r="BG55" s="7676"/>
      <c r="BH55" s="7676"/>
      <c r="BI55" s="7676"/>
      <c r="BJ55" s="7676"/>
      <c r="BK55" s="7677"/>
      <c r="BL55" s="7675"/>
      <c r="BM55" s="7676"/>
      <c r="BN55" s="7676"/>
      <c r="BO55" s="7676"/>
      <c r="BP55" s="7676"/>
      <c r="BQ55" s="7676"/>
      <c r="BR55" s="7677"/>
      <c r="BS55" s="7675"/>
      <c r="BT55" s="7676"/>
      <c r="BU55" s="7676"/>
      <c r="BV55" s="7676"/>
      <c r="BW55" s="7676"/>
      <c r="BX55" s="7676"/>
      <c r="BY55" s="7677"/>
      <c r="BZ55" s="7675"/>
      <c r="CA55" s="7676"/>
      <c r="CB55" s="7676"/>
      <c r="CC55" s="7676"/>
      <c r="CD55" s="7676"/>
      <c r="CE55" s="7676"/>
      <c r="CF55" s="7677"/>
      <c r="CG55" s="7675"/>
      <c r="CH55" s="7676"/>
      <c r="CI55" s="7676"/>
      <c r="CJ55" s="7676"/>
      <c r="CK55" s="7676"/>
      <c r="CL55" s="7676"/>
      <c r="CM55" s="7677"/>
      <c r="CN55" s="7675"/>
      <c r="CO55" s="7676"/>
      <c r="CP55" s="7676"/>
      <c r="CQ55" s="7676"/>
      <c r="CR55" s="7676"/>
      <c r="CS55" s="7676"/>
      <c r="CT55" s="7677"/>
      <c r="CU55" s="7677"/>
      <c r="CV55" s="1182" t="s">
        <v>655</v>
      </c>
      <c r="CW55" s="1562"/>
      <c r="CX55" s="1544"/>
      <c r="CY55" s="1544" t="str">
        <f t="shared" si="1"/>
        <v>Наименование централизованной системы холодного водоснабжения</v>
      </c>
      <c r="CZ55" s="1544"/>
      <c r="DA55" s="1544"/>
    </row>
    <row r="56" spans="1:105" s="1827" customFormat="1" ht="23.25" customHeight="1">
      <c r="A56" s="1284"/>
      <c r="B56" s="1284"/>
      <c r="C56" s="1284"/>
      <c r="D56" s="1284"/>
      <c r="E56" s="7690">
        <v>1</v>
      </c>
      <c r="F56" s="7690"/>
      <c r="G56" s="7690"/>
      <c r="H56" s="7690"/>
      <c r="I56" s="7687" t="str">
        <f>S55&amp;".1"</f>
        <v>2.1.1.1</v>
      </c>
      <c r="J56" s="1284"/>
      <c r="K56" s="1284"/>
      <c r="L56" s="1290"/>
      <c r="M56" s="1696"/>
      <c r="N56" s="1696"/>
      <c r="O56" s="1696"/>
      <c r="P56" s="7688">
        <v>1</v>
      </c>
      <c r="Q56" s="1816"/>
      <c r="R56" s="277"/>
      <c r="S56" s="1813" t="str">
        <f>$I56</f>
        <v>2.1.1.1</v>
      </c>
      <c r="T56" s="200" t="s">
        <v>656</v>
      </c>
      <c r="U56" s="214"/>
      <c r="V56" s="7748"/>
      <c r="W56" s="7749"/>
      <c r="X56" s="7749"/>
      <c r="Y56" s="7749"/>
      <c r="Z56" s="7749"/>
      <c r="AA56" s="7749"/>
      <c r="AB56" s="7750"/>
      <c r="AC56" s="7751"/>
      <c r="AD56" s="7752"/>
      <c r="AE56" s="7752"/>
      <c r="AF56" s="7752"/>
      <c r="AG56" s="7752"/>
      <c r="AH56" s="7752"/>
      <c r="AI56" s="7752"/>
      <c r="AJ56" s="7748"/>
      <c r="AK56" s="7749"/>
      <c r="AL56" s="7749"/>
      <c r="AM56" s="7749"/>
      <c r="AN56" s="7749"/>
      <c r="AO56" s="7749"/>
      <c r="AP56" s="7750"/>
      <c r="AQ56" s="7748"/>
      <c r="AR56" s="7749"/>
      <c r="AS56" s="7749"/>
      <c r="AT56" s="7749"/>
      <c r="AU56" s="7749"/>
      <c r="AV56" s="7749"/>
      <c r="AW56" s="7750"/>
      <c r="AX56" s="7748"/>
      <c r="AY56" s="7749"/>
      <c r="AZ56" s="7749"/>
      <c r="BA56" s="7749"/>
      <c r="BB56" s="7749"/>
      <c r="BC56" s="7749"/>
      <c r="BD56" s="7750"/>
      <c r="BE56" s="7748"/>
      <c r="BF56" s="7749"/>
      <c r="BG56" s="7749"/>
      <c r="BH56" s="7749"/>
      <c r="BI56" s="7749"/>
      <c r="BJ56" s="7749"/>
      <c r="BK56" s="7750"/>
      <c r="BL56" s="7748"/>
      <c r="BM56" s="7749"/>
      <c r="BN56" s="7749"/>
      <c r="BO56" s="7749"/>
      <c r="BP56" s="7749"/>
      <c r="BQ56" s="7749"/>
      <c r="BR56" s="7750"/>
      <c r="BS56" s="7748"/>
      <c r="BT56" s="7749"/>
      <c r="BU56" s="7749"/>
      <c r="BV56" s="7749"/>
      <c r="BW56" s="7749"/>
      <c r="BX56" s="7749"/>
      <c r="BY56" s="7750"/>
      <c r="BZ56" s="7748"/>
      <c r="CA56" s="7749"/>
      <c r="CB56" s="7749"/>
      <c r="CC56" s="7749"/>
      <c r="CD56" s="7749"/>
      <c r="CE56" s="7749"/>
      <c r="CF56" s="7750"/>
      <c r="CG56" s="7748"/>
      <c r="CH56" s="7749"/>
      <c r="CI56" s="7749"/>
      <c r="CJ56" s="7749"/>
      <c r="CK56" s="7749"/>
      <c r="CL56" s="7749"/>
      <c r="CM56" s="7750"/>
      <c r="CN56" s="7748"/>
      <c r="CO56" s="7749"/>
      <c r="CP56" s="7749"/>
      <c r="CQ56" s="7749"/>
      <c r="CR56" s="7749"/>
      <c r="CS56" s="7749"/>
      <c r="CT56" s="7750"/>
      <c r="CU56" s="7753"/>
      <c r="CV56" s="1182" t="s">
        <v>657</v>
      </c>
      <c r="CW56" s="1562"/>
      <c r="CX56" s="1544"/>
      <c r="CY56" s="1544" t="str">
        <f t="shared" si="1"/>
        <v>Наименование признака дифференциации</v>
      </c>
      <c r="CZ56" s="1544"/>
      <c r="DA56" s="1544"/>
    </row>
    <row r="57" spans="1:105" s="1827" customFormat="1" ht="23.25" customHeight="1">
      <c r="A57" s="1284"/>
      <c r="B57" s="1284"/>
      <c r="C57" s="1284"/>
      <c r="D57" s="1284"/>
      <c r="E57" s="7690">
        <v>1</v>
      </c>
      <c r="F57" s="7690"/>
      <c r="G57" s="7690"/>
      <c r="H57" s="7690"/>
      <c r="I57" s="7710"/>
      <c r="J57" s="7687" t="str">
        <f>I56&amp;".1"</f>
        <v>2.1.1.1.1</v>
      </c>
      <c r="K57" s="1284"/>
      <c r="L57" s="1290" t="s">
        <v>582</v>
      </c>
      <c r="M57" s="1696"/>
      <c r="N57" s="1696"/>
      <c r="O57" s="1696"/>
      <c r="P57" s="7688"/>
      <c r="Q57" s="7688">
        <v>1</v>
      </c>
      <c r="R57" s="278"/>
      <c r="S57" s="1813" t="str">
        <f>$J57</f>
        <v>2.1.1.1.1</v>
      </c>
      <c r="T57" s="201" t="s">
        <v>583</v>
      </c>
      <c r="U57" s="214"/>
      <c r="V57" s="7678"/>
      <c r="W57" s="7679"/>
      <c r="X57" s="7679"/>
      <c r="Y57" s="7679"/>
      <c r="Z57" s="7679"/>
      <c r="AA57" s="7679"/>
      <c r="AB57" s="7680"/>
      <c r="AC57" s="7678" t="s">
        <v>671</v>
      </c>
      <c r="AD57" s="7679"/>
      <c r="AE57" s="7679"/>
      <c r="AF57" s="7679"/>
      <c r="AG57" s="7679"/>
      <c r="AH57" s="7679"/>
      <c r="AI57" s="7679"/>
      <c r="AJ57" s="7678"/>
      <c r="AK57" s="7679"/>
      <c r="AL57" s="7679"/>
      <c r="AM57" s="7679"/>
      <c r="AN57" s="7679"/>
      <c r="AO57" s="7679"/>
      <c r="AP57" s="7680"/>
      <c r="AQ57" s="7678"/>
      <c r="AR57" s="7679"/>
      <c r="AS57" s="7679"/>
      <c r="AT57" s="7679"/>
      <c r="AU57" s="7679"/>
      <c r="AV57" s="7679"/>
      <c r="AW57" s="7680"/>
      <c r="AX57" s="7678"/>
      <c r="AY57" s="7679"/>
      <c r="AZ57" s="7679"/>
      <c r="BA57" s="7679"/>
      <c r="BB57" s="7679"/>
      <c r="BC57" s="7679"/>
      <c r="BD57" s="7680"/>
      <c r="BE57" s="7678"/>
      <c r="BF57" s="7679"/>
      <c r="BG57" s="7679"/>
      <c r="BH57" s="7679"/>
      <c r="BI57" s="7679"/>
      <c r="BJ57" s="7679"/>
      <c r="BK57" s="7680"/>
      <c r="BL57" s="7678"/>
      <c r="BM57" s="7679"/>
      <c r="BN57" s="7679"/>
      <c r="BO57" s="7679"/>
      <c r="BP57" s="7679"/>
      <c r="BQ57" s="7679"/>
      <c r="BR57" s="7680"/>
      <c r="BS57" s="7678"/>
      <c r="BT57" s="7679"/>
      <c r="BU57" s="7679"/>
      <c r="BV57" s="7679"/>
      <c r="BW57" s="7679"/>
      <c r="BX57" s="7679"/>
      <c r="BY57" s="7680"/>
      <c r="BZ57" s="7678"/>
      <c r="CA57" s="7679"/>
      <c r="CB57" s="7679"/>
      <c r="CC57" s="7679"/>
      <c r="CD57" s="7679"/>
      <c r="CE57" s="7679"/>
      <c r="CF57" s="7680"/>
      <c r="CG57" s="7678"/>
      <c r="CH57" s="7679"/>
      <c r="CI57" s="7679"/>
      <c r="CJ57" s="7679"/>
      <c r="CK57" s="7679"/>
      <c r="CL57" s="7679"/>
      <c r="CM57" s="7680"/>
      <c r="CN57" s="7678"/>
      <c r="CO57" s="7679"/>
      <c r="CP57" s="7679"/>
      <c r="CQ57" s="7679"/>
      <c r="CR57" s="7679"/>
      <c r="CS57" s="7679"/>
      <c r="CT57" s="7680"/>
      <c r="CU57" s="7680"/>
      <c r="CV57" s="1231" t="s">
        <v>658</v>
      </c>
      <c r="CW57" s="1562"/>
      <c r="CX57" s="1544"/>
      <c r="CY57" s="1544" t="str">
        <f t="shared" si="1"/>
        <v>Группа потребителей</v>
      </c>
      <c r="CZ57" s="1544"/>
      <c r="DA57" s="1544"/>
    </row>
    <row r="58" spans="1:105" s="1827" customFormat="1" ht="23.25" customHeight="1">
      <c r="A58" s="1284"/>
      <c r="B58" s="1284"/>
      <c r="C58" s="1284"/>
      <c r="D58" s="1284"/>
      <c r="E58" s="7690">
        <v>1</v>
      </c>
      <c r="F58" s="7690"/>
      <c r="G58" s="7690"/>
      <c r="H58" s="7690"/>
      <c r="I58" s="7710"/>
      <c r="J58" s="7710"/>
      <c r="K58" s="7687" t="str">
        <f>J57&amp;".1"</f>
        <v>2.1.1.1.1.1</v>
      </c>
      <c r="L58" s="1290"/>
      <c r="M58" s="1696"/>
      <c r="N58" s="1696"/>
      <c r="O58" s="1696"/>
      <c r="P58" s="7688"/>
      <c r="Q58" s="7688"/>
      <c r="R58" s="278">
        <v>1</v>
      </c>
      <c r="S58" s="1813" t="str">
        <f>$K58</f>
        <v>2.1.1.1.1.1</v>
      </c>
      <c r="T58" s="1357" t="s">
        <v>672</v>
      </c>
      <c r="U58" s="214"/>
      <c r="V58" s="666"/>
      <c r="W58" s="666"/>
      <c r="X58" s="1181"/>
      <c r="Y58" s="7692"/>
      <c r="Z58" s="7540" t="s">
        <v>60</v>
      </c>
      <c r="AA58" s="7692"/>
      <c r="AB58" s="7540" t="s">
        <v>60</v>
      </c>
      <c r="AC58" s="666">
        <v>69.94</v>
      </c>
      <c r="AD58" s="666"/>
      <c r="AE58" s="1181"/>
      <c r="AF58" s="7692">
        <v>45292</v>
      </c>
      <c r="AG58" s="7540" t="s">
        <v>60</v>
      </c>
      <c r="AH58" s="7711">
        <v>45473</v>
      </c>
      <c r="AI58" s="7540" t="s">
        <v>60</v>
      </c>
      <c r="AJ58" s="666">
        <v>74.83</v>
      </c>
      <c r="AK58" s="666"/>
      <c r="AL58" s="1181"/>
      <c r="AM58" s="7692">
        <v>45474</v>
      </c>
      <c r="AN58" s="7540" t="s">
        <v>60</v>
      </c>
      <c r="AO58" s="7692">
        <v>45657</v>
      </c>
      <c r="AP58" s="7540" t="s">
        <v>60</v>
      </c>
      <c r="AQ58" s="666">
        <v>74.83</v>
      </c>
      <c r="AR58" s="666"/>
      <c r="AS58" s="1181"/>
      <c r="AT58" s="7692">
        <v>45658</v>
      </c>
      <c r="AU58" s="7540" t="s">
        <v>60</v>
      </c>
      <c r="AV58" s="7692">
        <v>45838</v>
      </c>
      <c r="AW58" s="7540" t="s">
        <v>60</v>
      </c>
      <c r="AX58" s="666">
        <v>79.099999999999994</v>
      </c>
      <c r="AY58" s="666"/>
      <c r="AZ58" s="1181"/>
      <c r="BA58" s="7692">
        <v>45839</v>
      </c>
      <c r="BB58" s="7540" t="s">
        <v>60</v>
      </c>
      <c r="BC58" s="7692">
        <v>46022</v>
      </c>
      <c r="BD58" s="7540" t="s">
        <v>60</v>
      </c>
      <c r="BE58" s="666">
        <v>79.099999999999994</v>
      </c>
      <c r="BF58" s="666"/>
      <c r="BG58" s="1181"/>
      <c r="BH58" s="7692">
        <v>46023</v>
      </c>
      <c r="BI58" s="7540" t="s">
        <v>60</v>
      </c>
      <c r="BJ58" s="7692">
        <v>46203</v>
      </c>
      <c r="BK58" s="7540" t="s">
        <v>60</v>
      </c>
      <c r="BL58" s="666">
        <v>82.26</v>
      </c>
      <c r="BM58" s="666"/>
      <c r="BN58" s="1181"/>
      <c r="BO58" s="7692">
        <v>46204</v>
      </c>
      <c r="BP58" s="7540" t="s">
        <v>60</v>
      </c>
      <c r="BQ58" s="7692">
        <v>46387</v>
      </c>
      <c r="BR58" s="7540" t="s">
        <v>60</v>
      </c>
      <c r="BS58" s="666">
        <v>82.26</v>
      </c>
      <c r="BT58" s="666"/>
      <c r="BU58" s="1181"/>
      <c r="BV58" s="7692">
        <v>46388</v>
      </c>
      <c r="BW58" s="7540" t="s">
        <v>60</v>
      </c>
      <c r="BX58" s="7692">
        <v>46568</v>
      </c>
      <c r="BY58" s="7540" t="s">
        <v>60</v>
      </c>
      <c r="BZ58" s="666">
        <v>85.55</v>
      </c>
      <c r="CA58" s="666"/>
      <c r="CB58" s="1181"/>
      <c r="CC58" s="7692">
        <v>46569</v>
      </c>
      <c r="CD58" s="7540" t="s">
        <v>60</v>
      </c>
      <c r="CE58" s="7692">
        <v>46752</v>
      </c>
      <c r="CF58" s="7540" t="s">
        <v>60</v>
      </c>
      <c r="CG58" s="666">
        <v>85.55</v>
      </c>
      <c r="CH58" s="666"/>
      <c r="CI58" s="1181"/>
      <c r="CJ58" s="7692">
        <v>46753</v>
      </c>
      <c r="CK58" s="7540" t="s">
        <v>60</v>
      </c>
      <c r="CL58" s="7692">
        <v>46934</v>
      </c>
      <c r="CM58" s="7540" t="s">
        <v>60</v>
      </c>
      <c r="CN58" s="666">
        <v>88.97</v>
      </c>
      <c r="CO58" s="666"/>
      <c r="CP58" s="1181"/>
      <c r="CQ58" s="7692">
        <v>46935</v>
      </c>
      <c r="CR58" s="7540" t="s">
        <v>60</v>
      </c>
      <c r="CS58" s="7692">
        <v>47118</v>
      </c>
      <c r="CT58" s="7540" t="s">
        <v>60</v>
      </c>
      <c r="CU58" s="1358"/>
      <c r="CV58"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8" s="1562" t="e">
        <f ca="1">STRCHECKDATE(V59:CU59)</f>
        <v>#NAME?</v>
      </c>
      <c r="CX58" s="1544"/>
      <c r="CY58" s="1544" t="str">
        <f t="shared" si="1"/>
        <v>Тариф для населения, руб. за 1 куб. метр с НДС</v>
      </c>
      <c r="CZ58" s="1544"/>
      <c r="DA58" s="1544"/>
    </row>
    <row r="59" spans="1:105" s="1827" customFormat="1" ht="14.25" customHeight="1">
      <c r="A59" s="1284"/>
      <c r="B59" s="1284"/>
      <c r="C59" s="1284"/>
      <c r="D59" s="1284"/>
      <c r="E59" s="7690">
        <v>1</v>
      </c>
      <c r="F59" s="7690"/>
      <c r="G59" s="7690"/>
      <c r="H59" s="7690"/>
      <c r="I59" s="7710"/>
      <c r="J59" s="7710"/>
      <c r="K59" s="7687"/>
      <c r="L59" s="1290"/>
      <c r="M59" s="1696"/>
      <c r="N59" s="1696"/>
      <c r="O59" s="1696"/>
      <c r="P59" s="7688"/>
      <c r="Q59" s="7688"/>
      <c r="R59" s="278"/>
      <c r="S59" s="1822"/>
      <c r="T59" s="214"/>
      <c r="U59" s="214"/>
      <c r="V59" s="246"/>
      <c r="W59" s="246"/>
      <c r="X59" s="250" t="str">
        <f>Y58&amp;"-"&amp;AA58</f>
        <v>-</v>
      </c>
      <c r="Y59" s="7693"/>
      <c r="Z59" s="7540"/>
      <c r="AA59" s="7693"/>
      <c r="AB59" s="7540"/>
      <c r="AC59" s="246"/>
      <c r="AD59" s="246"/>
      <c r="AE59" s="250" t="str">
        <f>AF58&amp;"-"&amp;AH58</f>
        <v>45292-45473</v>
      </c>
      <c r="AF59" s="7693"/>
      <c r="AG59" s="7540"/>
      <c r="AH59" s="7712"/>
      <c r="AI59" s="7540"/>
      <c r="AJ59" s="246"/>
      <c r="AK59" s="246"/>
      <c r="AL59" s="250" t="str">
        <f>AM58&amp;"-"&amp;AO58</f>
        <v>45474-45657</v>
      </c>
      <c r="AM59" s="7693"/>
      <c r="AN59" s="7540"/>
      <c r="AO59" s="7693"/>
      <c r="AP59" s="7540"/>
      <c r="AQ59" s="246"/>
      <c r="AR59" s="246"/>
      <c r="AS59" s="250" t="str">
        <f>AT58&amp;"-"&amp;AV58</f>
        <v>45658-45838</v>
      </c>
      <c r="AT59" s="7693"/>
      <c r="AU59" s="7540"/>
      <c r="AV59" s="7693"/>
      <c r="AW59" s="7540"/>
      <c r="AX59" s="246"/>
      <c r="AY59" s="246"/>
      <c r="AZ59" s="250" t="str">
        <f>BA58&amp;"-"&amp;BC58</f>
        <v>45839-46022</v>
      </c>
      <c r="BA59" s="7693"/>
      <c r="BB59" s="7540"/>
      <c r="BC59" s="7693"/>
      <c r="BD59" s="7540"/>
      <c r="BE59" s="246"/>
      <c r="BF59" s="246"/>
      <c r="BG59" s="250" t="str">
        <f>BH58&amp;"-"&amp;BJ58</f>
        <v>46023-46203</v>
      </c>
      <c r="BH59" s="7693"/>
      <c r="BI59" s="7540"/>
      <c r="BJ59" s="7693"/>
      <c r="BK59" s="7540"/>
      <c r="BL59" s="246"/>
      <c r="BM59" s="246"/>
      <c r="BN59" s="250" t="str">
        <f>BO58&amp;"-"&amp;BQ58</f>
        <v>46204-46387</v>
      </c>
      <c r="BO59" s="7693"/>
      <c r="BP59" s="7540"/>
      <c r="BQ59" s="7693"/>
      <c r="BR59" s="7540"/>
      <c r="BS59" s="246"/>
      <c r="BT59" s="246"/>
      <c r="BU59" s="250" t="str">
        <f>BV58&amp;"-"&amp;BX58</f>
        <v>46388-46568</v>
      </c>
      <c r="BV59" s="7693"/>
      <c r="BW59" s="7540"/>
      <c r="BX59" s="7693"/>
      <c r="BY59" s="7540"/>
      <c r="BZ59" s="246"/>
      <c r="CA59" s="246"/>
      <c r="CB59" s="250" t="str">
        <f>CC58&amp;"-"&amp;CE58</f>
        <v>46569-46752</v>
      </c>
      <c r="CC59" s="7693"/>
      <c r="CD59" s="7540"/>
      <c r="CE59" s="7693"/>
      <c r="CF59" s="7540"/>
      <c r="CG59" s="246"/>
      <c r="CH59" s="246"/>
      <c r="CI59" s="250" t="str">
        <f>CJ58&amp;"-"&amp;CL58</f>
        <v>46753-46934</v>
      </c>
      <c r="CJ59" s="7693"/>
      <c r="CK59" s="7540"/>
      <c r="CL59" s="7693"/>
      <c r="CM59" s="7540"/>
      <c r="CN59" s="246"/>
      <c r="CO59" s="246"/>
      <c r="CP59" s="250" t="str">
        <f>CQ58&amp;"-"&amp;CS58</f>
        <v>46935-47118</v>
      </c>
      <c r="CQ59" s="7693"/>
      <c r="CR59" s="7540"/>
      <c r="CS59" s="7693"/>
      <c r="CT59" s="7540"/>
      <c r="CU59" s="1359"/>
      <c r="CV59" s="7747"/>
      <c r="CW59" s="1562"/>
      <c r="CX59" s="1544"/>
      <c r="CY59" s="1544" t="str">
        <f t="shared" si="1"/>
        <v/>
      </c>
      <c r="CZ59" s="1544"/>
      <c r="DA59" s="1544"/>
    </row>
    <row r="60" spans="1:105" s="1827" customFormat="1" ht="21" customHeight="1">
      <c r="A60" s="1284"/>
      <c r="B60" s="1284"/>
      <c r="C60" s="1284"/>
      <c r="D60" s="1284"/>
      <c r="E60" s="7690">
        <v>1</v>
      </c>
      <c r="F60" s="7690"/>
      <c r="G60" s="7690"/>
      <c r="H60" s="7690"/>
      <c r="I60" s="7710"/>
      <c r="J60" s="7687"/>
      <c r="K60" s="1284"/>
      <c r="L60" s="1290"/>
      <c r="M60" s="1696"/>
      <c r="N60" s="1696"/>
      <c r="O60" s="1696"/>
      <c r="P60" s="7688"/>
      <c r="Q60" s="7688"/>
      <c r="R60" s="277"/>
      <c r="S60" s="2243"/>
      <c r="T60" s="2244" t="s">
        <v>659</v>
      </c>
      <c r="U60" s="2245"/>
      <c r="V60" s="2246"/>
      <c r="W60" s="2247"/>
      <c r="X60" s="2248"/>
      <c r="Y60" s="2249"/>
      <c r="Z60" s="2250"/>
      <c r="AA60" s="2251"/>
      <c r="AB60" s="2252"/>
      <c r="AC60" s="2253"/>
      <c r="AD60" s="2254"/>
      <c r="AE60" s="2255"/>
      <c r="AF60" s="2256"/>
      <c r="AG60" s="2257"/>
      <c r="AH60" s="2258"/>
      <c r="AI60" s="2259"/>
      <c r="AJ60" s="2260"/>
      <c r="AK60" s="2261"/>
      <c r="AL60" s="2262"/>
      <c r="AM60" s="2263"/>
      <c r="AN60" s="2264"/>
      <c r="AO60" s="2265"/>
      <c r="AP60" s="2266"/>
      <c r="AQ60" s="2267"/>
      <c r="AR60" s="2268"/>
      <c r="AS60" s="2269"/>
      <c r="AT60" s="2270"/>
      <c r="AU60" s="2271"/>
      <c r="AV60" s="2272"/>
      <c r="AW60" s="2273"/>
      <c r="AX60" s="2274"/>
      <c r="AY60" s="2275"/>
      <c r="AZ60" s="2276"/>
      <c r="BA60" s="2277"/>
      <c r="BB60" s="2278"/>
      <c r="BC60" s="2279"/>
      <c r="BD60" s="2280"/>
      <c r="BE60" s="2281"/>
      <c r="BF60" s="2282"/>
      <c r="BG60" s="2283"/>
      <c r="BH60" s="2284"/>
      <c r="BI60" s="2285"/>
      <c r="BJ60" s="2286"/>
      <c r="BK60" s="2287"/>
      <c r="BL60" s="2288"/>
      <c r="BM60" s="2289"/>
      <c r="BN60" s="2290"/>
      <c r="BO60" s="2291"/>
      <c r="BP60" s="2292"/>
      <c r="BQ60" s="2293"/>
      <c r="BR60" s="2294"/>
      <c r="BS60" s="2295"/>
      <c r="BT60" s="2296"/>
      <c r="BU60" s="2297"/>
      <c r="BV60" s="2298"/>
      <c r="BW60" s="2299"/>
      <c r="BX60" s="2300"/>
      <c r="BY60" s="2301"/>
      <c r="BZ60" s="2302"/>
      <c r="CA60" s="2303"/>
      <c r="CB60" s="2304"/>
      <c r="CC60" s="2305"/>
      <c r="CD60" s="2306"/>
      <c r="CE60" s="2307"/>
      <c r="CF60" s="2308"/>
      <c r="CG60" s="2309"/>
      <c r="CH60" s="2310"/>
      <c r="CI60" s="2311"/>
      <c r="CJ60" s="2312"/>
      <c r="CK60" s="2313"/>
      <c r="CL60" s="2314"/>
      <c r="CM60" s="2315"/>
      <c r="CN60" s="2316"/>
      <c r="CO60" s="2317"/>
      <c r="CP60" s="2318"/>
      <c r="CQ60" s="2319"/>
      <c r="CR60" s="2320"/>
      <c r="CS60" s="2321"/>
      <c r="CT60" s="2322"/>
      <c r="CU60" s="2323"/>
      <c r="CV60" s="1182" t="s">
        <v>660</v>
      </c>
      <c r="CW60" s="1562"/>
      <c r="CX60" s="1544"/>
      <c r="CY60" s="1544" t="str">
        <f t="shared" si="1"/>
        <v>Добавить значение признака дифференциации</v>
      </c>
      <c r="CZ60" s="1544"/>
      <c r="DA60" s="1544"/>
    </row>
    <row r="61" spans="1:105" s="1827" customFormat="1" ht="23.25" customHeight="1">
      <c r="A61" s="1284"/>
      <c r="B61" s="1284"/>
      <c r="C61" s="1284"/>
      <c r="D61" s="1284"/>
      <c r="E61" s="7690"/>
      <c r="F61" s="7690"/>
      <c r="G61" s="7690"/>
      <c r="H61" s="7690"/>
      <c r="I61" s="7710"/>
      <c r="J61" s="7687" t="str">
        <f>I56&amp;".2"</f>
        <v>2.1.1.1.2</v>
      </c>
      <c r="K61" s="1284"/>
      <c r="L61" s="1290" t="s">
        <v>582</v>
      </c>
      <c r="M61" s="1696"/>
      <c r="N61" s="1696"/>
      <c r="O61" s="1696"/>
      <c r="P61" s="7688"/>
      <c r="Q61" s="7754" t="s">
        <v>101</v>
      </c>
      <c r="R61" s="278"/>
      <c r="S61" s="1813" t="str">
        <f>$J61</f>
        <v>2.1.1.1.2</v>
      </c>
      <c r="T61" s="201" t="s">
        <v>583</v>
      </c>
      <c r="U61" s="214"/>
      <c r="V61" s="7678"/>
      <c r="W61" s="7679"/>
      <c r="X61" s="7679"/>
      <c r="Y61" s="7679"/>
      <c r="Z61" s="7679"/>
      <c r="AA61" s="7679"/>
      <c r="AB61" s="7680"/>
      <c r="AC61" s="7678" t="s">
        <v>669</v>
      </c>
      <c r="AD61" s="7679"/>
      <c r="AE61" s="7679"/>
      <c r="AF61" s="7679"/>
      <c r="AG61" s="7679"/>
      <c r="AH61" s="7679"/>
      <c r="AI61" s="7679"/>
      <c r="AJ61" s="7678"/>
      <c r="AK61" s="7679"/>
      <c r="AL61" s="7679"/>
      <c r="AM61" s="7679"/>
      <c r="AN61" s="7679"/>
      <c r="AO61" s="7679"/>
      <c r="AP61" s="7680"/>
      <c r="AQ61" s="7678"/>
      <c r="AR61" s="7679"/>
      <c r="AS61" s="7679"/>
      <c r="AT61" s="7679"/>
      <c r="AU61" s="7679"/>
      <c r="AV61" s="7679"/>
      <c r="AW61" s="7680"/>
      <c r="AX61" s="7678"/>
      <c r="AY61" s="7679"/>
      <c r="AZ61" s="7679"/>
      <c r="BA61" s="7679"/>
      <c r="BB61" s="7679"/>
      <c r="BC61" s="7679"/>
      <c r="BD61" s="7680"/>
      <c r="BE61" s="7678"/>
      <c r="BF61" s="7679"/>
      <c r="BG61" s="7679"/>
      <c r="BH61" s="7679"/>
      <c r="BI61" s="7679"/>
      <c r="BJ61" s="7679"/>
      <c r="BK61" s="7680"/>
      <c r="BL61" s="7678"/>
      <c r="BM61" s="7679"/>
      <c r="BN61" s="7679"/>
      <c r="BO61" s="7679"/>
      <c r="BP61" s="7679"/>
      <c r="BQ61" s="7679"/>
      <c r="BR61" s="7680"/>
      <c r="BS61" s="7678"/>
      <c r="BT61" s="7679"/>
      <c r="BU61" s="7679"/>
      <c r="BV61" s="7679"/>
      <c r="BW61" s="7679"/>
      <c r="BX61" s="7679"/>
      <c r="BY61" s="7680"/>
      <c r="BZ61" s="7678"/>
      <c r="CA61" s="7679"/>
      <c r="CB61" s="7679"/>
      <c r="CC61" s="7679"/>
      <c r="CD61" s="7679"/>
      <c r="CE61" s="7679"/>
      <c r="CF61" s="7680"/>
      <c r="CG61" s="7678"/>
      <c r="CH61" s="7679"/>
      <c r="CI61" s="7679"/>
      <c r="CJ61" s="7679"/>
      <c r="CK61" s="7679"/>
      <c r="CL61" s="7679"/>
      <c r="CM61" s="7680"/>
      <c r="CN61" s="7678"/>
      <c r="CO61" s="7679"/>
      <c r="CP61" s="7679"/>
      <c r="CQ61" s="7679"/>
      <c r="CR61" s="7679"/>
      <c r="CS61" s="7679"/>
      <c r="CT61" s="7680"/>
      <c r="CU61" s="7680"/>
      <c r="CV61" s="1231" t="s">
        <v>658</v>
      </c>
      <c r="CW61" s="1562"/>
      <c r="CX61" s="1544"/>
      <c r="CY61" s="1544" t="str">
        <f t="shared" si="1"/>
        <v>Группа потребителей</v>
      </c>
      <c r="CZ61" s="1544"/>
      <c r="DA61" s="1544"/>
    </row>
    <row r="62" spans="1:105" s="1827" customFormat="1" ht="23.25" customHeight="1">
      <c r="A62" s="1284"/>
      <c r="B62" s="1284"/>
      <c r="C62" s="1284"/>
      <c r="D62" s="1284"/>
      <c r="E62" s="7690"/>
      <c r="F62" s="7690"/>
      <c r="G62" s="7690"/>
      <c r="H62" s="7690"/>
      <c r="I62" s="7710"/>
      <c r="J62" s="7710" t="str">
        <f>I56&amp;".1"</f>
        <v>2.1.1.1.1</v>
      </c>
      <c r="K62" s="7687" t="str">
        <f>J61&amp;".1"</f>
        <v>2.1.1.1.2.1</v>
      </c>
      <c r="L62" s="1290"/>
      <c r="M62" s="1696"/>
      <c r="N62" s="1696"/>
      <c r="O62" s="1696"/>
      <c r="P62" s="7688"/>
      <c r="Q62" s="7688"/>
      <c r="R62" s="278">
        <v>1</v>
      </c>
      <c r="S62" s="1813" t="str">
        <f>$K62</f>
        <v>2.1.1.1.2.1</v>
      </c>
      <c r="T62" s="1357" t="s">
        <v>670</v>
      </c>
      <c r="U62" s="214"/>
      <c r="V62" s="666"/>
      <c r="W62" s="666"/>
      <c r="X62" s="1181"/>
      <c r="Y62" s="7692"/>
      <c r="Z62" s="7540" t="s">
        <v>60</v>
      </c>
      <c r="AA62" s="7692"/>
      <c r="AB62" s="7540" t="s">
        <v>60</v>
      </c>
      <c r="AC62" s="666">
        <v>61.08</v>
      </c>
      <c r="AD62" s="666"/>
      <c r="AE62" s="1181"/>
      <c r="AF62" s="7692">
        <v>45292</v>
      </c>
      <c r="AG62" s="7540" t="s">
        <v>60</v>
      </c>
      <c r="AH62" s="7711">
        <v>45473</v>
      </c>
      <c r="AI62" s="7540" t="s">
        <v>60</v>
      </c>
      <c r="AJ62" s="666">
        <v>84.09</v>
      </c>
      <c r="AK62" s="666"/>
      <c r="AL62" s="1181"/>
      <c r="AM62" s="7692">
        <v>45474</v>
      </c>
      <c r="AN62" s="7540" t="s">
        <v>60</v>
      </c>
      <c r="AO62" s="7692">
        <v>45657</v>
      </c>
      <c r="AP62" s="7540" t="s">
        <v>60</v>
      </c>
      <c r="AQ62" s="666">
        <v>77.19</v>
      </c>
      <c r="AR62" s="666"/>
      <c r="AS62" s="1181"/>
      <c r="AT62" s="7692">
        <v>45658</v>
      </c>
      <c r="AU62" s="7540" t="s">
        <v>60</v>
      </c>
      <c r="AV62" s="7692">
        <v>45838</v>
      </c>
      <c r="AW62" s="7540" t="s">
        <v>60</v>
      </c>
      <c r="AX62" s="666">
        <v>77.19</v>
      </c>
      <c r="AY62" s="666"/>
      <c r="AZ62" s="1181"/>
      <c r="BA62" s="7692">
        <v>45839</v>
      </c>
      <c r="BB62" s="7540" t="s">
        <v>60</v>
      </c>
      <c r="BC62" s="7692">
        <v>46022</v>
      </c>
      <c r="BD62" s="7540" t="s">
        <v>60</v>
      </c>
      <c r="BE62" s="666">
        <v>77.19</v>
      </c>
      <c r="BF62" s="666"/>
      <c r="BG62" s="1181"/>
      <c r="BH62" s="7692">
        <v>46023</v>
      </c>
      <c r="BI62" s="7540" t="s">
        <v>60</v>
      </c>
      <c r="BJ62" s="7692">
        <v>46203</v>
      </c>
      <c r="BK62" s="7540" t="s">
        <v>60</v>
      </c>
      <c r="BL62" s="666">
        <v>77.97</v>
      </c>
      <c r="BM62" s="666"/>
      <c r="BN62" s="1181"/>
      <c r="BO62" s="7692">
        <v>46204</v>
      </c>
      <c r="BP62" s="7540" t="s">
        <v>60</v>
      </c>
      <c r="BQ62" s="7692">
        <v>46387</v>
      </c>
      <c r="BR62" s="7540" t="s">
        <v>60</v>
      </c>
      <c r="BS62" s="666">
        <v>77.97</v>
      </c>
      <c r="BT62" s="666"/>
      <c r="BU62" s="1181"/>
      <c r="BV62" s="7692">
        <v>46388</v>
      </c>
      <c r="BW62" s="7540" t="s">
        <v>60</v>
      </c>
      <c r="BX62" s="7692">
        <v>46568</v>
      </c>
      <c r="BY62" s="7540" t="s">
        <v>60</v>
      </c>
      <c r="BZ62" s="666">
        <v>82.24</v>
      </c>
      <c r="CA62" s="666"/>
      <c r="CB62" s="1181"/>
      <c r="CC62" s="7692">
        <v>46569</v>
      </c>
      <c r="CD62" s="7540" t="s">
        <v>60</v>
      </c>
      <c r="CE62" s="7692">
        <v>46752</v>
      </c>
      <c r="CF62" s="7540" t="s">
        <v>60</v>
      </c>
      <c r="CG62" s="666">
        <v>82.24</v>
      </c>
      <c r="CH62" s="666"/>
      <c r="CI62" s="1181"/>
      <c r="CJ62" s="7692">
        <v>46753</v>
      </c>
      <c r="CK62" s="7540" t="s">
        <v>60</v>
      </c>
      <c r="CL62" s="7692">
        <v>46934</v>
      </c>
      <c r="CM62" s="7540" t="s">
        <v>60</v>
      </c>
      <c r="CN62" s="666">
        <v>84.74</v>
      </c>
      <c r="CO62" s="666"/>
      <c r="CP62" s="1181"/>
      <c r="CQ62" s="7692">
        <v>46935</v>
      </c>
      <c r="CR62" s="7540" t="s">
        <v>60</v>
      </c>
      <c r="CS62" s="7692">
        <v>47118</v>
      </c>
      <c r="CT62" s="7540" t="s">
        <v>60</v>
      </c>
      <c r="CU62" s="1358"/>
      <c r="CV62"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2" s="1562" t="e">
        <f ca="1">STRCHECKDATE(V63:CU63)</f>
        <v>#NAME?</v>
      </c>
      <c r="CX62" s="1544"/>
      <c r="CY62" s="1544" t="str">
        <f t="shared" si="1"/>
        <v>Тариф, руб. за 1 куб. метр без НДС</v>
      </c>
      <c r="CZ62" s="1544"/>
      <c r="DA62" s="1544"/>
    </row>
    <row r="63" spans="1:105" s="1827" customFormat="1" ht="14.25" customHeight="1">
      <c r="A63" s="1284"/>
      <c r="B63" s="1284"/>
      <c r="C63" s="1284"/>
      <c r="D63" s="1284"/>
      <c r="E63" s="7690"/>
      <c r="F63" s="7690"/>
      <c r="G63" s="7690"/>
      <c r="H63" s="7690"/>
      <c r="I63" s="7710"/>
      <c r="J63" s="7710" t="str">
        <f>I56&amp;".1"</f>
        <v>2.1.1.1.1</v>
      </c>
      <c r="K63" s="7687"/>
      <c r="L63" s="1290"/>
      <c r="M63" s="1696"/>
      <c r="N63" s="1696"/>
      <c r="O63" s="1696"/>
      <c r="P63" s="7688"/>
      <c r="Q63" s="7688"/>
      <c r="R63" s="278"/>
      <c r="S63" s="1822"/>
      <c r="T63" s="214"/>
      <c r="U63" s="214"/>
      <c r="V63" s="246"/>
      <c r="W63" s="246"/>
      <c r="X63" s="250" t="str">
        <f>Y62&amp;"-"&amp;AA62</f>
        <v>-</v>
      </c>
      <c r="Y63" s="7693"/>
      <c r="Z63" s="7540"/>
      <c r="AA63" s="7693"/>
      <c r="AB63" s="7540"/>
      <c r="AC63" s="246"/>
      <c r="AD63" s="246"/>
      <c r="AE63" s="250" t="str">
        <f>AF62&amp;"-"&amp;AH62</f>
        <v>45292-45473</v>
      </c>
      <c r="AF63" s="7693"/>
      <c r="AG63" s="7540"/>
      <c r="AH63" s="7712"/>
      <c r="AI63" s="7540"/>
      <c r="AJ63" s="246"/>
      <c r="AK63" s="246"/>
      <c r="AL63" s="250" t="str">
        <f>AM62&amp;"-"&amp;AO62</f>
        <v>45474-45657</v>
      </c>
      <c r="AM63" s="7693"/>
      <c r="AN63" s="7540"/>
      <c r="AO63" s="7693"/>
      <c r="AP63" s="7540"/>
      <c r="AQ63" s="246"/>
      <c r="AR63" s="246"/>
      <c r="AS63" s="250" t="str">
        <f>AT62&amp;"-"&amp;AV62</f>
        <v>45658-45838</v>
      </c>
      <c r="AT63" s="7693"/>
      <c r="AU63" s="7540"/>
      <c r="AV63" s="7693"/>
      <c r="AW63" s="7540"/>
      <c r="AX63" s="246"/>
      <c r="AY63" s="246"/>
      <c r="AZ63" s="250" t="str">
        <f>BA62&amp;"-"&amp;BC62</f>
        <v>45839-46022</v>
      </c>
      <c r="BA63" s="7693"/>
      <c r="BB63" s="7540"/>
      <c r="BC63" s="7693"/>
      <c r="BD63" s="7540"/>
      <c r="BE63" s="246"/>
      <c r="BF63" s="246"/>
      <c r="BG63" s="250" t="str">
        <f>BH62&amp;"-"&amp;BJ62</f>
        <v>46023-46203</v>
      </c>
      <c r="BH63" s="7693"/>
      <c r="BI63" s="7540"/>
      <c r="BJ63" s="7693"/>
      <c r="BK63" s="7540"/>
      <c r="BL63" s="246"/>
      <c r="BM63" s="246"/>
      <c r="BN63" s="250" t="str">
        <f>BO62&amp;"-"&amp;BQ62</f>
        <v>46204-46387</v>
      </c>
      <c r="BO63" s="7693"/>
      <c r="BP63" s="7540"/>
      <c r="BQ63" s="7693"/>
      <c r="BR63" s="7540"/>
      <c r="BS63" s="246"/>
      <c r="BT63" s="246"/>
      <c r="BU63" s="250" t="str">
        <f>BV62&amp;"-"&amp;BX62</f>
        <v>46388-46568</v>
      </c>
      <c r="BV63" s="7693"/>
      <c r="BW63" s="7540"/>
      <c r="BX63" s="7693"/>
      <c r="BY63" s="7540"/>
      <c r="BZ63" s="246"/>
      <c r="CA63" s="246"/>
      <c r="CB63" s="250" t="str">
        <f>CC62&amp;"-"&amp;CE62</f>
        <v>46569-46752</v>
      </c>
      <c r="CC63" s="7693"/>
      <c r="CD63" s="7540"/>
      <c r="CE63" s="7693"/>
      <c r="CF63" s="7540"/>
      <c r="CG63" s="246"/>
      <c r="CH63" s="246"/>
      <c r="CI63" s="250" t="str">
        <f>CJ62&amp;"-"&amp;CL62</f>
        <v>46753-46934</v>
      </c>
      <c r="CJ63" s="7693"/>
      <c r="CK63" s="7540"/>
      <c r="CL63" s="7693"/>
      <c r="CM63" s="7540"/>
      <c r="CN63" s="246"/>
      <c r="CO63" s="246"/>
      <c r="CP63" s="250" t="str">
        <f>CQ62&amp;"-"&amp;CS62</f>
        <v>46935-47118</v>
      </c>
      <c r="CQ63" s="7693"/>
      <c r="CR63" s="7540"/>
      <c r="CS63" s="7693"/>
      <c r="CT63" s="7540"/>
      <c r="CU63" s="1359"/>
      <c r="CV63" s="7747"/>
      <c r="CW63" s="1562"/>
      <c r="CX63" s="1544"/>
      <c r="CY63" s="1544" t="str">
        <f t="shared" si="1"/>
        <v/>
      </c>
      <c r="CZ63" s="1544"/>
      <c r="DA63" s="1544"/>
    </row>
    <row r="64" spans="1:105" s="1827" customFormat="1" ht="21" customHeight="1">
      <c r="A64" s="1284"/>
      <c r="B64" s="1284"/>
      <c r="C64" s="1284"/>
      <c r="D64" s="1284"/>
      <c r="E64" s="7690"/>
      <c r="F64" s="7690"/>
      <c r="G64" s="7690"/>
      <c r="H64" s="7690"/>
      <c r="I64" s="7710"/>
      <c r="J64" s="7687" t="str">
        <f>I56&amp;".1"</f>
        <v>2.1.1.1.1</v>
      </c>
      <c r="K64" s="1284"/>
      <c r="L64" s="1290"/>
      <c r="M64" s="1696"/>
      <c r="N64" s="1696"/>
      <c r="O64" s="1696"/>
      <c r="P64" s="7688"/>
      <c r="Q64" s="7688"/>
      <c r="R64" s="277"/>
      <c r="S64" s="2324"/>
      <c r="T64" s="2325" t="s">
        <v>659</v>
      </c>
      <c r="U64" s="2326"/>
      <c r="V64" s="2327"/>
      <c r="W64" s="2328"/>
      <c r="X64" s="2329"/>
      <c r="Y64" s="2330"/>
      <c r="Z64" s="2331"/>
      <c r="AA64" s="2332"/>
      <c r="AB64" s="2333"/>
      <c r="AC64" s="2334"/>
      <c r="AD64" s="2335"/>
      <c r="AE64" s="2336"/>
      <c r="AF64" s="2337"/>
      <c r="AG64" s="2338"/>
      <c r="AH64" s="2339"/>
      <c r="AI64" s="2340"/>
      <c r="AJ64" s="2341"/>
      <c r="AK64" s="2342"/>
      <c r="AL64" s="2343"/>
      <c r="AM64" s="2344"/>
      <c r="AN64" s="2345"/>
      <c r="AO64" s="2346"/>
      <c r="AP64" s="2347"/>
      <c r="AQ64" s="2348"/>
      <c r="AR64" s="2349"/>
      <c r="AS64" s="2350"/>
      <c r="AT64" s="2351"/>
      <c r="AU64" s="2352"/>
      <c r="AV64" s="2353"/>
      <c r="AW64" s="2354"/>
      <c r="AX64" s="2355"/>
      <c r="AY64" s="2356"/>
      <c r="AZ64" s="2357"/>
      <c r="BA64" s="2358"/>
      <c r="BB64" s="2359"/>
      <c r="BC64" s="2360"/>
      <c r="BD64" s="2361"/>
      <c r="BE64" s="2362"/>
      <c r="BF64" s="2363"/>
      <c r="BG64" s="2364"/>
      <c r="BH64" s="2365"/>
      <c r="BI64" s="2366"/>
      <c r="BJ64" s="2367"/>
      <c r="BK64" s="2368"/>
      <c r="BL64" s="2369"/>
      <c r="BM64" s="2370"/>
      <c r="BN64" s="2371"/>
      <c r="BO64" s="2372"/>
      <c r="BP64" s="2373"/>
      <c r="BQ64" s="2374"/>
      <c r="BR64" s="2375"/>
      <c r="BS64" s="2376"/>
      <c r="BT64" s="2377"/>
      <c r="BU64" s="2378"/>
      <c r="BV64" s="2379"/>
      <c r="BW64" s="2380"/>
      <c r="BX64" s="2381"/>
      <c r="BY64" s="2382"/>
      <c r="BZ64" s="2383"/>
      <c r="CA64" s="2384"/>
      <c r="CB64" s="2385"/>
      <c r="CC64" s="2386"/>
      <c r="CD64" s="2387"/>
      <c r="CE64" s="2388"/>
      <c r="CF64" s="2389"/>
      <c r="CG64" s="2390"/>
      <c r="CH64" s="2391"/>
      <c r="CI64" s="2392"/>
      <c r="CJ64" s="2393"/>
      <c r="CK64" s="2394"/>
      <c r="CL64" s="2395"/>
      <c r="CM64" s="2396"/>
      <c r="CN64" s="2397"/>
      <c r="CO64" s="2398"/>
      <c r="CP64" s="2399"/>
      <c r="CQ64" s="2400"/>
      <c r="CR64" s="2401"/>
      <c r="CS64" s="2402"/>
      <c r="CT64" s="2403"/>
      <c r="CU64" s="2404"/>
      <c r="CV64" s="1182" t="s">
        <v>660</v>
      </c>
      <c r="CW64" s="1562"/>
      <c r="CX64" s="1544"/>
      <c r="CY64" s="1544" t="str">
        <f t="shared" si="1"/>
        <v>Добавить значение признака дифференциации</v>
      </c>
      <c r="CZ64" s="1544"/>
      <c r="DA64" s="1544"/>
    </row>
    <row r="65" spans="1:105" s="1827" customFormat="1" ht="21" customHeight="1">
      <c r="A65" s="1284"/>
      <c r="B65" s="1284"/>
      <c r="C65" s="1284"/>
      <c r="D65" s="1284"/>
      <c r="E65" s="7690">
        <v>1</v>
      </c>
      <c r="F65" s="7690"/>
      <c r="G65" s="7690"/>
      <c r="H65" s="7690"/>
      <c r="I65" s="7687"/>
      <c r="J65" s="1284"/>
      <c r="K65" s="1284"/>
      <c r="L65" s="1290"/>
      <c r="M65" s="1696"/>
      <c r="N65" s="1696"/>
      <c r="O65" s="1696"/>
      <c r="P65" s="7688"/>
      <c r="Q65" s="1816"/>
      <c r="R65" s="277"/>
      <c r="S65" s="2405"/>
      <c r="T65" s="2406" t="s">
        <v>588</v>
      </c>
      <c r="U65" s="2407"/>
      <c r="V65" s="2408"/>
      <c r="W65" s="2409"/>
      <c r="X65" s="2410"/>
      <c r="Y65" s="2411"/>
      <c r="Z65" s="2412"/>
      <c r="AA65" s="2413"/>
      <c r="AB65" s="2414"/>
      <c r="AC65" s="2415"/>
      <c r="AD65" s="2416"/>
      <c r="AE65" s="2417"/>
      <c r="AF65" s="2418"/>
      <c r="AG65" s="2419"/>
      <c r="AH65" s="2420"/>
      <c r="AI65" s="2421"/>
      <c r="AJ65" s="2422"/>
      <c r="AK65" s="2423"/>
      <c r="AL65" s="2424"/>
      <c r="AM65" s="2425"/>
      <c r="AN65" s="2426"/>
      <c r="AO65" s="2427"/>
      <c r="AP65" s="2428"/>
      <c r="AQ65" s="2429"/>
      <c r="AR65" s="2430"/>
      <c r="AS65" s="2431"/>
      <c r="AT65" s="2432"/>
      <c r="AU65" s="2433"/>
      <c r="AV65" s="2434"/>
      <c r="AW65" s="2435"/>
      <c r="AX65" s="2436"/>
      <c r="AY65" s="2437"/>
      <c r="AZ65" s="2438"/>
      <c r="BA65" s="2439"/>
      <c r="BB65" s="2440"/>
      <c r="BC65" s="2441"/>
      <c r="BD65" s="2442"/>
      <c r="BE65" s="2443"/>
      <c r="BF65" s="2444"/>
      <c r="BG65" s="2445"/>
      <c r="BH65" s="2446"/>
      <c r="BI65" s="2447"/>
      <c r="BJ65" s="2448"/>
      <c r="BK65" s="2449"/>
      <c r="BL65" s="2450"/>
      <c r="BM65" s="2451"/>
      <c r="BN65" s="2452"/>
      <c r="BO65" s="2453"/>
      <c r="BP65" s="2454"/>
      <c r="BQ65" s="2455"/>
      <c r="BR65" s="2456"/>
      <c r="BS65" s="2457"/>
      <c r="BT65" s="2458"/>
      <c r="BU65" s="2459"/>
      <c r="BV65" s="2460"/>
      <c r="BW65" s="2461"/>
      <c r="BX65" s="2462"/>
      <c r="BY65" s="2463"/>
      <c r="BZ65" s="2464"/>
      <c r="CA65" s="2465"/>
      <c r="CB65" s="2466"/>
      <c r="CC65" s="2467"/>
      <c r="CD65" s="2468"/>
      <c r="CE65" s="2469"/>
      <c r="CF65" s="2470"/>
      <c r="CG65" s="2471"/>
      <c r="CH65" s="2472"/>
      <c r="CI65" s="2473"/>
      <c r="CJ65" s="2474"/>
      <c r="CK65" s="2475"/>
      <c r="CL65" s="2476"/>
      <c r="CM65" s="2477"/>
      <c r="CN65" s="2478"/>
      <c r="CO65" s="2479"/>
      <c r="CP65" s="2480"/>
      <c r="CQ65" s="2481"/>
      <c r="CR65" s="2482"/>
      <c r="CS65" s="2483"/>
      <c r="CT65" s="2484"/>
      <c r="CU65" s="2485"/>
      <c r="CV65" s="2486"/>
      <c r="CW65" s="1562"/>
      <c r="CX65" s="1544"/>
      <c r="CY65" s="1544" t="str">
        <f t="shared" si="1"/>
        <v>Добавить группу потребителей</v>
      </c>
      <c r="CZ65" s="1544"/>
      <c r="DA65" s="1544"/>
    </row>
    <row r="66" spans="1:105" s="1827" customFormat="1" ht="14.25" customHeight="1">
      <c r="A66" s="1284"/>
      <c r="B66" s="1284"/>
      <c r="C66" s="1284"/>
      <c r="D66" s="1284"/>
      <c r="E66" s="7690">
        <v>1</v>
      </c>
      <c r="F66" s="7690"/>
      <c r="G66" s="7690"/>
      <c r="H66" s="7689"/>
      <c r="I66" s="1284"/>
      <c r="J66" s="1284"/>
      <c r="K66" s="1284"/>
      <c r="L66" s="1290"/>
      <c r="M66" s="1286"/>
      <c r="N66" s="1286"/>
      <c r="O66" s="1287"/>
      <c r="P66" s="1742"/>
      <c r="Q66" s="299"/>
      <c r="R66" s="276"/>
      <c r="S66" s="2487"/>
      <c r="T66" s="2488" t="s">
        <v>661</v>
      </c>
      <c r="U66" s="2489"/>
      <c r="V66" s="2490"/>
      <c r="W66" s="2491"/>
      <c r="X66" s="2492"/>
      <c r="Y66" s="2493"/>
      <c r="Z66" s="2494"/>
      <c r="AA66" s="2495"/>
      <c r="AB66" s="2496"/>
      <c r="AC66" s="2497"/>
      <c r="AD66" s="2498"/>
      <c r="AE66" s="2499"/>
      <c r="AF66" s="2500"/>
      <c r="AG66" s="2501"/>
      <c r="AH66" s="2502"/>
      <c r="AI66" s="2503"/>
      <c r="AJ66" s="2504"/>
      <c r="AK66" s="2505"/>
      <c r="AL66" s="2506"/>
      <c r="AM66" s="2507"/>
      <c r="AN66" s="2508"/>
      <c r="AO66" s="2509"/>
      <c r="AP66" s="2510"/>
      <c r="AQ66" s="2511"/>
      <c r="AR66" s="2512"/>
      <c r="AS66" s="2513"/>
      <c r="AT66" s="2514"/>
      <c r="AU66" s="2515"/>
      <c r="AV66" s="2516"/>
      <c r="AW66" s="2517"/>
      <c r="AX66" s="2518"/>
      <c r="AY66" s="2519"/>
      <c r="AZ66" s="2520"/>
      <c r="BA66" s="2521"/>
      <c r="BB66" s="2522"/>
      <c r="BC66" s="2523"/>
      <c r="BD66" s="2524"/>
      <c r="BE66" s="2525"/>
      <c r="BF66" s="2526"/>
      <c r="BG66" s="2527"/>
      <c r="BH66" s="2528"/>
      <c r="BI66" s="2529"/>
      <c r="BJ66" s="2530"/>
      <c r="BK66" s="2531"/>
      <c r="BL66" s="2532"/>
      <c r="BM66" s="2533"/>
      <c r="BN66" s="2534"/>
      <c r="BO66" s="2535"/>
      <c r="BP66" s="2536"/>
      <c r="BQ66" s="2537"/>
      <c r="BR66" s="2538"/>
      <c r="BS66" s="2539"/>
      <c r="BT66" s="2540"/>
      <c r="BU66" s="2541"/>
      <c r="BV66" s="2542"/>
      <c r="BW66" s="2543"/>
      <c r="BX66" s="2544"/>
      <c r="BY66" s="2545"/>
      <c r="BZ66" s="2546"/>
      <c r="CA66" s="2547"/>
      <c r="CB66" s="2548"/>
      <c r="CC66" s="2549"/>
      <c r="CD66" s="2550"/>
      <c r="CE66" s="2551"/>
      <c r="CF66" s="2552"/>
      <c r="CG66" s="2553"/>
      <c r="CH66" s="2554"/>
      <c r="CI66" s="2555"/>
      <c r="CJ66" s="2556"/>
      <c r="CK66" s="2557"/>
      <c r="CL66" s="2558"/>
      <c r="CM66" s="2559"/>
      <c r="CN66" s="2560"/>
      <c r="CO66" s="2561"/>
      <c r="CP66" s="2562"/>
      <c r="CQ66" s="2563"/>
      <c r="CR66" s="2564"/>
      <c r="CS66" s="2565"/>
      <c r="CT66" s="2566"/>
      <c r="CU66" s="2567"/>
      <c r="CV66" s="2568"/>
      <c r="CW66" s="1562"/>
      <c r="CX66" s="1544"/>
      <c r="CY66" s="1544" t="str">
        <f t="shared" si="1"/>
        <v>Добавить наименование признака дифференциации</v>
      </c>
      <c r="CZ66" s="1544"/>
      <c r="DA66" s="1544"/>
    </row>
    <row r="67" spans="1:105" s="541" customFormat="1" ht="14.25" customHeight="1">
      <c r="A67" s="1265"/>
      <c r="B67" s="1265"/>
      <c r="C67" s="1265"/>
      <c r="D67" s="1265"/>
      <c r="E67" s="7690">
        <v>1</v>
      </c>
      <c r="F67" s="7689"/>
      <c r="G67" s="1265"/>
      <c r="H67" s="1265"/>
      <c r="I67" s="1265"/>
      <c r="J67" s="1265"/>
      <c r="K67" s="1265"/>
      <c r="L67" s="1466"/>
      <c r="M67" s="1244"/>
      <c r="N67" s="1244"/>
      <c r="O67" s="1562"/>
      <c r="P67" s="1239"/>
      <c r="Q67" s="1266"/>
      <c r="R67" s="1239"/>
      <c r="S67" s="1245"/>
      <c r="T67" s="1248" t="s">
        <v>325</v>
      </c>
      <c r="U67" s="1247"/>
      <c r="V67" s="1247"/>
      <c r="W67" s="1247"/>
      <c r="X67" s="1247"/>
      <c r="Y67" s="1247"/>
      <c r="Z67" s="1247"/>
      <c r="AA67" s="1247"/>
      <c r="AB67" s="1247"/>
      <c r="AC67" s="1247"/>
      <c r="AD67" s="1247"/>
      <c r="AE67" s="1247"/>
      <c r="AF67" s="1247"/>
      <c r="AG67" s="1247"/>
      <c r="AH67" s="1247"/>
      <c r="AI67" s="1247"/>
      <c r="AJ67" s="1247"/>
      <c r="AK67" s="1247"/>
      <c r="AL67" s="1247"/>
      <c r="AM67" s="1247"/>
      <c r="AN67" s="1247"/>
      <c r="AO67" s="1247"/>
      <c r="AP67" s="1247"/>
      <c r="AQ67" s="1247"/>
      <c r="AR67" s="1247"/>
      <c r="AS67" s="1247"/>
      <c r="AT67" s="1247"/>
      <c r="AU67" s="1247"/>
      <c r="AV67" s="1247"/>
      <c r="AW67" s="1247"/>
      <c r="AX67" s="1247"/>
      <c r="AY67" s="1247"/>
      <c r="AZ67" s="1247"/>
      <c r="BA67" s="1247"/>
      <c r="BB67" s="1247"/>
      <c r="BC67" s="1247"/>
      <c r="BD67" s="1247"/>
      <c r="BE67" s="1247"/>
      <c r="BF67" s="1247"/>
      <c r="BG67" s="1247"/>
      <c r="BH67" s="1247"/>
      <c r="BI67" s="1247"/>
      <c r="BJ67" s="1247"/>
      <c r="BK67" s="1247"/>
      <c r="BL67" s="1247"/>
      <c r="BM67" s="1247"/>
      <c r="BN67" s="1247"/>
      <c r="BO67" s="1247"/>
      <c r="BP67" s="1247"/>
      <c r="BQ67" s="1247"/>
      <c r="BR67" s="1247"/>
      <c r="BS67" s="1247"/>
      <c r="BT67" s="1247"/>
      <c r="BU67" s="1247"/>
      <c r="BV67" s="1247"/>
      <c r="BW67" s="1247"/>
      <c r="BX67" s="1247"/>
      <c r="BY67" s="1247"/>
      <c r="BZ67" s="1247"/>
      <c r="CA67" s="1247"/>
      <c r="CB67" s="1247"/>
      <c r="CC67" s="1247"/>
      <c r="CD67" s="1247"/>
      <c r="CE67" s="1247"/>
      <c r="CF67" s="1247"/>
      <c r="CG67" s="1247"/>
      <c r="CH67" s="1247"/>
      <c r="CI67" s="1247"/>
      <c r="CJ67" s="1247"/>
      <c r="CK67" s="1247"/>
      <c r="CL67" s="1247"/>
      <c r="CM67" s="1247"/>
      <c r="CN67" s="1247"/>
      <c r="CO67" s="1247"/>
      <c r="CP67" s="1247"/>
      <c r="CQ67" s="1247"/>
      <c r="CR67" s="1247"/>
      <c r="CS67" s="1247"/>
      <c r="CT67" s="1247"/>
      <c r="CU67" s="1247"/>
      <c r="CV67" s="1247"/>
      <c r="CW67" s="1562"/>
      <c r="CX67" s="1544"/>
      <c r="CY67" s="1544" t="str">
        <f t="shared" si="1"/>
        <v>Добавить централизованную систему для дифференциации</v>
      </c>
      <c r="CZ67" s="1544"/>
      <c r="DA67" s="1544"/>
    </row>
    <row r="68" spans="1:105" s="541" customFormat="1" ht="14.25" customHeight="1">
      <c r="A68" s="1265"/>
      <c r="B68" s="1265"/>
      <c r="C68" s="1265"/>
      <c r="D68" s="1265"/>
      <c r="E68" s="7689">
        <v>1</v>
      </c>
      <c r="F68" s="1265"/>
      <c r="G68" s="1265"/>
      <c r="H68" s="1265"/>
      <c r="I68" s="1265"/>
      <c r="J68" s="1265"/>
      <c r="K68" s="1265"/>
      <c r="L68" s="1466"/>
      <c r="M68" s="1244"/>
      <c r="N68" s="1244"/>
      <c r="O68" s="1562"/>
      <c r="P68" s="1239"/>
      <c r="Q68" s="1266"/>
      <c r="R68" s="1239"/>
      <c r="S68" s="1245"/>
      <c r="T68" s="1248" t="s">
        <v>326</v>
      </c>
      <c r="U68" s="1247"/>
      <c r="V68" s="1247"/>
      <c r="W68" s="1247"/>
      <c r="X68" s="1247"/>
      <c r="Y68" s="1247"/>
      <c r="Z68" s="1247"/>
      <c r="AA68" s="1247"/>
      <c r="AB68" s="1247"/>
      <c r="AC68" s="1247"/>
      <c r="AD68" s="1247"/>
      <c r="AE68" s="1247"/>
      <c r="AF68" s="1247"/>
      <c r="AG68" s="1247"/>
      <c r="AH68" s="1247"/>
      <c r="AI68" s="1247"/>
      <c r="AJ68" s="1247"/>
      <c r="AK68" s="1247"/>
      <c r="AL68" s="1247"/>
      <c r="AM68" s="1247"/>
      <c r="AN68" s="1247"/>
      <c r="AO68" s="1247"/>
      <c r="AP68" s="1247"/>
      <c r="AQ68" s="1247"/>
      <c r="AR68" s="1247"/>
      <c r="AS68" s="1247"/>
      <c r="AT68" s="1247"/>
      <c r="AU68" s="1247"/>
      <c r="AV68" s="1247"/>
      <c r="AW68" s="1247"/>
      <c r="AX68" s="1247"/>
      <c r="AY68" s="1247"/>
      <c r="AZ68" s="1247"/>
      <c r="BA68" s="1247"/>
      <c r="BB68" s="1247"/>
      <c r="BC68" s="1247"/>
      <c r="BD68" s="1247"/>
      <c r="BE68" s="1247"/>
      <c r="BF68" s="1247"/>
      <c r="BG68" s="1247"/>
      <c r="BH68" s="1247"/>
      <c r="BI68" s="1247"/>
      <c r="BJ68" s="1247"/>
      <c r="BK68" s="1247"/>
      <c r="BL68" s="1247"/>
      <c r="BM68" s="1247"/>
      <c r="BN68" s="1247"/>
      <c r="BO68" s="1247"/>
      <c r="BP68" s="1247"/>
      <c r="BQ68" s="1247"/>
      <c r="BR68" s="1247"/>
      <c r="BS68" s="1247"/>
      <c r="BT68" s="1247"/>
      <c r="BU68" s="1247"/>
      <c r="BV68" s="1247"/>
      <c r="BW68" s="1247"/>
      <c r="BX68" s="1247"/>
      <c r="BY68" s="1247"/>
      <c r="BZ68" s="1247"/>
      <c r="CA68" s="1247"/>
      <c r="CB68" s="1247"/>
      <c r="CC68" s="1247"/>
      <c r="CD68" s="1247"/>
      <c r="CE68" s="1247"/>
      <c r="CF68" s="1247"/>
      <c r="CG68" s="1247"/>
      <c r="CH68" s="1247"/>
      <c r="CI68" s="1247"/>
      <c r="CJ68" s="1247"/>
      <c r="CK68" s="1247"/>
      <c r="CL68" s="1247"/>
      <c r="CM68" s="1247"/>
      <c r="CN68" s="1247"/>
      <c r="CO68" s="1247"/>
      <c r="CP68" s="1247"/>
      <c r="CQ68" s="1247"/>
      <c r="CR68" s="1247"/>
      <c r="CS68" s="1247"/>
      <c r="CT68" s="1247"/>
      <c r="CU68" s="1247"/>
      <c r="CV68" s="1247"/>
      <c r="CW68" s="1562"/>
      <c r="CX68" s="1544"/>
      <c r="CY68" s="1544" t="str">
        <f t="shared" si="1"/>
        <v>Добавить территорию для дифференциации</v>
      </c>
      <c r="CZ68" s="1544"/>
      <c r="DA68" s="1544"/>
    </row>
    <row r="69" spans="1:105" s="1827" customFormat="1" ht="23.25" customHeight="1">
      <c r="A69" s="1284" t="s">
        <v>333</v>
      </c>
      <c r="B69" s="1284"/>
      <c r="C69" s="1284"/>
      <c r="D69" s="1284"/>
      <c r="E69" s="7689" t="s">
        <v>88</v>
      </c>
      <c r="F69" s="1284"/>
      <c r="G69" s="1284"/>
      <c r="H69" s="1284"/>
      <c r="I69" s="1284"/>
      <c r="J69" s="1284"/>
      <c r="K69" s="1284"/>
      <c r="L69" s="1290"/>
      <c r="M69" s="1286"/>
      <c r="N69" s="1286"/>
      <c r="O69" s="1286"/>
      <c r="P69" s="1817"/>
      <c r="Q69" s="1742"/>
      <c r="R69" s="276"/>
      <c r="S69" s="1813" t="str">
        <f>INDEX(PT_DIFFERENTIATION_NUM_NTAR,MATCH(A69,PT_DIFFERENTIATION_NTAR_ID,0))</f>
        <v>3</v>
      </c>
      <c r="T69" s="1440" t="s">
        <v>237</v>
      </c>
      <c r="U69" s="214"/>
      <c r="V69" s="7675"/>
      <c r="W69" s="7676"/>
      <c r="X69" s="7676"/>
      <c r="Y69" s="7676"/>
      <c r="Z69" s="7676"/>
      <c r="AA69" s="7676"/>
      <c r="AB69" s="7677"/>
      <c r="AC69" s="7675" t="str">
        <f>INDEX(PT_DIFFERENTIATION_NTAR,MATCH(A69,PT_DIFFERENTIATION_NTAR_ID,0))</f>
        <v>Тарифы на питьевую воду для потребителей, присоединенных к централизованным системам водоснабжения села Калиновского Александровского муниципального округа</v>
      </c>
      <c r="AD69" s="7676"/>
      <c r="AE69" s="7676"/>
      <c r="AF69" s="7676"/>
      <c r="AG69" s="7676"/>
      <c r="AH69" s="7676"/>
      <c r="AI69" s="7676"/>
      <c r="AJ69" s="7675"/>
      <c r="AK69" s="7676"/>
      <c r="AL69" s="7676"/>
      <c r="AM69" s="7676"/>
      <c r="AN69" s="7676"/>
      <c r="AO69" s="7676"/>
      <c r="AP69" s="7677"/>
      <c r="AQ69" s="7675"/>
      <c r="AR69" s="7676"/>
      <c r="AS69" s="7676"/>
      <c r="AT69" s="7676"/>
      <c r="AU69" s="7676"/>
      <c r="AV69" s="7676"/>
      <c r="AW69" s="7677"/>
      <c r="AX69" s="7675"/>
      <c r="AY69" s="7676"/>
      <c r="AZ69" s="7676"/>
      <c r="BA69" s="7676"/>
      <c r="BB69" s="7676"/>
      <c r="BC69" s="7676"/>
      <c r="BD69" s="7677"/>
      <c r="BE69" s="7675"/>
      <c r="BF69" s="7676"/>
      <c r="BG69" s="7676"/>
      <c r="BH69" s="7676"/>
      <c r="BI69" s="7676"/>
      <c r="BJ69" s="7676"/>
      <c r="BK69" s="7677"/>
      <c r="BL69" s="7675"/>
      <c r="BM69" s="7676"/>
      <c r="BN69" s="7676"/>
      <c r="BO69" s="7676"/>
      <c r="BP69" s="7676"/>
      <c r="BQ69" s="7676"/>
      <c r="BR69" s="7677"/>
      <c r="BS69" s="7675"/>
      <c r="BT69" s="7676"/>
      <c r="BU69" s="7676"/>
      <c r="BV69" s="7676"/>
      <c r="BW69" s="7676"/>
      <c r="BX69" s="7676"/>
      <c r="BY69" s="7677"/>
      <c r="BZ69" s="7675"/>
      <c r="CA69" s="7676"/>
      <c r="CB69" s="7676"/>
      <c r="CC69" s="7676"/>
      <c r="CD69" s="7676"/>
      <c r="CE69" s="7676"/>
      <c r="CF69" s="7677"/>
      <c r="CG69" s="7675"/>
      <c r="CH69" s="7676"/>
      <c r="CI69" s="7676"/>
      <c r="CJ69" s="7676"/>
      <c r="CK69" s="7676"/>
      <c r="CL69" s="7676"/>
      <c r="CM69" s="7677"/>
      <c r="CN69" s="7675"/>
      <c r="CO69" s="7676"/>
      <c r="CP69" s="7676"/>
      <c r="CQ69" s="7676"/>
      <c r="CR69" s="7676"/>
      <c r="CS69" s="7676"/>
      <c r="CT69" s="7677"/>
      <c r="CU69" s="7677"/>
      <c r="CV6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69" s="1562"/>
      <c r="CX69" s="1544"/>
      <c r="CY69" s="1544" t="str">
        <f t="shared" si="1"/>
        <v>Наименование тарифа</v>
      </c>
      <c r="CZ69" s="1544"/>
      <c r="DA69" s="1544"/>
    </row>
    <row r="70" spans="1:105" s="1827" customFormat="1" ht="23.25" customHeight="1">
      <c r="A70" s="1284"/>
      <c r="B70" s="1284" t="s">
        <v>334</v>
      </c>
      <c r="C70" s="1284"/>
      <c r="D70" s="1284"/>
      <c r="E70" s="7690" t="s">
        <v>100</v>
      </c>
      <c r="F70" s="7689">
        <v>1</v>
      </c>
      <c r="G70" s="1284"/>
      <c r="H70" s="1284"/>
      <c r="I70" s="1284"/>
      <c r="J70" s="1284"/>
      <c r="K70" s="1284"/>
      <c r="L70" s="1290"/>
      <c r="M70" s="1286"/>
      <c r="N70" s="1286"/>
      <c r="O70" s="1286"/>
      <c r="P70" s="1807"/>
      <c r="Q70" s="273"/>
      <c r="R70" s="274"/>
      <c r="S70" s="1813" t="str">
        <f>INDEX(PT_DIFFERENTIATION_NUM_TER,MATCH(B70,PT_DIFFERENTIATION_TER_ID,0))</f>
        <v>3.1</v>
      </c>
      <c r="T70" s="1437" t="s">
        <v>573</v>
      </c>
      <c r="U70" s="214"/>
      <c r="V70" s="7675"/>
      <c r="W70" s="7676"/>
      <c r="X70" s="7676"/>
      <c r="Y70" s="7676"/>
      <c r="Z70" s="7676"/>
      <c r="AA70" s="7676"/>
      <c r="AB70" s="7677"/>
      <c r="AC70" s="7675" t="str">
        <f>INDEX(PT_DIFFERENTIATION_TER,MATCH(B70,PT_DIFFERENTIATION_TER_ID,0))</f>
        <v>Территория 3</v>
      </c>
      <c r="AD70" s="7676"/>
      <c r="AE70" s="7676"/>
      <c r="AF70" s="7676"/>
      <c r="AG70" s="7676"/>
      <c r="AH70" s="7676"/>
      <c r="AI70" s="7676"/>
      <c r="AJ70" s="7675"/>
      <c r="AK70" s="7676"/>
      <c r="AL70" s="7676"/>
      <c r="AM70" s="7676"/>
      <c r="AN70" s="7676"/>
      <c r="AO70" s="7676"/>
      <c r="AP70" s="7677"/>
      <c r="AQ70" s="7675"/>
      <c r="AR70" s="7676"/>
      <c r="AS70" s="7676"/>
      <c r="AT70" s="7676"/>
      <c r="AU70" s="7676"/>
      <c r="AV70" s="7676"/>
      <c r="AW70" s="7677"/>
      <c r="AX70" s="7675"/>
      <c r="AY70" s="7676"/>
      <c r="AZ70" s="7676"/>
      <c r="BA70" s="7676"/>
      <c r="BB70" s="7676"/>
      <c r="BC70" s="7676"/>
      <c r="BD70" s="7677"/>
      <c r="BE70" s="7675"/>
      <c r="BF70" s="7676"/>
      <c r="BG70" s="7676"/>
      <c r="BH70" s="7676"/>
      <c r="BI70" s="7676"/>
      <c r="BJ70" s="7676"/>
      <c r="BK70" s="7677"/>
      <c r="BL70" s="7675"/>
      <c r="BM70" s="7676"/>
      <c r="BN70" s="7676"/>
      <c r="BO70" s="7676"/>
      <c r="BP70" s="7676"/>
      <c r="BQ70" s="7676"/>
      <c r="BR70" s="7677"/>
      <c r="BS70" s="7675"/>
      <c r="BT70" s="7676"/>
      <c r="BU70" s="7676"/>
      <c r="BV70" s="7676"/>
      <c r="BW70" s="7676"/>
      <c r="BX70" s="7676"/>
      <c r="BY70" s="7677"/>
      <c r="BZ70" s="7675"/>
      <c r="CA70" s="7676"/>
      <c r="CB70" s="7676"/>
      <c r="CC70" s="7676"/>
      <c r="CD70" s="7676"/>
      <c r="CE70" s="7676"/>
      <c r="CF70" s="7677"/>
      <c r="CG70" s="7675"/>
      <c r="CH70" s="7676"/>
      <c r="CI70" s="7676"/>
      <c r="CJ70" s="7676"/>
      <c r="CK70" s="7676"/>
      <c r="CL70" s="7676"/>
      <c r="CM70" s="7677"/>
      <c r="CN70" s="7675"/>
      <c r="CO70" s="7676"/>
      <c r="CP70" s="7676"/>
      <c r="CQ70" s="7676"/>
      <c r="CR70" s="7676"/>
      <c r="CS70" s="7676"/>
      <c r="CT70" s="7677"/>
      <c r="CU70" s="7677"/>
      <c r="CV70" s="1182" t="s">
        <v>574</v>
      </c>
      <c r="CW70" s="1562"/>
      <c r="CX70" s="1544"/>
      <c r="CY70" s="1544" t="str">
        <f t="shared" si="1"/>
        <v>Территория действия тарифа</v>
      </c>
      <c r="CZ70" s="1544"/>
      <c r="DA70" s="1544"/>
    </row>
    <row r="71" spans="1:105" s="1827" customFormat="1" ht="23.25" customHeight="1">
      <c r="A71" s="1284"/>
      <c r="B71" s="1284"/>
      <c r="C71" s="1284" t="s">
        <v>335</v>
      </c>
      <c r="D71" s="1284"/>
      <c r="E71" s="7690" t="s">
        <v>100</v>
      </c>
      <c r="F71" s="7690"/>
      <c r="G71" s="7689">
        <v>1</v>
      </c>
      <c r="H71" s="1284"/>
      <c r="I71" s="1284"/>
      <c r="J71" s="1284"/>
      <c r="K71" s="1284"/>
      <c r="L71" s="1290"/>
      <c r="M71" s="1286"/>
      <c r="N71" s="1286"/>
      <c r="O71" s="1286"/>
      <c r="P71" s="275"/>
      <c r="Q71" s="273"/>
      <c r="R71" s="274"/>
      <c r="S71" s="1813" t="str">
        <f>INDEX(PT_DIFFERENTIATION_NUM_CS,MATCH(C71,PT_DIFFERENTIATION_CS_ID,0))</f>
        <v>3.1.1</v>
      </c>
      <c r="T71" s="225" t="s">
        <v>654</v>
      </c>
      <c r="U71" s="214"/>
      <c r="V71" s="7675"/>
      <c r="W71" s="7676"/>
      <c r="X71" s="7676"/>
      <c r="Y71" s="7676"/>
      <c r="Z71" s="7676"/>
      <c r="AA71" s="7676"/>
      <c r="AB71" s="7677"/>
      <c r="AC71" s="7675" t="str">
        <f>INDEX(PT_DIFFERENTIATION_CS,MATCH(C71,PT_DIFFERENTIATION_CS_ID,0))</f>
        <v>без дифференциации</v>
      </c>
      <c r="AD71" s="7676"/>
      <c r="AE71" s="7676"/>
      <c r="AF71" s="7676"/>
      <c r="AG71" s="7676"/>
      <c r="AH71" s="7676"/>
      <c r="AI71" s="7676"/>
      <c r="AJ71" s="7675"/>
      <c r="AK71" s="7676"/>
      <c r="AL71" s="7676"/>
      <c r="AM71" s="7676"/>
      <c r="AN71" s="7676"/>
      <c r="AO71" s="7676"/>
      <c r="AP71" s="7677"/>
      <c r="AQ71" s="7675"/>
      <c r="AR71" s="7676"/>
      <c r="AS71" s="7676"/>
      <c r="AT71" s="7676"/>
      <c r="AU71" s="7676"/>
      <c r="AV71" s="7676"/>
      <c r="AW71" s="7677"/>
      <c r="AX71" s="7675"/>
      <c r="AY71" s="7676"/>
      <c r="AZ71" s="7676"/>
      <c r="BA71" s="7676"/>
      <c r="BB71" s="7676"/>
      <c r="BC71" s="7676"/>
      <c r="BD71" s="7677"/>
      <c r="BE71" s="7675"/>
      <c r="BF71" s="7676"/>
      <c r="BG71" s="7676"/>
      <c r="BH71" s="7676"/>
      <c r="BI71" s="7676"/>
      <c r="BJ71" s="7676"/>
      <c r="BK71" s="7677"/>
      <c r="BL71" s="7675"/>
      <c r="BM71" s="7676"/>
      <c r="BN71" s="7676"/>
      <c r="BO71" s="7676"/>
      <c r="BP71" s="7676"/>
      <c r="BQ71" s="7676"/>
      <c r="BR71" s="7677"/>
      <c r="BS71" s="7675"/>
      <c r="BT71" s="7676"/>
      <c r="BU71" s="7676"/>
      <c r="BV71" s="7676"/>
      <c r="BW71" s="7676"/>
      <c r="BX71" s="7676"/>
      <c r="BY71" s="7677"/>
      <c r="BZ71" s="7675"/>
      <c r="CA71" s="7676"/>
      <c r="CB71" s="7676"/>
      <c r="CC71" s="7676"/>
      <c r="CD71" s="7676"/>
      <c r="CE71" s="7676"/>
      <c r="CF71" s="7677"/>
      <c r="CG71" s="7675"/>
      <c r="CH71" s="7676"/>
      <c r="CI71" s="7676"/>
      <c r="CJ71" s="7676"/>
      <c r="CK71" s="7676"/>
      <c r="CL71" s="7676"/>
      <c r="CM71" s="7677"/>
      <c r="CN71" s="7675"/>
      <c r="CO71" s="7676"/>
      <c r="CP71" s="7676"/>
      <c r="CQ71" s="7676"/>
      <c r="CR71" s="7676"/>
      <c r="CS71" s="7676"/>
      <c r="CT71" s="7677"/>
      <c r="CU71" s="7677"/>
      <c r="CV71" s="1182" t="s">
        <v>655</v>
      </c>
      <c r="CW71" s="1562"/>
      <c r="CX71" s="1544"/>
      <c r="CY71" s="1544" t="str">
        <f t="shared" si="1"/>
        <v>Наименование централизованной системы холодного водоснабжения</v>
      </c>
      <c r="CZ71" s="1544"/>
      <c r="DA71" s="1544"/>
    </row>
    <row r="72" spans="1:105" s="1827" customFormat="1" ht="23.25" customHeight="1">
      <c r="A72" s="1284"/>
      <c r="B72" s="1284"/>
      <c r="C72" s="1284"/>
      <c r="D72" s="1284"/>
      <c r="E72" s="7690" t="s">
        <v>100</v>
      </c>
      <c r="F72" s="7690"/>
      <c r="G72" s="7690"/>
      <c r="H72" s="7690"/>
      <c r="I72" s="7687" t="str">
        <f>S71&amp;".1"</f>
        <v>3.1.1.1</v>
      </c>
      <c r="J72" s="1284"/>
      <c r="K72" s="1284"/>
      <c r="L72" s="1290"/>
      <c r="M72" s="1696"/>
      <c r="N72" s="1696"/>
      <c r="O72" s="1696"/>
      <c r="P72" s="7688">
        <v>1</v>
      </c>
      <c r="Q72" s="1816"/>
      <c r="R72" s="277"/>
      <c r="S72" s="1813" t="str">
        <f>$I72</f>
        <v>3.1.1.1</v>
      </c>
      <c r="T72" s="200" t="s">
        <v>656</v>
      </c>
      <c r="U72" s="214"/>
      <c r="V72" s="7748"/>
      <c r="W72" s="7749"/>
      <c r="X72" s="7749"/>
      <c r="Y72" s="7749"/>
      <c r="Z72" s="7749"/>
      <c r="AA72" s="7749"/>
      <c r="AB72" s="7750"/>
      <c r="AC72" s="7751"/>
      <c r="AD72" s="7752"/>
      <c r="AE72" s="7752"/>
      <c r="AF72" s="7752"/>
      <c r="AG72" s="7752"/>
      <c r="AH72" s="7752"/>
      <c r="AI72" s="7752"/>
      <c r="AJ72" s="7748"/>
      <c r="AK72" s="7749"/>
      <c r="AL72" s="7749"/>
      <c r="AM72" s="7749"/>
      <c r="AN72" s="7749"/>
      <c r="AO72" s="7749"/>
      <c r="AP72" s="7750"/>
      <c r="AQ72" s="7748"/>
      <c r="AR72" s="7749"/>
      <c r="AS72" s="7749"/>
      <c r="AT72" s="7749"/>
      <c r="AU72" s="7749"/>
      <c r="AV72" s="7749"/>
      <c r="AW72" s="7750"/>
      <c r="AX72" s="7748"/>
      <c r="AY72" s="7749"/>
      <c r="AZ72" s="7749"/>
      <c r="BA72" s="7749"/>
      <c r="BB72" s="7749"/>
      <c r="BC72" s="7749"/>
      <c r="BD72" s="7750"/>
      <c r="BE72" s="7748"/>
      <c r="BF72" s="7749"/>
      <c r="BG72" s="7749"/>
      <c r="BH72" s="7749"/>
      <c r="BI72" s="7749"/>
      <c r="BJ72" s="7749"/>
      <c r="BK72" s="7750"/>
      <c r="BL72" s="7748"/>
      <c r="BM72" s="7749"/>
      <c r="BN72" s="7749"/>
      <c r="BO72" s="7749"/>
      <c r="BP72" s="7749"/>
      <c r="BQ72" s="7749"/>
      <c r="BR72" s="7750"/>
      <c r="BS72" s="7748"/>
      <c r="BT72" s="7749"/>
      <c r="BU72" s="7749"/>
      <c r="BV72" s="7749"/>
      <c r="BW72" s="7749"/>
      <c r="BX72" s="7749"/>
      <c r="BY72" s="7750"/>
      <c r="BZ72" s="7748"/>
      <c r="CA72" s="7749"/>
      <c r="CB72" s="7749"/>
      <c r="CC72" s="7749"/>
      <c r="CD72" s="7749"/>
      <c r="CE72" s="7749"/>
      <c r="CF72" s="7750"/>
      <c r="CG72" s="7748"/>
      <c r="CH72" s="7749"/>
      <c r="CI72" s="7749"/>
      <c r="CJ72" s="7749"/>
      <c r="CK72" s="7749"/>
      <c r="CL72" s="7749"/>
      <c r="CM72" s="7750"/>
      <c r="CN72" s="7748"/>
      <c r="CO72" s="7749"/>
      <c r="CP72" s="7749"/>
      <c r="CQ72" s="7749"/>
      <c r="CR72" s="7749"/>
      <c r="CS72" s="7749"/>
      <c r="CT72" s="7750"/>
      <c r="CU72" s="7753"/>
      <c r="CV72" s="1182" t="s">
        <v>657</v>
      </c>
      <c r="CW72" s="1562"/>
      <c r="CX72" s="1544"/>
      <c r="CY72" s="1544" t="str">
        <f t="shared" si="1"/>
        <v>Наименование признака дифференциации</v>
      </c>
      <c r="CZ72" s="1544"/>
      <c r="DA72" s="1544"/>
    </row>
    <row r="73" spans="1:105" s="1827" customFormat="1" ht="23.25" customHeight="1">
      <c r="A73" s="1284"/>
      <c r="B73" s="1284"/>
      <c r="C73" s="1284"/>
      <c r="D73" s="1284"/>
      <c r="E73" s="7690" t="s">
        <v>100</v>
      </c>
      <c r="F73" s="7690"/>
      <c r="G73" s="7690"/>
      <c r="H73" s="7690"/>
      <c r="I73" s="7710"/>
      <c r="J73" s="7687" t="str">
        <f>I72&amp;".1"</f>
        <v>3.1.1.1.1</v>
      </c>
      <c r="K73" s="1284"/>
      <c r="L73" s="1290" t="s">
        <v>582</v>
      </c>
      <c r="M73" s="1696"/>
      <c r="N73" s="1696"/>
      <c r="O73" s="1696"/>
      <c r="P73" s="7688"/>
      <c r="Q73" s="7688">
        <v>1</v>
      </c>
      <c r="R73" s="278"/>
      <c r="S73" s="1813" t="str">
        <f>$J73</f>
        <v>3.1.1.1.1</v>
      </c>
      <c r="T73" s="201" t="s">
        <v>583</v>
      </c>
      <c r="U73" s="214"/>
      <c r="V73" s="7678"/>
      <c r="W73" s="7679"/>
      <c r="X73" s="7679"/>
      <c r="Y73" s="7679"/>
      <c r="Z73" s="7679"/>
      <c r="AA73" s="7679"/>
      <c r="AB73" s="7680"/>
      <c r="AC73" s="7678" t="s">
        <v>671</v>
      </c>
      <c r="AD73" s="7679"/>
      <c r="AE73" s="7679"/>
      <c r="AF73" s="7679"/>
      <c r="AG73" s="7679"/>
      <c r="AH73" s="7679"/>
      <c r="AI73" s="7679"/>
      <c r="AJ73" s="7678"/>
      <c r="AK73" s="7679"/>
      <c r="AL73" s="7679"/>
      <c r="AM73" s="7679"/>
      <c r="AN73" s="7679"/>
      <c r="AO73" s="7679"/>
      <c r="AP73" s="7680"/>
      <c r="AQ73" s="7678"/>
      <c r="AR73" s="7679"/>
      <c r="AS73" s="7679"/>
      <c r="AT73" s="7679"/>
      <c r="AU73" s="7679"/>
      <c r="AV73" s="7679"/>
      <c r="AW73" s="7680"/>
      <c r="AX73" s="7678"/>
      <c r="AY73" s="7679"/>
      <c r="AZ73" s="7679"/>
      <c r="BA73" s="7679"/>
      <c r="BB73" s="7679"/>
      <c r="BC73" s="7679"/>
      <c r="BD73" s="7680"/>
      <c r="BE73" s="7678"/>
      <c r="BF73" s="7679"/>
      <c r="BG73" s="7679"/>
      <c r="BH73" s="7679"/>
      <c r="BI73" s="7679"/>
      <c r="BJ73" s="7679"/>
      <c r="BK73" s="7680"/>
      <c r="BL73" s="7678"/>
      <c r="BM73" s="7679"/>
      <c r="BN73" s="7679"/>
      <c r="BO73" s="7679"/>
      <c r="BP73" s="7679"/>
      <c r="BQ73" s="7679"/>
      <c r="BR73" s="7680"/>
      <c r="BS73" s="7678"/>
      <c r="BT73" s="7679"/>
      <c r="BU73" s="7679"/>
      <c r="BV73" s="7679"/>
      <c r="BW73" s="7679"/>
      <c r="BX73" s="7679"/>
      <c r="BY73" s="7680"/>
      <c r="BZ73" s="7678"/>
      <c r="CA73" s="7679"/>
      <c r="CB73" s="7679"/>
      <c r="CC73" s="7679"/>
      <c r="CD73" s="7679"/>
      <c r="CE73" s="7679"/>
      <c r="CF73" s="7680"/>
      <c r="CG73" s="7678"/>
      <c r="CH73" s="7679"/>
      <c r="CI73" s="7679"/>
      <c r="CJ73" s="7679"/>
      <c r="CK73" s="7679"/>
      <c r="CL73" s="7679"/>
      <c r="CM73" s="7680"/>
      <c r="CN73" s="7678"/>
      <c r="CO73" s="7679"/>
      <c r="CP73" s="7679"/>
      <c r="CQ73" s="7679"/>
      <c r="CR73" s="7679"/>
      <c r="CS73" s="7679"/>
      <c r="CT73" s="7680"/>
      <c r="CU73" s="7680"/>
      <c r="CV73" s="1231" t="s">
        <v>658</v>
      </c>
      <c r="CW73" s="1562"/>
      <c r="CX73" s="1544"/>
      <c r="CY73" s="1544" t="str">
        <f t="shared" si="1"/>
        <v>Группа потребителей</v>
      </c>
      <c r="CZ73" s="1544"/>
      <c r="DA73" s="1544"/>
    </row>
    <row r="74" spans="1:105" s="1827" customFormat="1" ht="23.25" customHeight="1">
      <c r="A74" s="1284"/>
      <c r="B74" s="1284"/>
      <c r="C74" s="1284"/>
      <c r="D74" s="1284"/>
      <c r="E74" s="7690" t="s">
        <v>100</v>
      </c>
      <c r="F74" s="7690"/>
      <c r="G74" s="7690"/>
      <c r="H74" s="7690"/>
      <c r="I74" s="7710"/>
      <c r="J74" s="7710"/>
      <c r="K74" s="7687" t="str">
        <f>J73&amp;".1"</f>
        <v>3.1.1.1.1.1</v>
      </c>
      <c r="L74" s="1290"/>
      <c r="M74" s="1696"/>
      <c r="N74" s="1696"/>
      <c r="O74" s="1696"/>
      <c r="P74" s="7688"/>
      <c r="Q74" s="7688"/>
      <c r="R74" s="278">
        <v>1</v>
      </c>
      <c r="S74" s="1813" t="str">
        <f>$K74</f>
        <v>3.1.1.1.1.1</v>
      </c>
      <c r="T74" s="1357" t="s">
        <v>672</v>
      </c>
      <c r="U74" s="214"/>
      <c r="V74" s="666"/>
      <c r="W74" s="666"/>
      <c r="X74" s="1181"/>
      <c r="Y74" s="7692"/>
      <c r="Z74" s="7540" t="s">
        <v>60</v>
      </c>
      <c r="AA74" s="7692"/>
      <c r="AB74" s="7540" t="s">
        <v>60</v>
      </c>
      <c r="AC74" s="666">
        <v>44.72</v>
      </c>
      <c r="AD74" s="666"/>
      <c r="AE74" s="1181"/>
      <c r="AF74" s="7692">
        <v>45292</v>
      </c>
      <c r="AG74" s="7540" t="s">
        <v>60</v>
      </c>
      <c r="AH74" s="7711">
        <v>45473</v>
      </c>
      <c r="AI74" s="7540" t="s">
        <v>60</v>
      </c>
      <c r="AJ74" s="666">
        <v>48.74</v>
      </c>
      <c r="AK74" s="666"/>
      <c r="AL74" s="1181"/>
      <c r="AM74" s="7692">
        <v>45474</v>
      </c>
      <c r="AN74" s="7540" t="s">
        <v>60</v>
      </c>
      <c r="AO74" s="7692">
        <v>45657</v>
      </c>
      <c r="AP74" s="7540" t="s">
        <v>60</v>
      </c>
      <c r="AQ74" s="666">
        <v>48.74</v>
      </c>
      <c r="AR74" s="666"/>
      <c r="AS74" s="1181"/>
      <c r="AT74" s="7692">
        <v>45658</v>
      </c>
      <c r="AU74" s="7540" t="s">
        <v>60</v>
      </c>
      <c r="AV74" s="7692">
        <v>45838</v>
      </c>
      <c r="AW74" s="7540" t="s">
        <v>60</v>
      </c>
      <c r="AX74" s="666">
        <v>51.52</v>
      </c>
      <c r="AY74" s="666"/>
      <c r="AZ74" s="1181"/>
      <c r="BA74" s="7692">
        <v>45839</v>
      </c>
      <c r="BB74" s="7540" t="s">
        <v>60</v>
      </c>
      <c r="BC74" s="7692">
        <v>46022</v>
      </c>
      <c r="BD74" s="7540" t="s">
        <v>60</v>
      </c>
      <c r="BE74" s="666">
        <v>51.52</v>
      </c>
      <c r="BF74" s="666"/>
      <c r="BG74" s="1181"/>
      <c r="BH74" s="7692">
        <v>46023</v>
      </c>
      <c r="BI74" s="7540" t="s">
        <v>60</v>
      </c>
      <c r="BJ74" s="7692">
        <v>46203</v>
      </c>
      <c r="BK74" s="7540" t="s">
        <v>60</v>
      </c>
      <c r="BL74" s="666">
        <v>53.58</v>
      </c>
      <c r="BM74" s="666"/>
      <c r="BN74" s="1181"/>
      <c r="BO74" s="7692">
        <v>46204</v>
      </c>
      <c r="BP74" s="7540" t="s">
        <v>60</v>
      </c>
      <c r="BQ74" s="7692">
        <v>46387</v>
      </c>
      <c r="BR74" s="7540" t="s">
        <v>60</v>
      </c>
      <c r="BS74" s="666">
        <v>53.58</v>
      </c>
      <c r="BT74" s="666"/>
      <c r="BU74" s="1181"/>
      <c r="BV74" s="7692">
        <v>46388</v>
      </c>
      <c r="BW74" s="7540" t="s">
        <v>60</v>
      </c>
      <c r="BX74" s="7692">
        <v>46568</v>
      </c>
      <c r="BY74" s="7540" t="s">
        <v>60</v>
      </c>
      <c r="BZ74" s="666">
        <v>55.72</v>
      </c>
      <c r="CA74" s="666"/>
      <c r="CB74" s="1181"/>
      <c r="CC74" s="7692">
        <v>46569</v>
      </c>
      <c r="CD74" s="7540" t="s">
        <v>60</v>
      </c>
      <c r="CE74" s="7692">
        <v>46752</v>
      </c>
      <c r="CF74" s="7540" t="s">
        <v>60</v>
      </c>
      <c r="CG74" s="666">
        <v>55.72</v>
      </c>
      <c r="CH74" s="666"/>
      <c r="CI74" s="1181"/>
      <c r="CJ74" s="7692">
        <v>46753</v>
      </c>
      <c r="CK74" s="7540" t="s">
        <v>60</v>
      </c>
      <c r="CL74" s="7692">
        <v>46934</v>
      </c>
      <c r="CM74" s="7540" t="s">
        <v>60</v>
      </c>
      <c r="CN74" s="666">
        <v>57.95</v>
      </c>
      <c r="CO74" s="666"/>
      <c r="CP74" s="1181"/>
      <c r="CQ74" s="7692">
        <v>46935</v>
      </c>
      <c r="CR74" s="7540" t="s">
        <v>60</v>
      </c>
      <c r="CS74" s="7692">
        <v>47118</v>
      </c>
      <c r="CT74" s="7540" t="s">
        <v>60</v>
      </c>
      <c r="CU74" s="1358"/>
      <c r="CV74"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4" s="1562" t="e">
        <f ca="1">STRCHECKDATE(V75:CU75)</f>
        <v>#NAME?</v>
      </c>
      <c r="CX74" s="1544"/>
      <c r="CY74" s="1544" t="str">
        <f t="shared" si="1"/>
        <v>Тариф для населения, руб. за 1 куб. метр с НДС</v>
      </c>
      <c r="CZ74" s="1544"/>
      <c r="DA74" s="1544"/>
    </row>
    <row r="75" spans="1:105" s="1827" customFormat="1" ht="14.25" customHeight="1">
      <c r="A75" s="1284"/>
      <c r="B75" s="1284"/>
      <c r="C75" s="1284"/>
      <c r="D75" s="1284"/>
      <c r="E75" s="7690" t="s">
        <v>100</v>
      </c>
      <c r="F75" s="7690"/>
      <c r="G75" s="7690"/>
      <c r="H75" s="7690"/>
      <c r="I75" s="7710"/>
      <c r="J75" s="7710"/>
      <c r="K75" s="7687"/>
      <c r="L75" s="1290"/>
      <c r="M75" s="1696"/>
      <c r="N75" s="1696"/>
      <c r="O75" s="1696"/>
      <c r="P75" s="7688"/>
      <c r="Q75" s="7688"/>
      <c r="R75" s="278"/>
      <c r="S75" s="1822"/>
      <c r="T75" s="214"/>
      <c r="U75" s="214"/>
      <c r="V75" s="246"/>
      <c r="W75" s="246"/>
      <c r="X75" s="250" t="str">
        <f>Y74&amp;"-"&amp;AA74</f>
        <v>-</v>
      </c>
      <c r="Y75" s="7693"/>
      <c r="Z75" s="7540"/>
      <c r="AA75" s="7693"/>
      <c r="AB75" s="7540"/>
      <c r="AC75" s="246"/>
      <c r="AD75" s="246"/>
      <c r="AE75" s="250" t="str">
        <f>AF74&amp;"-"&amp;AH74</f>
        <v>45292-45473</v>
      </c>
      <c r="AF75" s="7693"/>
      <c r="AG75" s="7540"/>
      <c r="AH75" s="7712"/>
      <c r="AI75" s="7540"/>
      <c r="AJ75" s="246"/>
      <c r="AK75" s="246"/>
      <c r="AL75" s="250" t="str">
        <f>AM74&amp;"-"&amp;AO74</f>
        <v>45474-45657</v>
      </c>
      <c r="AM75" s="7693"/>
      <c r="AN75" s="7540"/>
      <c r="AO75" s="7693"/>
      <c r="AP75" s="7540"/>
      <c r="AQ75" s="246"/>
      <c r="AR75" s="246"/>
      <c r="AS75" s="250" t="str">
        <f>AT74&amp;"-"&amp;AV74</f>
        <v>45658-45838</v>
      </c>
      <c r="AT75" s="7693"/>
      <c r="AU75" s="7540"/>
      <c r="AV75" s="7693"/>
      <c r="AW75" s="7540"/>
      <c r="AX75" s="246"/>
      <c r="AY75" s="246"/>
      <c r="AZ75" s="250" t="str">
        <f>BA74&amp;"-"&amp;BC74</f>
        <v>45839-46022</v>
      </c>
      <c r="BA75" s="7693"/>
      <c r="BB75" s="7540"/>
      <c r="BC75" s="7693"/>
      <c r="BD75" s="7540"/>
      <c r="BE75" s="246"/>
      <c r="BF75" s="246"/>
      <c r="BG75" s="250" t="str">
        <f>BH74&amp;"-"&amp;BJ74</f>
        <v>46023-46203</v>
      </c>
      <c r="BH75" s="7693"/>
      <c r="BI75" s="7540"/>
      <c r="BJ75" s="7693"/>
      <c r="BK75" s="7540"/>
      <c r="BL75" s="246"/>
      <c r="BM75" s="246"/>
      <c r="BN75" s="250" t="str">
        <f>BO74&amp;"-"&amp;BQ74</f>
        <v>46204-46387</v>
      </c>
      <c r="BO75" s="7693"/>
      <c r="BP75" s="7540"/>
      <c r="BQ75" s="7693"/>
      <c r="BR75" s="7540"/>
      <c r="BS75" s="246"/>
      <c r="BT75" s="246"/>
      <c r="BU75" s="250" t="str">
        <f>BV74&amp;"-"&amp;BX74</f>
        <v>46388-46568</v>
      </c>
      <c r="BV75" s="7693"/>
      <c r="BW75" s="7540"/>
      <c r="BX75" s="7693"/>
      <c r="BY75" s="7540"/>
      <c r="BZ75" s="246"/>
      <c r="CA75" s="246"/>
      <c r="CB75" s="250" t="str">
        <f>CC74&amp;"-"&amp;CE74</f>
        <v>46569-46752</v>
      </c>
      <c r="CC75" s="7693"/>
      <c r="CD75" s="7540"/>
      <c r="CE75" s="7693"/>
      <c r="CF75" s="7540"/>
      <c r="CG75" s="246"/>
      <c r="CH75" s="246"/>
      <c r="CI75" s="250" t="str">
        <f>CJ74&amp;"-"&amp;CL74</f>
        <v>46753-46934</v>
      </c>
      <c r="CJ75" s="7693"/>
      <c r="CK75" s="7540"/>
      <c r="CL75" s="7693"/>
      <c r="CM75" s="7540"/>
      <c r="CN75" s="246"/>
      <c r="CO75" s="246"/>
      <c r="CP75" s="250" t="str">
        <f>CQ74&amp;"-"&amp;CS74</f>
        <v>46935-47118</v>
      </c>
      <c r="CQ75" s="7693"/>
      <c r="CR75" s="7540"/>
      <c r="CS75" s="7693"/>
      <c r="CT75" s="7540"/>
      <c r="CU75" s="1359"/>
      <c r="CV75" s="7747"/>
      <c r="CW75" s="1562"/>
      <c r="CX75" s="1544"/>
      <c r="CY75" s="1544" t="str">
        <f t="shared" si="1"/>
        <v/>
      </c>
      <c r="CZ75" s="1544"/>
      <c r="DA75" s="1544"/>
    </row>
    <row r="76" spans="1:105" s="1827" customFormat="1" ht="21" customHeight="1">
      <c r="A76" s="1284"/>
      <c r="B76" s="1284"/>
      <c r="C76" s="1284"/>
      <c r="D76" s="1284"/>
      <c r="E76" s="7690" t="s">
        <v>100</v>
      </c>
      <c r="F76" s="7690"/>
      <c r="G76" s="7690"/>
      <c r="H76" s="7690"/>
      <c r="I76" s="7710"/>
      <c r="J76" s="7687"/>
      <c r="K76" s="1284"/>
      <c r="L76" s="1290"/>
      <c r="M76" s="1696"/>
      <c r="N76" s="1696"/>
      <c r="O76" s="1696"/>
      <c r="P76" s="7688"/>
      <c r="Q76" s="7688"/>
      <c r="R76" s="277"/>
      <c r="S76" s="2569"/>
      <c r="T76" s="2570" t="s">
        <v>659</v>
      </c>
      <c r="U76" s="2571"/>
      <c r="V76" s="2572"/>
      <c r="W76" s="2573"/>
      <c r="X76" s="2574"/>
      <c r="Y76" s="2575"/>
      <c r="Z76" s="2576"/>
      <c r="AA76" s="2577"/>
      <c r="AB76" s="2578"/>
      <c r="AC76" s="2579"/>
      <c r="AD76" s="2580"/>
      <c r="AE76" s="2581"/>
      <c r="AF76" s="2582"/>
      <c r="AG76" s="2583"/>
      <c r="AH76" s="2584"/>
      <c r="AI76" s="2585"/>
      <c r="AJ76" s="2586"/>
      <c r="AK76" s="2587"/>
      <c r="AL76" s="2588"/>
      <c r="AM76" s="2589"/>
      <c r="AN76" s="2590"/>
      <c r="AO76" s="2591"/>
      <c r="AP76" s="2592"/>
      <c r="AQ76" s="2593"/>
      <c r="AR76" s="2594"/>
      <c r="AS76" s="2595"/>
      <c r="AT76" s="2596"/>
      <c r="AU76" s="2597"/>
      <c r="AV76" s="2598"/>
      <c r="AW76" s="2599"/>
      <c r="AX76" s="2600"/>
      <c r="AY76" s="2601"/>
      <c r="AZ76" s="2602"/>
      <c r="BA76" s="2603"/>
      <c r="BB76" s="2604"/>
      <c r="BC76" s="2605"/>
      <c r="BD76" s="2606"/>
      <c r="BE76" s="2607"/>
      <c r="BF76" s="2608"/>
      <c r="BG76" s="2609"/>
      <c r="BH76" s="2610"/>
      <c r="BI76" s="2611"/>
      <c r="BJ76" s="2612"/>
      <c r="BK76" s="2613"/>
      <c r="BL76" s="2614"/>
      <c r="BM76" s="2615"/>
      <c r="BN76" s="2616"/>
      <c r="BO76" s="2617"/>
      <c r="BP76" s="2618"/>
      <c r="BQ76" s="2619"/>
      <c r="BR76" s="2620"/>
      <c r="BS76" s="2621"/>
      <c r="BT76" s="2622"/>
      <c r="BU76" s="2623"/>
      <c r="BV76" s="2624"/>
      <c r="BW76" s="2625"/>
      <c r="BX76" s="2626"/>
      <c r="BY76" s="2627"/>
      <c r="BZ76" s="2628"/>
      <c r="CA76" s="2629"/>
      <c r="CB76" s="2630"/>
      <c r="CC76" s="2631"/>
      <c r="CD76" s="2632"/>
      <c r="CE76" s="2633"/>
      <c r="CF76" s="2634"/>
      <c r="CG76" s="2635"/>
      <c r="CH76" s="2636"/>
      <c r="CI76" s="2637"/>
      <c r="CJ76" s="2638"/>
      <c r="CK76" s="2639"/>
      <c r="CL76" s="2640"/>
      <c r="CM76" s="2641"/>
      <c r="CN76" s="2642"/>
      <c r="CO76" s="2643"/>
      <c r="CP76" s="2644"/>
      <c r="CQ76" s="2645"/>
      <c r="CR76" s="2646"/>
      <c r="CS76" s="2647"/>
      <c r="CT76" s="2648"/>
      <c r="CU76" s="2649"/>
      <c r="CV76" s="1182" t="s">
        <v>660</v>
      </c>
      <c r="CW76" s="1562"/>
      <c r="CX76" s="1544"/>
      <c r="CY76" s="1544" t="str">
        <f t="shared" si="1"/>
        <v>Добавить значение признака дифференциации</v>
      </c>
      <c r="CZ76" s="1544"/>
      <c r="DA76" s="1544"/>
    </row>
    <row r="77" spans="1:105" s="1827" customFormat="1" ht="23.25" customHeight="1">
      <c r="A77" s="1284"/>
      <c r="B77" s="1284"/>
      <c r="C77" s="1284"/>
      <c r="D77" s="1284"/>
      <c r="E77" s="7690"/>
      <c r="F77" s="7690"/>
      <c r="G77" s="7690"/>
      <c r="H77" s="7690"/>
      <c r="I77" s="7710"/>
      <c r="J77" s="7687" t="str">
        <f>I72&amp;".2"</f>
        <v>3.1.1.1.2</v>
      </c>
      <c r="K77" s="1284"/>
      <c r="L77" s="1290" t="s">
        <v>582</v>
      </c>
      <c r="M77" s="1696"/>
      <c r="N77" s="1696"/>
      <c r="O77" s="1696"/>
      <c r="P77" s="7688"/>
      <c r="Q77" s="7754" t="s">
        <v>101</v>
      </c>
      <c r="R77" s="278"/>
      <c r="S77" s="1813" t="str">
        <f>$J77</f>
        <v>3.1.1.1.2</v>
      </c>
      <c r="T77" s="201" t="s">
        <v>583</v>
      </c>
      <c r="U77" s="214"/>
      <c r="V77" s="7678"/>
      <c r="W77" s="7679"/>
      <c r="X77" s="7679"/>
      <c r="Y77" s="7679"/>
      <c r="Z77" s="7679"/>
      <c r="AA77" s="7679"/>
      <c r="AB77" s="7680"/>
      <c r="AC77" s="7678" t="s">
        <v>669</v>
      </c>
      <c r="AD77" s="7679"/>
      <c r="AE77" s="7679"/>
      <c r="AF77" s="7679"/>
      <c r="AG77" s="7679"/>
      <c r="AH77" s="7679"/>
      <c r="AI77" s="7679"/>
      <c r="AJ77" s="7678"/>
      <c r="AK77" s="7679"/>
      <c r="AL77" s="7679"/>
      <c r="AM77" s="7679"/>
      <c r="AN77" s="7679"/>
      <c r="AO77" s="7679"/>
      <c r="AP77" s="7680"/>
      <c r="AQ77" s="7678"/>
      <c r="AR77" s="7679"/>
      <c r="AS77" s="7679"/>
      <c r="AT77" s="7679"/>
      <c r="AU77" s="7679"/>
      <c r="AV77" s="7679"/>
      <c r="AW77" s="7680"/>
      <c r="AX77" s="7678"/>
      <c r="AY77" s="7679"/>
      <c r="AZ77" s="7679"/>
      <c r="BA77" s="7679"/>
      <c r="BB77" s="7679"/>
      <c r="BC77" s="7679"/>
      <c r="BD77" s="7680"/>
      <c r="BE77" s="7678"/>
      <c r="BF77" s="7679"/>
      <c r="BG77" s="7679"/>
      <c r="BH77" s="7679"/>
      <c r="BI77" s="7679"/>
      <c r="BJ77" s="7679"/>
      <c r="BK77" s="7680"/>
      <c r="BL77" s="7678"/>
      <c r="BM77" s="7679"/>
      <c r="BN77" s="7679"/>
      <c r="BO77" s="7679"/>
      <c r="BP77" s="7679"/>
      <c r="BQ77" s="7679"/>
      <c r="BR77" s="7680"/>
      <c r="BS77" s="7678"/>
      <c r="BT77" s="7679"/>
      <c r="BU77" s="7679"/>
      <c r="BV77" s="7679"/>
      <c r="BW77" s="7679"/>
      <c r="BX77" s="7679"/>
      <c r="BY77" s="7680"/>
      <c r="BZ77" s="7678"/>
      <c r="CA77" s="7679"/>
      <c r="CB77" s="7679"/>
      <c r="CC77" s="7679"/>
      <c r="CD77" s="7679"/>
      <c r="CE77" s="7679"/>
      <c r="CF77" s="7680"/>
      <c r="CG77" s="7678"/>
      <c r="CH77" s="7679"/>
      <c r="CI77" s="7679"/>
      <c r="CJ77" s="7679"/>
      <c r="CK77" s="7679"/>
      <c r="CL77" s="7679"/>
      <c r="CM77" s="7680"/>
      <c r="CN77" s="7678"/>
      <c r="CO77" s="7679"/>
      <c r="CP77" s="7679"/>
      <c r="CQ77" s="7679"/>
      <c r="CR77" s="7679"/>
      <c r="CS77" s="7679"/>
      <c r="CT77" s="7680"/>
      <c r="CU77" s="7680"/>
      <c r="CV77" s="1231" t="s">
        <v>658</v>
      </c>
      <c r="CW77" s="1562"/>
      <c r="CX77" s="1544"/>
      <c r="CY77" s="1544" t="str">
        <f t="shared" si="1"/>
        <v>Группа потребителей</v>
      </c>
      <c r="CZ77" s="1544"/>
      <c r="DA77" s="1544"/>
    </row>
    <row r="78" spans="1:105" s="1827" customFormat="1" ht="23.25" customHeight="1">
      <c r="A78" s="1284"/>
      <c r="B78" s="1284"/>
      <c r="C78" s="1284"/>
      <c r="D78" s="1284"/>
      <c r="E78" s="7690"/>
      <c r="F78" s="7690"/>
      <c r="G78" s="7690"/>
      <c r="H78" s="7690"/>
      <c r="I78" s="7710"/>
      <c r="J78" s="7710" t="str">
        <f>I72&amp;".1"</f>
        <v>3.1.1.1.1</v>
      </c>
      <c r="K78" s="7687" t="str">
        <f>J77&amp;".1"</f>
        <v>3.1.1.1.2.1</v>
      </c>
      <c r="L78" s="1290"/>
      <c r="M78" s="1696"/>
      <c r="N78" s="1696"/>
      <c r="O78" s="1696"/>
      <c r="P78" s="7688"/>
      <c r="Q78" s="7688"/>
      <c r="R78" s="278">
        <v>1</v>
      </c>
      <c r="S78" s="1813" t="str">
        <f>$K78</f>
        <v>3.1.1.1.2.1</v>
      </c>
      <c r="T78" s="1357" t="s">
        <v>670</v>
      </c>
      <c r="U78" s="214"/>
      <c r="V78" s="666"/>
      <c r="W78" s="666"/>
      <c r="X78" s="1181"/>
      <c r="Y78" s="7692"/>
      <c r="Z78" s="7540" t="s">
        <v>60</v>
      </c>
      <c r="AA78" s="7692"/>
      <c r="AB78" s="7540" t="s">
        <v>60</v>
      </c>
      <c r="AC78" s="666">
        <v>61.08</v>
      </c>
      <c r="AD78" s="666"/>
      <c r="AE78" s="1181"/>
      <c r="AF78" s="7692">
        <v>45292</v>
      </c>
      <c r="AG78" s="7540" t="s">
        <v>60</v>
      </c>
      <c r="AH78" s="7711">
        <v>45473</v>
      </c>
      <c r="AI78" s="7540" t="s">
        <v>60</v>
      </c>
      <c r="AJ78" s="666">
        <v>84.09</v>
      </c>
      <c r="AK78" s="666"/>
      <c r="AL78" s="1181"/>
      <c r="AM78" s="7692">
        <v>45474</v>
      </c>
      <c r="AN78" s="7540" t="s">
        <v>60</v>
      </c>
      <c r="AO78" s="7692">
        <v>45657</v>
      </c>
      <c r="AP78" s="7540" t="s">
        <v>60</v>
      </c>
      <c r="AQ78" s="666">
        <v>77.19</v>
      </c>
      <c r="AR78" s="666"/>
      <c r="AS78" s="1181"/>
      <c r="AT78" s="7692">
        <v>45658</v>
      </c>
      <c r="AU78" s="7540" t="s">
        <v>60</v>
      </c>
      <c r="AV78" s="7692">
        <v>45838</v>
      </c>
      <c r="AW78" s="7540" t="s">
        <v>60</v>
      </c>
      <c r="AX78" s="666">
        <v>77.19</v>
      </c>
      <c r="AY78" s="666"/>
      <c r="AZ78" s="1181"/>
      <c r="BA78" s="7692">
        <v>45839</v>
      </c>
      <c r="BB78" s="7540" t="s">
        <v>60</v>
      </c>
      <c r="BC78" s="7692">
        <v>46022</v>
      </c>
      <c r="BD78" s="7540" t="s">
        <v>60</v>
      </c>
      <c r="BE78" s="666">
        <v>77.19</v>
      </c>
      <c r="BF78" s="666"/>
      <c r="BG78" s="1181"/>
      <c r="BH78" s="7692">
        <v>46023</v>
      </c>
      <c r="BI78" s="7540" t="s">
        <v>60</v>
      </c>
      <c r="BJ78" s="7692">
        <v>46203</v>
      </c>
      <c r="BK78" s="7540" t="s">
        <v>60</v>
      </c>
      <c r="BL78" s="666">
        <v>77.97</v>
      </c>
      <c r="BM78" s="666"/>
      <c r="BN78" s="1181"/>
      <c r="BO78" s="7692">
        <v>46204</v>
      </c>
      <c r="BP78" s="7540" t="s">
        <v>60</v>
      </c>
      <c r="BQ78" s="7692">
        <v>46387</v>
      </c>
      <c r="BR78" s="7540" t="s">
        <v>60</v>
      </c>
      <c r="BS78" s="666">
        <v>77.97</v>
      </c>
      <c r="BT78" s="666"/>
      <c r="BU78" s="1181"/>
      <c r="BV78" s="7692">
        <v>46388</v>
      </c>
      <c r="BW78" s="7540" t="s">
        <v>60</v>
      </c>
      <c r="BX78" s="7692">
        <v>46568</v>
      </c>
      <c r="BY78" s="7540" t="s">
        <v>60</v>
      </c>
      <c r="BZ78" s="666">
        <v>82.24</v>
      </c>
      <c r="CA78" s="666"/>
      <c r="CB78" s="1181"/>
      <c r="CC78" s="7692">
        <v>46569</v>
      </c>
      <c r="CD78" s="7540" t="s">
        <v>60</v>
      </c>
      <c r="CE78" s="7692">
        <v>46752</v>
      </c>
      <c r="CF78" s="7540" t="s">
        <v>60</v>
      </c>
      <c r="CG78" s="666">
        <v>82.24</v>
      </c>
      <c r="CH78" s="666"/>
      <c r="CI78" s="1181"/>
      <c r="CJ78" s="7692">
        <v>46753</v>
      </c>
      <c r="CK78" s="7540" t="s">
        <v>60</v>
      </c>
      <c r="CL78" s="7692">
        <v>46934</v>
      </c>
      <c r="CM78" s="7540" t="s">
        <v>60</v>
      </c>
      <c r="CN78" s="666">
        <v>84.74</v>
      </c>
      <c r="CO78" s="666"/>
      <c r="CP78" s="1181"/>
      <c r="CQ78" s="7692">
        <v>46935</v>
      </c>
      <c r="CR78" s="7540" t="s">
        <v>60</v>
      </c>
      <c r="CS78" s="7692">
        <v>47118</v>
      </c>
      <c r="CT78" s="7540" t="s">
        <v>60</v>
      </c>
      <c r="CU78" s="1358"/>
      <c r="CV78"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8" s="1562" t="e">
        <f ca="1">STRCHECKDATE(V79:CU79)</f>
        <v>#NAME?</v>
      </c>
      <c r="CX78" s="1544"/>
      <c r="CY78" s="1544" t="str">
        <f t="shared" si="1"/>
        <v>Тариф, руб. за 1 куб. метр без НДС</v>
      </c>
      <c r="CZ78" s="1544"/>
      <c r="DA78" s="1544"/>
    </row>
    <row r="79" spans="1:105" s="1827" customFormat="1" ht="14.25" customHeight="1">
      <c r="A79" s="1284"/>
      <c r="B79" s="1284"/>
      <c r="C79" s="1284"/>
      <c r="D79" s="1284"/>
      <c r="E79" s="7690"/>
      <c r="F79" s="7690"/>
      <c r="G79" s="7690"/>
      <c r="H79" s="7690"/>
      <c r="I79" s="7710"/>
      <c r="J79" s="7710" t="str">
        <f>I72&amp;".1"</f>
        <v>3.1.1.1.1</v>
      </c>
      <c r="K79" s="7687"/>
      <c r="L79" s="1290"/>
      <c r="M79" s="1696"/>
      <c r="N79" s="1696"/>
      <c r="O79" s="1696"/>
      <c r="P79" s="7688"/>
      <c r="Q79" s="7688"/>
      <c r="R79" s="278"/>
      <c r="S79" s="1822"/>
      <c r="T79" s="214"/>
      <c r="U79" s="214"/>
      <c r="V79" s="246"/>
      <c r="W79" s="246"/>
      <c r="X79" s="250" t="str">
        <f>Y78&amp;"-"&amp;AA78</f>
        <v>-</v>
      </c>
      <c r="Y79" s="7693"/>
      <c r="Z79" s="7540"/>
      <c r="AA79" s="7693"/>
      <c r="AB79" s="7540"/>
      <c r="AC79" s="246"/>
      <c r="AD79" s="246"/>
      <c r="AE79" s="250" t="str">
        <f>AF78&amp;"-"&amp;AH78</f>
        <v>45292-45473</v>
      </c>
      <c r="AF79" s="7693"/>
      <c r="AG79" s="7540"/>
      <c r="AH79" s="7712"/>
      <c r="AI79" s="7540"/>
      <c r="AJ79" s="246"/>
      <c r="AK79" s="246"/>
      <c r="AL79" s="250" t="str">
        <f>AM78&amp;"-"&amp;AO78</f>
        <v>45474-45657</v>
      </c>
      <c r="AM79" s="7693"/>
      <c r="AN79" s="7540"/>
      <c r="AO79" s="7693"/>
      <c r="AP79" s="7540"/>
      <c r="AQ79" s="246"/>
      <c r="AR79" s="246"/>
      <c r="AS79" s="250" t="str">
        <f>AT78&amp;"-"&amp;AV78</f>
        <v>45658-45838</v>
      </c>
      <c r="AT79" s="7693"/>
      <c r="AU79" s="7540"/>
      <c r="AV79" s="7693"/>
      <c r="AW79" s="7540"/>
      <c r="AX79" s="246"/>
      <c r="AY79" s="246"/>
      <c r="AZ79" s="250" t="str">
        <f>BA78&amp;"-"&amp;BC78</f>
        <v>45839-46022</v>
      </c>
      <c r="BA79" s="7693"/>
      <c r="BB79" s="7540"/>
      <c r="BC79" s="7693"/>
      <c r="BD79" s="7540"/>
      <c r="BE79" s="246"/>
      <c r="BF79" s="246"/>
      <c r="BG79" s="250" t="str">
        <f>BH78&amp;"-"&amp;BJ78</f>
        <v>46023-46203</v>
      </c>
      <c r="BH79" s="7693"/>
      <c r="BI79" s="7540"/>
      <c r="BJ79" s="7693"/>
      <c r="BK79" s="7540"/>
      <c r="BL79" s="246"/>
      <c r="BM79" s="246"/>
      <c r="BN79" s="250" t="str">
        <f>BO78&amp;"-"&amp;BQ78</f>
        <v>46204-46387</v>
      </c>
      <c r="BO79" s="7693"/>
      <c r="BP79" s="7540"/>
      <c r="BQ79" s="7693"/>
      <c r="BR79" s="7540"/>
      <c r="BS79" s="246"/>
      <c r="BT79" s="246"/>
      <c r="BU79" s="250" t="str">
        <f>BV78&amp;"-"&amp;BX78</f>
        <v>46388-46568</v>
      </c>
      <c r="BV79" s="7693"/>
      <c r="BW79" s="7540"/>
      <c r="BX79" s="7693"/>
      <c r="BY79" s="7540"/>
      <c r="BZ79" s="246"/>
      <c r="CA79" s="246"/>
      <c r="CB79" s="250" t="str">
        <f>CC78&amp;"-"&amp;CE78</f>
        <v>46569-46752</v>
      </c>
      <c r="CC79" s="7693"/>
      <c r="CD79" s="7540"/>
      <c r="CE79" s="7693"/>
      <c r="CF79" s="7540"/>
      <c r="CG79" s="246"/>
      <c r="CH79" s="246"/>
      <c r="CI79" s="250" t="str">
        <f>CJ78&amp;"-"&amp;CL78</f>
        <v>46753-46934</v>
      </c>
      <c r="CJ79" s="7693"/>
      <c r="CK79" s="7540"/>
      <c r="CL79" s="7693"/>
      <c r="CM79" s="7540"/>
      <c r="CN79" s="246"/>
      <c r="CO79" s="246"/>
      <c r="CP79" s="250" t="str">
        <f>CQ78&amp;"-"&amp;CS78</f>
        <v>46935-47118</v>
      </c>
      <c r="CQ79" s="7693"/>
      <c r="CR79" s="7540"/>
      <c r="CS79" s="7693"/>
      <c r="CT79" s="7540"/>
      <c r="CU79" s="1359"/>
      <c r="CV79" s="7747"/>
      <c r="CW79" s="1562"/>
      <c r="CX79" s="1544"/>
      <c r="CY79" s="1544" t="str">
        <f t="shared" si="1"/>
        <v/>
      </c>
      <c r="CZ79" s="1544"/>
      <c r="DA79" s="1544"/>
    </row>
    <row r="80" spans="1:105" s="1827" customFormat="1" ht="21" customHeight="1">
      <c r="A80" s="1284"/>
      <c r="B80" s="1284"/>
      <c r="C80" s="1284"/>
      <c r="D80" s="1284"/>
      <c r="E80" s="7690"/>
      <c r="F80" s="7690"/>
      <c r="G80" s="7690"/>
      <c r="H80" s="7690"/>
      <c r="I80" s="7710"/>
      <c r="J80" s="7687" t="str">
        <f>I72&amp;".1"</f>
        <v>3.1.1.1.1</v>
      </c>
      <c r="K80" s="1284"/>
      <c r="L80" s="1290"/>
      <c r="M80" s="1696"/>
      <c r="N80" s="1696"/>
      <c r="O80" s="1696"/>
      <c r="P80" s="7688"/>
      <c r="Q80" s="7688"/>
      <c r="R80" s="277"/>
      <c r="S80" s="2650"/>
      <c r="T80" s="2651" t="s">
        <v>659</v>
      </c>
      <c r="U80" s="2652"/>
      <c r="V80" s="2653"/>
      <c r="W80" s="2654"/>
      <c r="X80" s="2655"/>
      <c r="Y80" s="2656"/>
      <c r="Z80" s="2657"/>
      <c r="AA80" s="2658"/>
      <c r="AB80" s="2659"/>
      <c r="AC80" s="2660"/>
      <c r="AD80" s="2661"/>
      <c r="AE80" s="2662"/>
      <c r="AF80" s="2663"/>
      <c r="AG80" s="2664"/>
      <c r="AH80" s="2665"/>
      <c r="AI80" s="2666"/>
      <c r="AJ80" s="2667"/>
      <c r="AK80" s="2668"/>
      <c r="AL80" s="2669"/>
      <c r="AM80" s="2670"/>
      <c r="AN80" s="2671"/>
      <c r="AO80" s="2672"/>
      <c r="AP80" s="2673"/>
      <c r="AQ80" s="2674"/>
      <c r="AR80" s="2675"/>
      <c r="AS80" s="2676"/>
      <c r="AT80" s="2677"/>
      <c r="AU80" s="2678"/>
      <c r="AV80" s="2679"/>
      <c r="AW80" s="2680"/>
      <c r="AX80" s="2681"/>
      <c r="AY80" s="2682"/>
      <c r="AZ80" s="2683"/>
      <c r="BA80" s="2684"/>
      <c r="BB80" s="2685"/>
      <c r="BC80" s="2686"/>
      <c r="BD80" s="2687"/>
      <c r="BE80" s="2688"/>
      <c r="BF80" s="2689"/>
      <c r="BG80" s="2690"/>
      <c r="BH80" s="2691"/>
      <c r="BI80" s="2692"/>
      <c r="BJ80" s="2693"/>
      <c r="BK80" s="2694"/>
      <c r="BL80" s="2695"/>
      <c r="BM80" s="2696"/>
      <c r="BN80" s="2697"/>
      <c r="BO80" s="2698"/>
      <c r="BP80" s="2699"/>
      <c r="BQ80" s="2700"/>
      <c r="BR80" s="2701"/>
      <c r="BS80" s="2702"/>
      <c r="BT80" s="2703"/>
      <c r="BU80" s="2704"/>
      <c r="BV80" s="2705"/>
      <c r="BW80" s="2706"/>
      <c r="BX80" s="2707"/>
      <c r="BY80" s="2708"/>
      <c r="BZ80" s="2709"/>
      <c r="CA80" s="2710"/>
      <c r="CB80" s="2711"/>
      <c r="CC80" s="2712"/>
      <c r="CD80" s="2713"/>
      <c r="CE80" s="2714"/>
      <c r="CF80" s="2715"/>
      <c r="CG80" s="2716"/>
      <c r="CH80" s="2717"/>
      <c r="CI80" s="2718"/>
      <c r="CJ80" s="2719"/>
      <c r="CK80" s="2720"/>
      <c r="CL80" s="2721"/>
      <c r="CM80" s="2722"/>
      <c r="CN80" s="2723"/>
      <c r="CO80" s="2724"/>
      <c r="CP80" s="2725"/>
      <c r="CQ80" s="2726"/>
      <c r="CR80" s="2727"/>
      <c r="CS80" s="2728"/>
      <c r="CT80" s="2729"/>
      <c r="CU80" s="2730"/>
      <c r="CV80" s="1182" t="s">
        <v>660</v>
      </c>
      <c r="CW80" s="1562"/>
      <c r="CX80" s="1544"/>
      <c r="CY80" s="1544" t="str">
        <f t="shared" si="1"/>
        <v>Добавить значение признака дифференциации</v>
      </c>
      <c r="CZ80" s="1544"/>
      <c r="DA80" s="1544"/>
    </row>
    <row r="81" spans="1:105" s="1827" customFormat="1" ht="21" customHeight="1">
      <c r="A81" s="1284"/>
      <c r="B81" s="1284"/>
      <c r="C81" s="1284"/>
      <c r="D81" s="1284"/>
      <c r="E81" s="7690" t="s">
        <v>100</v>
      </c>
      <c r="F81" s="7690"/>
      <c r="G81" s="7690"/>
      <c r="H81" s="7690"/>
      <c r="I81" s="7687"/>
      <c r="J81" s="1284"/>
      <c r="K81" s="1284"/>
      <c r="L81" s="1290"/>
      <c r="M81" s="1696"/>
      <c r="N81" s="1696"/>
      <c r="O81" s="1696"/>
      <c r="P81" s="7688"/>
      <c r="Q81" s="1816"/>
      <c r="R81" s="277"/>
      <c r="S81" s="2731"/>
      <c r="T81" s="2732" t="s">
        <v>588</v>
      </c>
      <c r="U81" s="2733"/>
      <c r="V81" s="2734"/>
      <c r="W81" s="2735"/>
      <c r="X81" s="2736"/>
      <c r="Y81" s="2737"/>
      <c r="Z81" s="2738"/>
      <c r="AA81" s="2739"/>
      <c r="AB81" s="2740"/>
      <c r="AC81" s="2741"/>
      <c r="AD81" s="2742"/>
      <c r="AE81" s="2743"/>
      <c r="AF81" s="2744"/>
      <c r="AG81" s="2745"/>
      <c r="AH81" s="2746"/>
      <c r="AI81" s="2747"/>
      <c r="AJ81" s="2748"/>
      <c r="AK81" s="2749"/>
      <c r="AL81" s="2750"/>
      <c r="AM81" s="2751"/>
      <c r="AN81" s="2752"/>
      <c r="AO81" s="2753"/>
      <c r="AP81" s="2754"/>
      <c r="AQ81" s="2755"/>
      <c r="AR81" s="2756"/>
      <c r="AS81" s="2757"/>
      <c r="AT81" s="2758"/>
      <c r="AU81" s="2759"/>
      <c r="AV81" s="2760"/>
      <c r="AW81" s="2761"/>
      <c r="AX81" s="2762"/>
      <c r="AY81" s="2763"/>
      <c r="AZ81" s="2764"/>
      <c r="BA81" s="2765"/>
      <c r="BB81" s="2766"/>
      <c r="BC81" s="2767"/>
      <c r="BD81" s="2768"/>
      <c r="BE81" s="2769"/>
      <c r="BF81" s="2770"/>
      <c r="BG81" s="2771"/>
      <c r="BH81" s="2772"/>
      <c r="BI81" s="2773"/>
      <c r="BJ81" s="2774"/>
      <c r="BK81" s="2775"/>
      <c r="BL81" s="2776"/>
      <c r="BM81" s="2777"/>
      <c r="BN81" s="2778"/>
      <c r="BO81" s="2779"/>
      <c r="BP81" s="2780"/>
      <c r="BQ81" s="2781"/>
      <c r="BR81" s="2782"/>
      <c r="BS81" s="2783"/>
      <c r="BT81" s="2784"/>
      <c r="BU81" s="2785"/>
      <c r="BV81" s="2786"/>
      <c r="BW81" s="2787"/>
      <c r="BX81" s="2788"/>
      <c r="BY81" s="2789"/>
      <c r="BZ81" s="2790"/>
      <c r="CA81" s="2791"/>
      <c r="CB81" s="2792"/>
      <c r="CC81" s="2793"/>
      <c r="CD81" s="2794"/>
      <c r="CE81" s="2795"/>
      <c r="CF81" s="2796"/>
      <c r="CG81" s="2797"/>
      <c r="CH81" s="2798"/>
      <c r="CI81" s="2799"/>
      <c r="CJ81" s="2800"/>
      <c r="CK81" s="2801"/>
      <c r="CL81" s="2802"/>
      <c r="CM81" s="2803"/>
      <c r="CN81" s="2804"/>
      <c r="CO81" s="2805"/>
      <c r="CP81" s="2806"/>
      <c r="CQ81" s="2807"/>
      <c r="CR81" s="2808"/>
      <c r="CS81" s="2809"/>
      <c r="CT81" s="2810"/>
      <c r="CU81" s="2811"/>
      <c r="CV81" s="2812"/>
      <c r="CW81" s="1562"/>
      <c r="CX81" s="1544"/>
      <c r="CY81" s="1544" t="str">
        <f t="shared" si="1"/>
        <v>Добавить группу потребителей</v>
      </c>
      <c r="CZ81" s="1544"/>
      <c r="DA81" s="1544"/>
    </row>
    <row r="82" spans="1:105" s="1827" customFormat="1" ht="14.25" customHeight="1">
      <c r="A82" s="1284"/>
      <c r="B82" s="1284"/>
      <c r="C82" s="1284"/>
      <c r="D82" s="1284"/>
      <c r="E82" s="7690" t="s">
        <v>100</v>
      </c>
      <c r="F82" s="7690"/>
      <c r="G82" s="7690"/>
      <c r="H82" s="7689"/>
      <c r="I82" s="1284"/>
      <c r="J82" s="1284"/>
      <c r="K82" s="1284"/>
      <c r="L82" s="1290"/>
      <c r="M82" s="1286"/>
      <c r="N82" s="1286"/>
      <c r="O82" s="1287"/>
      <c r="P82" s="1742"/>
      <c r="Q82" s="299"/>
      <c r="R82" s="276"/>
      <c r="S82" s="2813"/>
      <c r="T82" s="2814" t="s">
        <v>661</v>
      </c>
      <c r="U82" s="2815"/>
      <c r="V82" s="2816"/>
      <c r="W82" s="2817"/>
      <c r="X82" s="2818"/>
      <c r="Y82" s="2819"/>
      <c r="Z82" s="2820"/>
      <c r="AA82" s="2821"/>
      <c r="AB82" s="2822"/>
      <c r="AC82" s="2823"/>
      <c r="AD82" s="2824"/>
      <c r="AE82" s="2825"/>
      <c r="AF82" s="2826"/>
      <c r="AG82" s="2827"/>
      <c r="AH82" s="2828"/>
      <c r="AI82" s="2829"/>
      <c r="AJ82" s="2830"/>
      <c r="AK82" s="2831"/>
      <c r="AL82" s="2832"/>
      <c r="AM82" s="2833"/>
      <c r="AN82" s="2834"/>
      <c r="AO82" s="2835"/>
      <c r="AP82" s="2836"/>
      <c r="AQ82" s="2837"/>
      <c r="AR82" s="2838"/>
      <c r="AS82" s="2839"/>
      <c r="AT82" s="2840"/>
      <c r="AU82" s="2841"/>
      <c r="AV82" s="2842"/>
      <c r="AW82" s="2843"/>
      <c r="AX82" s="2844"/>
      <c r="AY82" s="2845"/>
      <c r="AZ82" s="2846"/>
      <c r="BA82" s="2847"/>
      <c r="BB82" s="2848"/>
      <c r="BC82" s="2849"/>
      <c r="BD82" s="2850"/>
      <c r="BE82" s="2851"/>
      <c r="BF82" s="2852"/>
      <c r="BG82" s="2853"/>
      <c r="BH82" s="2854"/>
      <c r="BI82" s="2855"/>
      <c r="BJ82" s="2856"/>
      <c r="BK82" s="2857"/>
      <c r="BL82" s="2858"/>
      <c r="BM82" s="2859"/>
      <c r="BN82" s="2860"/>
      <c r="BO82" s="2861"/>
      <c r="BP82" s="2862"/>
      <c r="BQ82" s="2863"/>
      <c r="BR82" s="2864"/>
      <c r="BS82" s="2865"/>
      <c r="BT82" s="2866"/>
      <c r="BU82" s="2867"/>
      <c r="BV82" s="2868"/>
      <c r="BW82" s="2869"/>
      <c r="BX82" s="2870"/>
      <c r="BY82" s="2871"/>
      <c r="BZ82" s="2872"/>
      <c r="CA82" s="2873"/>
      <c r="CB82" s="2874"/>
      <c r="CC82" s="2875"/>
      <c r="CD82" s="2876"/>
      <c r="CE82" s="2877"/>
      <c r="CF82" s="2878"/>
      <c r="CG82" s="2879"/>
      <c r="CH82" s="2880"/>
      <c r="CI82" s="2881"/>
      <c r="CJ82" s="2882"/>
      <c r="CK82" s="2883"/>
      <c r="CL82" s="2884"/>
      <c r="CM82" s="2885"/>
      <c r="CN82" s="2886"/>
      <c r="CO82" s="2887"/>
      <c r="CP82" s="2888"/>
      <c r="CQ82" s="2889"/>
      <c r="CR82" s="2890"/>
      <c r="CS82" s="2891"/>
      <c r="CT82" s="2892"/>
      <c r="CU82" s="2893"/>
      <c r="CV82" s="2894"/>
      <c r="CW82" s="1562"/>
      <c r="CX82" s="1544"/>
      <c r="CY82" s="1544" t="str">
        <f t="shared" si="1"/>
        <v>Добавить наименование признака дифференциации</v>
      </c>
      <c r="CZ82" s="1544"/>
      <c r="DA82" s="1544"/>
    </row>
    <row r="83" spans="1:105" s="541" customFormat="1" ht="14.25" customHeight="1">
      <c r="A83" s="1265"/>
      <c r="B83" s="1265"/>
      <c r="C83" s="1265"/>
      <c r="D83" s="1265"/>
      <c r="E83" s="7690" t="s">
        <v>100</v>
      </c>
      <c r="F83" s="7689"/>
      <c r="G83" s="1265"/>
      <c r="H83" s="1265"/>
      <c r="I83" s="1265"/>
      <c r="J83" s="1265"/>
      <c r="K83" s="1265"/>
      <c r="L83" s="1466"/>
      <c r="M83" s="1244"/>
      <c r="N83" s="1244"/>
      <c r="O83" s="1562"/>
      <c r="P83" s="1239"/>
      <c r="Q83" s="1266"/>
      <c r="R83" s="1239"/>
      <c r="S83" s="1245"/>
      <c r="T83" s="1248" t="s">
        <v>325</v>
      </c>
      <c r="U83" s="1247"/>
      <c r="V83" s="1247"/>
      <c r="W83" s="1247"/>
      <c r="X83" s="1247"/>
      <c r="Y83" s="1247"/>
      <c r="Z83" s="1247"/>
      <c r="AA83" s="1247"/>
      <c r="AB83" s="1247"/>
      <c r="AC83" s="1247"/>
      <c r="AD83" s="1247"/>
      <c r="AE83" s="1247"/>
      <c r="AF83" s="1247"/>
      <c r="AG83" s="1247"/>
      <c r="AH83" s="1247"/>
      <c r="AI83" s="1247"/>
      <c r="AJ83" s="1247"/>
      <c r="AK83" s="1247"/>
      <c r="AL83" s="1247"/>
      <c r="AM83" s="1247"/>
      <c r="AN83" s="1247"/>
      <c r="AO83" s="1247"/>
      <c r="AP83" s="1247"/>
      <c r="AQ83" s="1247"/>
      <c r="AR83" s="1247"/>
      <c r="AS83" s="1247"/>
      <c r="AT83" s="1247"/>
      <c r="AU83" s="1247"/>
      <c r="AV83" s="1247"/>
      <c r="AW83" s="1247"/>
      <c r="AX83" s="1247"/>
      <c r="AY83" s="1247"/>
      <c r="AZ83" s="1247"/>
      <c r="BA83" s="1247"/>
      <c r="BB83" s="1247"/>
      <c r="BC83" s="1247"/>
      <c r="BD83" s="1247"/>
      <c r="BE83" s="1247"/>
      <c r="BF83" s="1247"/>
      <c r="BG83" s="1247"/>
      <c r="BH83" s="1247"/>
      <c r="BI83" s="1247"/>
      <c r="BJ83" s="1247"/>
      <c r="BK83" s="1247"/>
      <c r="BL83" s="1247"/>
      <c r="BM83" s="1247"/>
      <c r="BN83" s="1247"/>
      <c r="BO83" s="1247"/>
      <c r="BP83" s="1247"/>
      <c r="BQ83" s="1247"/>
      <c r="BR83" s="1247"/>
      <c r="BS83" s="1247"/>
      <c r="BT83" s="1247"/>
      <c r="BU83" s="1247"/>
      <c r="BV83" s="1247"/>
      <c r="BW83" s="1247"/>
      <c r="BX83" s="1247"/>
      <c r="BY83" s="1247"/>
      <c r="BZ83" s="1247"/>
      <c r="CA83" s="1247"/>
      <c r="CB83" s="1247"/>
      <c r="CC83" s="1247"/>
      <c r="CD83" s="1247"/>
      <c r="CE83" s="1247"/>
      <c r="CF83" s="1247"/>
      <c r="CG83" s="1247"/>
      <c r="CH83" s="1247"/>
      <c r="CI83" s="1247"/>
      <c r="CJ83" s="1247"/>
      <c r="CK83" s="1247"/>
      <c r="CL83" s="1247"/>
      <c r="CM83" s="1247"/>
      <c r="CN83" s="1247"/>
      <c r="CO83" s="1247"/>
      <c r="CP83" s="1247"/>
      <c r="CQ83" s="1247"/>
      <c r="CR83" s="1247"/>
      <c r="CS83" s="1247"/>
      <c r="CT83" s="1247"/>
      <c r="CU83" s="1247"/>
      <c r="CV83" s="1247"/>
      <c r="CW83" s="1562"/>
      <c r="CX83" s="1544"/>
      <c r="CY83" s="1544" t="str">
        <f t="shared" si="1"/>
        <v>Добавить централизованную систему для дифференциации</v>
      </c>
      <c r="CZ83" s="1544"/>
      <c r="DA83" s="1544"/>
    </row>
    <row r="84" spans="1:105" s="541" customFormat="1" ht="14.25" customHeight="1">
      <c r="A84" s="1265"/>
      <c r="B84" s="1265"/>
      <c r="C84" s="1265"/>
      <c r="D84" s="1265"/>
      <c r="E84" s="7689" t="s">
        <v>100</v>
      </c>
      <c r="F84" s="1265"/>
      <c r="G84" s="1265"/>
      <c r="H84" s="1265"/>
      <c r="I84" s="1265"/>
      <c r="J84" s="1265"/>
      <c r="K84" s="1265"/>
      <c r="L84" s="1466"/>
      <c r="M84" s="1244"/>
      <c r="N84" s="1244"/>
      <c r="O84" s="1562"/>
      <c r="P84" s="1239"/>
      <c r="Q84" s="1266"/>
      <c r="R84" s="1239"/>
      <c r="S84" s="1245"/>
      <c r="T84" s="1248" t="s">
        <v>326</v>
      </c>
      <c r="U84" s="1247"/>
      <c r="V84" s="1247"/>
      <c r="W84" s="1247"/>
      <c r="X84" s="1247"/>
      <c r="Y84" s="1247"/>
      <c r="Z84" s="1247"/>
      <c r="AA84" s="1247"/>
      <c r="AB84" s="1247"/>
      <c r="AC84" s="1247"/>
      <c r="AD84" s="1247"/>
      <c r="AE84" s="1247"/>
      <c r="AF84" s="1247"/>
      <c r="AG84" s="1247"/>
      <c r="AH84" s="1247"/>
      <c r="AI84" s="1247"/>
      <c r="AJ84" s="1247"/>
      <c r="AK84" s="1247"/>
      <c r="AL84" s="1247"/>
      <c r="AM84" s="1247"/>
      <c r="AN84" s="1247"/>
      <c r="AO84" s="1247"/>
      <c r="AP84" s="1247"/>
      <c r="AQ84" s="1247"/>
      <c r="AR84" s="1247"/>
      <c r="AS84" s="1247"/>
      <c r="AT84" s="1247"/>
      <c r="AU84" s="1247"/>
      <c r="AV84" s="1247"/>
      <c r="AW84" s="1247"/>
      <c r="AX84" s="1247"/>
      <c r="AY84" s="1247"/>
      <c r="AZ84" s="1247"/>
      <c r="BA84" s="1247"/>
      <c r="BB84" s="1247"/>
      <c r="BC84" s="1247"/>
      <c r="BD84" s="1247"/>
      <c r="BE84" s="1247"/>
      <c r="BF84" s="1247"/>
      <c r="BG84" s="1247"/>
      <c r="BH84" s="1247"/>
      <c r="BI84" s="1247"/>
      <c r="BJ84" s="1247"/>
      <c r="BK84" s="1247"/>
      <c r="BL84" s="1247"/>
      <c r="BM84" s="1247"/>
      <c r="BN84" s="1247"/>
      <c r="BO84" s="1247"/>
      <c r="BP84" s="1247"/>
      <c r="BQ84" s="1247"/>
      <c r="BR84" s="1247"/>
      <c r="BS84" s="1247"/>
      <c r="BT84" s="1247"/>
      <c r="BU84" s="1247"/>
      <c r="BV84" s="1247"/>
      <c r="BW84" s="1247"/>
      <c r="BX84" s="1247"/>
      <c r="BY84" s="1247"/>
      <c r="BZ84" s="1247"/>
      <c r="CA84" s="1247"/>
      <c r="CB84" s="1247"/>
      <c r="CC84" s="1247"/>
      <c r="CD84" s="1247"/>
      <c r="CE84" s="1247"/>
      <c r="CF84" s="1247"/>
      <c r="CG84" s="1247"/>
      <c r="CH84" s="1247"/>
      <c r="CI84" s="1247"/>
      <c r="CJ84" s="1247"/>
      <c r="CK84" s="1247"/>
      <c r="CL84" s="1247"/>
      <c r="CM84" s="1247"/>
      <c r="CN84" s="1247"/>
      <c r="CO84" s="1247"/>
      <c r="CP84" s="1247"/>
      <c r="CQ84" s="1247"/>
      <c r="CR84" s="1247"/>
      <c r="CS84" s="1247"/>
      <c r="CT84" s="1247"/>
      <c r="CU84" s="1247"/>
      <c r="CV84" s="1247"/>
      <c r="CW84" s="1562"/>
      <c r="CX84" s="1544"/>
      <c r="CY84" s="1544" t="str">
        <f t="shared" si="1"/>
        <v>Добавить территорию для дифференциации</v>
      </c>
      <c r="CZ84" s="1544"/>
      <c r="DA84" s="1544"/>
    </row>
    <row r="85" spans="1:105" s="1827" customFormat="1" ht="23.25" customHeight="1">
      <c r="A85" s="1284" t="s">
        <v>338</v>
      </c>
      <c r="B85" s="1284"/>
      <c r="C85" s="1284"/>
      <c r="D85" s="1284"/>
      <c r="E85" s="7689" t="s">
        <v>89</v>
      </c>
      <c r="F85" s="1284"/>
      <c r="G85" s="1284"/>
      <c r="H85" s="1284"/>
      <c r="I85" s="1284"/>
      <c r="J85" s="1284"/>
      <c r="K85" s="1284"/>
      <c r="L85" s="1290"/>
      <c r="M85" s="1286"/>
      <c r="N85" s="1286"/>
      <c r="O85" s="1286"/>
      <c r="P85" s="1817"/>
      <c r="Q85" s="1742"/>
      <c r="R85" s="276"/>
      <c r="S85" s="1813" t="str">
        <f>INDEX(PT_DIFFERENTIATION_NUM_NTAR,MATCH(A85,PT_DIFFERENTIATION_NTAR_ID,0))</f>
        <v>4</v>
      </c>
      <c r="T85" s="1440" t="s">
        <v>237</v>
      </c>
      <c r="U85" s="214"/>
      <c r="V85" s="7675"/>
      <c r="W85" s="7676"/>
      <c r="X85" s="7676"/>
      <c r="Y85" s="7676"/>
      <c r="Z85" s="7676"/>
      <c r="AA85" s="7676"/>
      <c r="AB85" s="7677"/>
      <c r="AC85" s="7675" t="str">
        <f>INDEX(PT_DIFFERENTIATION_NTAR,MATCH(A85,PT_DIFFERENTIATION_NTAR_ID,0))</f>
        <v>Тарифы на питьевую воду для потребителей, присоединенных к централизованным системам водоснабжения  поселка Малосадового, села Бургун-Маджары, поселка Кумская Долина и поселка Правокумского Левокумского муниципального округа</v>
      </c>
      <c r="AD85" s="7676"/>
      <c r="AE85" s="7676"/>
      <c r="AF85" s="7676"/>
      <c r="AG85" s="7676"/>
      <c r="AH85" s="7676"/>
      <c r="AI85" s="7676"/>
      <c r="AJ85" s="7675"/>
      <c r="AK85" s="7676"/>
      <c r="AL85" s="7676"/>
      <c r="AM85" s="7676"/>
      <c r="AN85" s="7676"/>
      <c r="AO85" s="7676"/>
      <c r="AP85" s="7677"/>
      <c r="AQ85" s="7675"/>
      <c r="AR85" s="7676"/>
      <c r="AS85" s="7676"/>
      <c r="AT85" s="7676"/>
      <c r="AU85" s="7676"/>
      <c r="AV85" s="7676"/>
      <c r="AW85" s="7677"/>
      <c r="AX85" s="7675"/>
      <c r="AY85" s="7676"/>
      <c r="AZ85" s="7676"/>
      <c r="BA85" s="7676"/>
      <c r="BB85" s="7676"/>
      <c r="BC85" s="7676"/>
      <c r="BD85" s="7677"/>
      <c r="BE85" s="7675"/>
      <c r="BF85" s="7676"/>
      <c r="BG85" s="7676"/>
      <c r="BH85" s="7676"/>
      <c r="BI85" s="7676"/>
      <c r="BJ85" s="7676"/>
      <c r="BK85" s="7677"/>
      <c r="BL85" s="7675"/>
      <c r="BM85" s="7676"/>
      <c r="BN85" s="7676"/>
      <c r="BO85" s="7676"/>
      <c r="BP85" s="7676"/>
      <c r="BQ85" s="7676"/>
      <c r="BR85" s="7677"/>
      <c r="BS85" s="7675"/>
      <c r="BT85" s="7676"/>
      <c r="BU85" s="7676"/>
      <c r="BV85" s="7676"/>
      <c r="BW85" s="7676"/>
      <c r="BX85" s="7676"/>
      <c r="BY85" s="7677"/>
      <c r="BZ85" s="7675"/>
      <c r="CA85" s="7676"/>
      <c r="CB85" s="7676"/>
      <c r="CC85" s="7676"/>
      <c r="CD85" s="7676"/>
      <c r="CE85" s="7676"/>
      <c r="CF85" s="7677"/>
      <c r="CG85" s="7675"/>
      <c r="CH85" s="7676"/>
      <c r="CI85" s="7676"/>
      <c r="CJ85" s="7676"/>
      <c r="CK85" s="7676"/>
      <c r="CL85" s="7676"/>
      <c r="CM85" s="7677"/>
      <c r="CN85" s="7675"/>
      <c r="CO85" s="7676"/>
      <c r="CP85" s="7676"/>
      <c r="CQ85" s="7676"/>
      <c r="CR85" s="7676"/>
      <c r="CS85" s="7676"/>
      <c r="CT85" s="7677"/>
      <c r="CU85" s="7677"/>
      <c r="CV8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85" s="1562"/>
      <c r="CX85" s="1544"/>
      <c r="CY85" s="1544" t="str">
        <f t="shared" si="1"/>
        <v>Наименование тарифа</v>
      </c>
      <c r="CZ85" s="1544"/>
      <c r="DA85" s="1544"/>
    </row>
    <row r="86" spans="1:105" s="1827" customFormat="1" ht="23.25" customHeight="1">
      <c r="A86" s="1284"/>
      <c r="B86" s="1284" t="s">
        <v>339</v>
      </c>
      <c r="C86" s="1284"/>
      <c r="D86" s="1284"/>
      <c r="E86" s="7690" t="s">
        <v>88</v>
      </c>
      <c r="F86" s="7689">
        <v>1</v>
      </c>
      <c r="G86" s="1284"/>
      <c r="H86" s="1284"/>
      <c r="I86" s="1284"/>
      <c r="J86" s="1284"/>
      <c r="K86" s="1284"/>
      <c r="L86" s="1290"/>
      <c r="M86" s="1286"/>
      <c r="N86" s="1286"/>
      <c r="O86" s="1286"/>
      <c r="P86" s="1807"/>
      <c r="Q86" s="273"/>
      <c r="R86" s="274"/>
      <c r="S86" s="1813" t="str">
        <f>INDEX(PT_DIFFERENTIATION_NUM_TER,MATCH(B86,PT_DIFFERENTIATION_TER_ID,0))</f>
        <v>4.1</v>
      </c>
      <c r="T86" s="1437" t="s">
        <v>573</v>
      </c>
      <c r="U86" s="214"/>
      <c r="V86" s="7675"/>
      <c r="W86" s="7676"/>
      <c r="X86" s="7676"/>
      <c r="Y86" s="7676"/>
      <c r="Z86" s="7676"/>
      <c r="AA86" s="7676"/>
      <c r="AB86" s="7677"/>
      <c r="AC86" s="7675" t="str">
        <f>INDEX(PT_DIFFERENTIATION_TER,MATCH(B86,PT_DIFFERENTIATION_TER_ID,0))</f>
        <v>Территория 4</v>
      </c>
      <c r="AD86" s="7676"/>
      <c r="AE86" s="7676"/>
      <c r="AF86" s="7676"/>
      <c r="AG86" s="7676"/>
      <c r="AH86" s="7676"/>
      <c r="AI86" s="7676"/>
      <c r="AJ86" s="7675"/>
      <c r="AK86" s="7676"/>
      <c r="AL86" s="7676"/>
      <c r="AM86" s="7676"/>
      <c r="AN86" s="7676"/>
      <c r="AO86" s="7676"/>
      <c r="AP86" s="7677"/>
      <c r="AQ86" s="7675"/>
      <c r="AR86" s="7676"/>
      <c r="AS86" s="7676"/>
      <c r="AT86" s="7676"/>
      <c r="AU86" s="7676"/>
      <c r="AV86" s="7676"/>
      <c r="AW86" s="7677"/>
      <c r="AX86" s="7675"/>
      <c r="AY86" s="7676"/>
      <c r="AZ86" s="7676"/>
      <c r="BA86" s="7676"/>
      <c r="BB86" s="7676"/>
      <c r="BC86" s="7676"/>
      <c r="BD86" s="7677"/>
      <c r="BE86" s="7675"/>
      <c r="BF86" s="7676"/>
      <c r="BG86" s="7676"/>
      <c r="BH86" s="7676"/>
      <c r="BI86" s="7676"/>
      <c r="BJ86" s="7676"/>
      <c r="BK86" s="7677"/>
      <c r="BL86" s="7675"/>
      <c r="BM86" s="7676"/>
      <c r="BN86" s="7676"/>
      <c r="BO86" s="7676"/>
      <c r="BP86" s="7676"/>
      <c r="BQ86" s="7676"/>
      <c r="BR86" s="7677"/>
      <c r="BS86" s="7675"/>
      <c r="BT86" s="7676"/>
      <c r="BU86" s="7676"/>
      <c r="BV86" s="7676"/>
      <c r="BW86" s="7676"/>
      <c r="BX86" s="7676"/>
      <c r="BY86" s="7677"/>
      <c r="BZ86" s="7675"/>
      <c r="CA86" s="7676"/>
      <c r="CB86" s="7676"/>
      <c r="CC86" s="7676"/>
      <c r="CD86" s="7676"/>
      <c r="CE86" s="7676"/>
      <c r="CF86" s="7677"/>
      <c r="CG86" s="7675"/>
      <c r="CH86" s="7676"/>
      <c r="CI86" s="7676"/>
      <c r="CJ86" s="7676"/>
      <c r="CK86" s="7676"/>
      <c r="CL86" s="7676"/>
      <c r="CM86" s="7677"/>
      <c r="CN86" s="7675"/>
      <c r="CO86" s="7676"/>
      <c r="CP86" s="7676"/>
      <c r="CQ86" s="7676"/>
      <c r="CR86" s="7676"/>
      <c r="CS86" s="7676"/>
      <c r="CT86" s="7677"/>
      <c r="CU86" s="7677"/>
      <c r="CV86" s="1182" t="s">
        <v>574</v>
      </c>
      <c r="CW86" s="1562"/>
      <c r="CX86" s="1544"/>
      <c r="CY86" s="1544" t="str">
        <f t="shared" si="1"/>
        <v>Территория действия тарифа</v>
      </c>
      <c r="CZ86" s="1544"/>
      <c r="DA86" s="1544"/>
    </row>
    <row r="87" spans="1:105" s="1827" customFormat="1" ht="23.25" customHeight="1">
      <c r="A87" s="1284"/>
      <c r="B87" s="1284"/>
      <c r="C87" s="1284" t="s">
        <v>340</v>
      </c>
      <c r="D87" s="1284"/>
      <c r="E87" s="7690" t="s">
        <v>88</v>
      </c>
      <c r="F87" s="7690"/>
      <c r="G87" s="7689">
        <v>1</v>
      </c>
      <c r="H87" s="1284"/>
      <c r="I87" s="1284"/>
      <c r="J87" s="1284"/>
      <c r="K87" s="1284"/>
      <c r="L87" s="1290"/>
      <c r="M87" s="1286"/>
      <c r="N87" s="1286"/>
      <c r="O87" s="1286"/>
      <c r="P87" s="275"/>
      <c r="Q87" s="273"/>
      <c r="R87" s="274"/>
      <c r="S87" s="1813" t="str">
        <f>INDEX(PT_DIFFERENTIATION_NUM_CS,MATCH(C87,PT_DIFFERENTIATION_CS_ID,0))</f>
        <v>4.1.1</v>
      </c>
      <c r="T87" s="225" t="s">
        <v>654</v>
      </c>
      <c r="U87" s="214"/>
      <c r="V87" s="7675"/>
      <c r="W87" s="7676"/>
      <c r="X87" s="7676"/>
      <c r="Y87" s="7676"/>
      <c r="Z87" s="7676"/>
      <c r="AA87" s="7676"/>
      <c r="AB87" s="7677"/>
      <c r="AC87" s="7675" t="str">
        <f>INDEX(PT_DIFFERENTIATION_CS,MATCH(C87,PT_DIFFERENTIATION_CS_ID,0))</f>
        <v>без дифференциации</v>
      </c>
      <c r="AD87" s="7676"/>
      <c r="AE87" s="7676"/>
      <c r="AF87" s="7676"/>
      <c r="AG87" s="7676"/>
      <c r="AH87" s="7676"/>
      <c r="AI87" s="7676"/>
      <c r="AJ87" s="7675"/>
      <c r="AK87" s="7676"/>
      <c r="AL87" s="7676"/>
      <c r="AM87" s="7676"/>
      <c r="AN87" s="7676"/>
      <c r="AO87" s="7676"/>
      <c r="AP87" s="7677"/>
      <c r="AQ87" s="7675"/>
      <c r="AR87" s="7676"/>
      <c r="AS87" s="7676"/>
      <c r="AT87" s="7676"/>
      <c r="AU87" s="7676"/>
      <c r="AV87" s="7676"/>
      <c r="AW87" s="7677"/>
      <c r="AX87" s="7675"/>
      <c r="AY87" s="7676"/>
      <c r="AZ87" s="7676"/>
      <c r="BA87" s="7676"/>
      <c r="BB87" s="7676"/>
      <c r="BC87" s="7676"/>
      <c r="BD87" s="7677"/>
      <c r="BE87" s="7675"/>
      <c r="BF87" s="7676"/>
      <c r="BG87" s="7676"/>
      <c r="BH87" s="7676"/>
      <c r="BI87" s="7676"/>
      <c r="BJ87" s="7676"/>
      <c r="BK87" s="7677"/>
      <c r="BL87" s="7675"/>
      <c r="BM87" s="7676"/>
      <c r="BN87" s="7676"/>
      <c r="BO87" s="7676"/>
      <c r="BP87" s="7676"/>
      <c r="BQ87" s="7676"/>
      <c r="BR87" s="7677"/>
      <c r="BS87" s="7675"/>
      <c r="BT87" s="7676"/>
      <c r="BU87" s="7676"/>
      <c r="BV87" s="7676"/>
      <c r="BW87" s="7676"/>
      <c r="BX87" s="7676"/>
      <c r="BY87" s="7677"/>
      <c r="BZ87" s="7675"/>
      <c r="CA87" s="7676"/>
      <c r="CB87" s="7676"/>
      <c r="CC87" s="7676"/>
      <c r="CD87" s="7676"/>
      <c r="CE87" s="7676"/>
      <c r="CF87" s="7677"/>
      <c r="CG87" s="7675"/>
      <c r="CH87" s="7676"/>
      <c r="CI87" s="7676"/>
      <c r="CJ87" s="7676"/>
      <c r="CK87" s="7676"/>
      <c r="CL87" s="7676"/>
      <c r="CM87" s="7677"/>
      <c r="CN87" s="7675"/>
      <c r="CO87" s="7676"/>
      <c r="CP87" s="7676"/>
      <c r="CQ87" s="7676"/>
      <c r="CR87" s="7676"/>
      <c r="CS87" s="7676"/>
      <c r="CT87" s="7677"/>
      <c r="CU87" s="7677"/>
      <c r="CV87" s="1182" t="s">
        <v>655</v>
      </c>
      <c r="CW87" s="1562"/>
      <c r="CX87" s="1544"/>
      <c r="CY87" s="1544" t="str">
        <f t="shared" si="1"/>
        <v>Наименование централизованной системы холодного водоснабжения</v>
      </c>
      <c r="CZ87" s="1544"/>
      <c r="DA87" s="1544"/>
    </row>
    <row r="88" spans="1:105" s="1827" customFormat="1" ht="23.25" customHeight="1">
      <c r="A88" s="1284"/>
      <c r="B88" s="1284"/>
      <c r="C88" s="1284"/>
      <c r="D88" s="1284"/>
      <c r="E88" s="7690" t="s">
        <v>88</v>
      </c>
      <c r="F88" s="7690"/>
      <c r="G88" s="7690"/>
      <c r="H88" s="7690"/>
      <c r="I88" s="7687" t="str">
        <f>S87&amp;".1"</f>
        <v>4.1.1.1</v>
      </c>
      <c r="J88" s="1284"/>
      <c r="K88" s="1284"/>
      <c r="L88" s="1290"/>
      <c r="M88" s="1696"/>
      <c r="N88" s="1696"/>
      <c r="O88" s="1696"/>
      <c r="P88" s="7688">
        <v>1</v>
      </c>
      <c r="Q88" s="1816"/>
      <c r="R88" s="277"/>
      <c r="S88" s="1813" t="str">
        <f>$I88</f>
        <v>4.1.1.1</v>
      </c>
      <c r="T88" s="200" t="s">
        <v>656</v>
      </c>
      <c r="U88" s="214"/>
      <c r="V88" s="7748"/>
      <c r="W88" s="7749"/>
      <c r="X88" s="7749"/>
      <c r="Y88" s="7749"/>
      <c r="Z88" s="7749"/>
      <c r="AA88" s="7749"/>
      <c r="AB88" s="7750"/>
      <c r="AC88" s="7751"/>
      <c r="AD88" s="7752"/>
      <c r="AE88" s="7752"/>
      <c r="AF88" s="7752"/>
      <c r="AG88" s="7752"/>
      <c r="AH88" s="7752"/>
      <c r="AI88" s="7752"/>
      <c r="AJ88" s="7748"/>
      <c r="AK88" s="7749"/>
      <c r="AL88" s="7749"/>
      <c r="AM88" s="7749"/>
      <c r="AN88" s="7749"/>
      <c r="AO88" s="7749"/>
      <c r="AP88" s="7750"/>
      <c r="AQ88" s="7748"/>
      <c r="AR88" s="7749"/>
      <c r="AS88" s="7749"/>
      <c r="AT88" s="7749"/>
      <c r="AU88" s="7749"/>
      <c r="AV88" s="7749"/>
      <c r="AW88" s="7750"/>
      <c r="AX88" s="7748"/>
      <c r="AY88" s="7749"/>
      <c r="AZ88" s="7749"/>
      <c r="BA88" s="7749"/>
      <c r="BB88" s="7749"/>
      <c r="BC88" s="7749"/>
      <c r="BD88" s="7750"/>
      <c r="BE88" s="7748"/>
      <c r="BF88" s="7749"/>
      <c r="BG88" s="7749"/>
      <c r="BH88" s="7749"/>
      <c r="BI88" s="7749"/>
      <c r="BJ88" s="7749"/>
      <c r="BK88" s="7750"/>
      <c r="BL88" s="7748"/>
      <c r="BM88" s="7749"/>
      <c r="BN88" s="7749"/>
      <c r="BO88" s="7749"/>
      <c r="BP88" s="7749"/>
      <c r="BQ88" s="7749"/>
      <c r="BR88" s="7750"/>
      <c r="BS88" s="7748"/>
      <c r="BT88" s="7749"/>
      <c r="BU88" s="7749"/>
      <c r="BV88" s="7749"/>
      <c r="BW88" s="7749"/>
      <c r="BX88" s="7749"/>
      <c r="BY88" s="7750"/>
      <c r="BZ88" s="7748"/>
      <c r="CA88" s="7749"/>
      <c r="CB88" s="7749"/>
      <c r="CC88" s="7749"/>
      <c r="CD88" s="7749"/>
      <c r="CE88" s="7749"/>
      <c r="CF88" s="7750"/>
      <c r="CG88" s="7748"/>
      <c r="CH88" s="7749"/>
      <c r="CI88" s="7749"/>
      <c r="CJ88" s="7749"/>
      <c r="CK88" s="7749"/>
      <c r="CL88" s="7749"/>
      <c r="CM88" s="7750"/>
      <c r="CN88" s="7748"/>
      <c r="CO88" s="7749"/>
      <c r="CP88" s="7749"/>
      <c r="CQ88" s="7749"/>
      <c r="CR88" s="7749"/>
      <c r="CS88" s="7749"/>
      <c r="CT88" s="7750"/>
      <c r="CU88" s="7753"/>
      <c r="CV88" s="1182" t="s">
        <v>657</v>
      </c>
      <c r="CW88" s="1562"/>
      <c r="CX88" s="1544"/>
      <c r="CY88" s="1544" t="str">
        <f t="shared" si="1"/>
        <v>Наименование признака дифференциации</v>
      </c>
      <c r="CZ88" s="1544"/>
      <c r="DA88" s="1544"/>
    </row>
    <row r="89" spans="1:105" s="1827" customFormat="1" ht="23.25" customHeight="1">
      <c r="A89" s="1284"/>
      <c r="B89" s="1284"/>
      <c r="C89" s="1284"/>
      <c r="D89" s="1284"/>
      <c r="E89" s="7690" t="s">
        <v>88</v>
      </c>
      <c r="F89" s="7690"/>
      <c r="G89" s="7690"/>
      <c r="H89" s="7690"/>
      <c r="I89" s="7710"/>
      <c r="J89" s="7687" t="str">
        <f>I88&amp;".1"</f>
        <v>4.1.1.1.1</v>
      </c>
      <c r="K89" s="1284"/>
      <c r="L89" s="1290" t="s">
        <v>582</v>
      </c>
      <c r="M89" s="1696"/>
      <c r="N89" s="1696"/>
      <c r="O89" s="1696"/>
      <c r="P89" s="7688"/>
      <c r="Q89" s="7688">
        <v>1</v>
      </c>
      <c r="R89" s="278"/>
      <c r="S89" s="1813" t="str">
        <f>$J89</f>
        <v>4.1.1.1.1</v>
      </c>
      <c r="T89" s="201" t="s">
        <v>583</v>
      </c>
      <c r="U89" s="214"/>
      <c r="V89" s="7678"/>
      <c r="W89" s="7679"/>
      <c r="X89" s="7679"/>
      <c r="Y89" s="7679"/>
      <c r="Z89" s="7679"/>
      <c r="AA89" s="7679"/>
      <c r="AB89" s="7680"/>
      <c r="AC89" s="7678" t="s">
        <v>671</v>
      </c>
      <c r="AD89" s="7679"/>
      <c r="AE89" s="7679"/>
      <c r="AF89" s="7679"/>
      <c r="AG89" s="7679"/>
      <c r="AH89" s="7679"/>
      <c r="AI89" s="7679"/>
      <c r="AJ89" s="7678"/>
      <c r="AK89" s="7679"/>
      <c r="AL89" s="7679"/>
      <c r="AM89" s="7679"/>
      <c r="AN89" s="7679"/>
      <c r="AO89" s="7679"/>
      <c r="AP89" s="7680"/>
      <c r="AQ89" s="7678"/>
      <c r="AR89" s="7679"/>
      <c r="AS89" s="7679"/>
      <c r="AT89" s="7679"/>
      <c r="AU89" s="7679"/>
      <c r="AV89" s="7679"/>
      <c r="AW89" s="7680"/>
      <c r="AX89" s="7678"/>
      <c r="AY89" s="7679"/>
      <c r="AZ89" s="7679"/>
      <c r="BA89" s="7679"/>
      <c r="BB89" s="7679"/>
      <c r="BC89" s="7679"/>
      <c r="BD89" s="7680"/>
      <c r="BE89" s="7678"/>
      <c r="BF89" s="7679"/>
      <c r="BG89" s="7679"/>
      <c r="BH89" s="7679"/>
      <c r="BI89" s="7679"/>
      <c r="BJ89" s="7679"/>
      <c r="BK89" s="7680"/>
      <c r="BL89" s="7678"/>
      <c r="BM89" s="7679"/>
      <c r="BN89" s="7679"/>
      <c r="BO89" s="7679"/>
      <c r="BP89" s="7679"/>
      <c r="BQ89" s="7679"/>
      <c r="BR89" s="7680"/>
      <c r="BS89" s="7678"/>
      <c r="BT89" s="7679"/>
      <c r="BU89" s="7679"/>
      <c r="BV89" s="7679"/>
      <c r="BW89" s="7679"/>
      <c r="BX89" s="7679"/>
      <c r="BY89" s="7680"/>
      <c r="BZ89" s="7678"/>
      <c r="CA89" s="7679"/>
      <c r="CB89" s="7679"/>
      <c r="CC89" s="7679"/>
      <c r="CD89" s="7679"/>
      <c r="CE89" s="7679"/>
      <c r="CF89" s="7680"/>
      <c r="CG89" s="7678"/>
      <c r="CH89" s="7679"/>
      <c r="CI89" s="7679"/>
      <c r="CJ89" s="7679"/>
      <c r="CK89" s="7679"/>
      <c r="CL89" s="7679"/>
      <c r="CM89" s="7680"/>
      <c r="CN89" s="7678"/>
      <c r="CO89" s="7679"/>
      <c r="CP89" s="7679"/>
      <c r="CQ89" s="7679"/>
      <c r="CR89" s="7679"/>
      <c r="CS89" s="7679"/>
      <c r="CT89" s="7680"/>
      <c r="CU89" s="7680"/>
      <c r="CV89" s="1231" t="s">
        <v>658</v>
      </c>
      <c r="CW89" s="1562"/>
      <c r="CX89" s="1544"/>
      <c r="CY89" s="1544" t="str">
        <f t="shared" si="1"/>
        <v>Группа потребителей</v>
      </c>
      <c r="CZ89" s="1544"/>
      <c r="DA89" s="1544"/>
    </row>
    <row r="90" spans="1:105" s="1827" customFormat="1" ht="23.25" customHeight="1">
      <c r="A90" s="1284"/>
      <c r="B90" s="1284"/>
      <c r="C90" s="1284"/>
      <c r="D90" s="1284"/>
      <c r="E90" s="7690" t="s">
        <v>88</v>
      </c>
      <c r="F90" s="7690"/>
      <c r="G90" s="7690"/>
      <c r="H90" s="7690"/>
      <c r="I90" s="7710"/>
      <c r="J90" s="7710"/>
      <c r="K90" s="7687" t="str">
        <f>J89&amp;".1"</f>
        <v>4.1.1.1.1.1</v>
      </c>
      <c r="L90" s="1290"/>
      <c r="M90" s="1696"/>
      <c r="N90" s="1696"/>
      <c r="O90" s="1696"/>
      <c r="P90" s="7688"/>
      <c r="Q90" s="7688"/>
      <c r="R90" s="278">
        <v>1</v>
      </c>
      <c r="S90" s="1813" t="str">
        <f>$K90</f>
        <v>4.1.1.1.1.1</v>
      </c>
      <c r="T90" s="1357" t="s">
        <v>672</v>
      </c>
      <c r="U90" s="214"/>
      <c r="V90" s="666"/>
      <c r="W90" s="666"/>
      <c r="X90" s="1181"/>
      <c r="Y90" s="7692"/>
      <c r="Z90" s="7540" t="s">
        <v>60</v>
      </c>
      <c r="AA90" s="7692"/>
      <c r="AB90" s="7540" t="s">
        <v>60</v>
      </c>
      <c r="AC90" s="666">
        <v>46.94</v>
      </c>
      <c r="AD90" s="666"/>
      <c r="AE90" s="1181"/>
      <c r="AF90" s="7692">
        <v>45292</v>
      </c>
      <c r="AG90" s="7540" t="s">
        <v>60</v>
      </c>
      <c r="AH90" s="7711">
        <v>45473</v>
      </c>
      <c r="AI90" s="7540" t="s">
        <v>60</v>
      </c>
      <c r="AJ90" s="666">
        <v>51.16</v>
      </c>
      <c r="AK90" s="666"/>
      <c r="AL90" s="1181"/>
      <c r="AM90" s="7692">
        <v>45473</v>
      </c>
      <c r="AN90" s="7540" t="s">
        <v>60</v>
      </c>
      <c r="AO90" s="7692">
        <v>45657</v>
      </c>
      <c r="AP90" s="7540" t="s">
        <v>60</v>
      </c>
      <c r="AQ90" s="666">
        <v>51.16</v>
      </c>
      <c r="AR90" s="666"/>
      <c r="AS90" s="1181"/>
      <c r="AT90" s="7692">
        <v>45658</v>
      </c>
      <c r="AU90" s="7540" t="s">
        <v>60</v>
      </c>
      <c r="AV90" s="7692">
        <v>45838</v>
      </c>
      <c r="AW90" s="7540" t="s">
        <v>60</v>
      </c>
      <c r="AX90" s="666">
        <v>54.08</v>
      </c>
      <c r="AY90" s="666"/>
      <c r="AZ90" s="1181"/>
      <c r="BA90" s="7692">
        <v>45839</v>
      </c>
      <c r="BB90" s="7540" t="s">
        <v>60</v>
      </c>
      <c r="BC90" s="7692">
        <v>46022</v>
      </c>
      <c r="BD90" s="7540" t="s">
        <v>60</v>
      </c>
      <c r="BE90" s="666">
        <v>54.08</v>
      </c>
      <c r="BF90" s="666"/>
      <c r="BG90" s="1181"/>
      <c r="BH90" s="7692">
        <v>46023</v>
      </c>
      <c r="BI90" s="7540" t="s">
        <v>60</v>
      </c>
      <c r="BJ90" s="7692">
        <v>46203</v>
      </c>
      <c r="BK90" s="7540" t="s">
        <v>60</v>
      </c>
      <c r="BL90" s="666">
        <v>56.24</v>
      </c>
      <c r="BM90" s="666"/>
      <c r="BN90" s="1181"/>
      <c r="BO90" s="7692">
        <v>46204</v>
      </c>
      <c r="BP90" s="7540" t="s">
        <v>60</v>
      </c>
      <c r="BQ90" s="7692">
        <v>46387</v>
      </c>
      <c r="BR90" s="7540" t="s">
        <v>60</v>
      </c>
      <c r="BS90" s="666">
        <v>56.24</v>
      </c>
      <c r="BT90" s="666"/>
      <c r="BU90" s="1181"/>
      <c r="BV90" s="7692">
        <v>46388</v>
      </c>
      <c r="BW90" s="7540" t="s">
        <v>60</v>
      </c>
      <c r="BX90" s="7692">
        <v>46568</v>
      </c>
      <c r="BY90" s="7540" t="s">
        <v>60</v>
      </c>
      <c r="BZ90" s="666">
        <v>58.49</v>
      </c>
      <c r="CA90" s="666"/>
      <c r="CB90" s="1181"/>
      <c r="CC90" s="7692">
        <v>46569</v>
      </c>
      <c r="CD90" s="7540" t="s">
        <v>60</v>
      </c>
      <c r="CE90" s="7692">
        <v>46752</v>
      </c>
      <c r="CF90" s="7540" t="s">
        <v>60</v>
      </c>
      <c r="CG90" s="666">
        <v>58.49</v>
      </c>
      <c r="CH90" s="666"/>
      <c r="CI90" s="1181"/>
      <c r="CJ90" s="7692">
        <v>46753</v>
      </c>
      <c r="CK90" s="7540" t="s">
        <v>60</v>
      </c>
      <c r="CL90" s="7692">
        <v>46934</v>
      </c>
      <c r="CM90" s="7540" t="s">
        <v>60</v>
      </c>
      <c r="CN90" s="666">
        <v>60.83</v>
      </c>
      <c r="CO90" s="666"/>
      <c r="CP90" s="1181"/>
      <c r="CQ90" s="7692">
        <v>46935</v>
      </c>
      <c r="CR90" s="7540" t="s">
        <v>60</v>
      </c>
      <c r="CS90" s="7692">
        <v>47118</v>
      </c>
      <c r="CT90" s="7540" t="s">
        <v>60</v>
      </c>
      <c r="CU90" s="1358"/>
      <c r="CV90"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90" s="1562" t="e">
        <f ca="1">STRCHECKDATE(V91:CU91)</f>
        <v>#NAME?</v>
      </c>
      <c r="CX90" s="1544"/>
      <c r="CY90" s="1544" t="str">
        <f t="shared" si="1"/>
        <v>Тариф для населения, руб. за 1 куб. метр с НДС</v>
      </c>
      <c r="CZ90" s="1544"/>
      <c r="DA90" s="1544"/>
    </row>
    <row r="91" spans="1:105" s="1827" customFormat="1" ht="14.25" customHeight="1">
      <c r="A91" s="1284"/>
      <c r="B91" s="1284"/>
      <c r="C91" s="1284"/>
      <c r="D91" s="1284"/>
      <c r="E91" s="7690" t="s">
        <v>88</v>
      </c>
      <c r="F91" s="7690"/>
      <c r="G91" s="7690"/>
      <c r="H91" s="7690"/>
      <c r="I91" s="7710"/>
      <c r="J91" s="7710"/>
      <c r="K91" s="7687"/>
      <c r="L91" s="1290"/>
      <c r="M91" s="1696"/>
      <c r="N91" s="1696"/>
      <c r="O91" s="1696"/>
      <c r="P91" s="7688"/>
      <c r="Q91" s="7688"/>
      <c r="R91" s="278"/>
      <c r="S91" s="1822"/>
      <c r="T91" s="214"/>
      <c r="U91" s="214"/>
      <c r="V91" s="246"/>
      <c r="W91" s="246"/>
      <c r="X91" s="250" t="str">
        <f>Y90&amp;"-"&amp;AA90</f>
        <v>-</v>
      </c>
      <c r="Y91" s="7693"/>
      <c r="Z91" s="7540"/>
      <c r="AA91" s="7693"/>
      <c r="AB91" s="7540"/>
      <c r="AC91" s="246"/>
      <c r="AD91" s="246"/>
      <c r="AE91" s="250" t="str">
        <f>AF90&amp;"-"&amp;AH90</f>
        <v>45292-45473</v>
      </c>
      <c r="AF91" s="7693"/>
      <c r="AG91" s="7540"/>
      <c r="AH91" s="7712"/>
      <c r="AI91" s="7540"/>
      <c r="AJ91" s="246"/>
      <c r="AK91" s="246"/>
      <c r="AL91" s="250" t="str">
        <f>AM90&amp;"-"&amp;AO90</f>
        <v>45473-45657</v>
      </c>
      <c r="AM91" s="7693"/>
      <c r="AN91" s="7540"/>
      <c r="AO91" s="7693"/>
      <c r="AP91" s="7540"/>
      <c r="AQ91" s="246"/>
      <c r="AR91" s="246"/>
      <c r="AS91" s="250" t="str">
        <f>AT90&amp;"-"&amp;AV90</f>
        <v>45658-45838</v>
      </c>
      <c r="AT91" s="7693"/>
      <c r="AU91" s="7540"/>
      <c r="AV91" s="7693"/>
      <c r="AW91" s="7540"/>
      <c r="AX91" s="246"/>
      <c r="AY91" s="246"/>
      <c r="AZ91" s="250" t="str">
        <f>BA90&amp;"-"&amp;BC90</f>
        <v>45839-46022</v>
      </c>
      <c r="BA91" s="7693"/>
      <c r="BB91" s="7540"/>
      <c r="BC91" s="7693"/>
      <c r="BD91" s="7540"/>
      <c r="BE91" s="246"/>
      <c r="BF91" s="246"/>
      <c r="BG91" s="250" t="str">
        <f>BH90&amp;"-"&amp;BJ90</f>
        <v>46023-46203</v>
      </c>
      <c r="BH91" s="7693"/>
      <c r="BI91" s="7540"/>
      <c r="BJ91" s="7693"/>
      <c r="BK91" s="7540"/>
      <c r="BL91" s="246"/>
      <c r="BM91" s="246"/>
      <c r="BN91" s="250" t="str">
        <f>BO90&amp;"-"&amp;BQ90</f>
        <v>46204-46387</v>
      </c>
      <c r="BO91" s="7693"/>
      <c r="BP91" s="7540"/>
      <c r="BQ91" s="7693"/>
      <c r="BR91" s="7540"/>
      <c r="BS91" s="246"/>
      <c r="BT91" s="246"/>
      <c r="BU91" s="250" t="str">
        <f>BV90&amp;"-"&amp;BX90</f>
        <v>46388-46568</v>
      </c>
      <c r="BV91" s="7693"/>
      <c r="BW91" s="7540"/>
      <c r="BX91" s="7693"/>
      <c r="BY91" s="7540"/>
      <c r="BZ91" s="246"/>
      <c r="CA91" s="246"/>
      <c r="CB91" s="250" t="str">
        <f>CC90&amp;"-"&amp;CE90</f>
        <v>46569-46752</v>
      </c>
      <c r="CC91" s="7693"/>
      <c r="CD91" s="7540"/>
      <c r="CE91" s="7693"/>
      <c r="CF91" s="7540"/>
      <c r="CG91" s="246"/>
      <c r="CH91" s="246"/>
      <c r="CI91" s="250" t="str">
        <f>CJ90&amp;"-"&amp;CL90</f>
        <v>46753-46934</v>
      </c>
      <c r="CJ91" s="7693"/>
      <c r="CK91" s="7540"/>
      <c r="CL91" s="7693"/>
      <c r="CM91" s="7540"/>
      <c r="CN91" s="246"/>
      <c r="CO91" s="246"/>
      <c r="CP91" s="250" t="str">
        <f>CQ90&amp;"-"&amp;CS90</f>
        <v>46935-47118</v>
      </c>
      <c r="CQ91" s="7693"/>
      <c r="CR91" s="7540"/>
      <c r="CS91" s="7693"/>
      <c r="CT91" s="7540"/>
      <c r="CU91" s="1359"/>
      <c r="CV91" s="7747"/>
      <c r="CW91" s="1562"/>
      <c r="CX91" s="1544"/>
      <c r="CY91" s="1544" t="str">
        <f t="shared" si="1"/>
        <v/>
      </c>
      <c r="CZ91" s="1544"/>
      <c r="DA91" s="1544"/>
    </row>
    <row r="92" spans="1:105" s="1827" customFormat="1" ht="21" customHeight="1">
      <c r="A92" s="1284"/>
      <c r="B92" s="1284"/>
      <c r="C92" s="1284"/>
      <c r="D92" s="1284"/>
      <c r="E92" s="7690" t="s">
        <v>88</v>
      </c>
      <c r="F92" s="7690"/>
      <c r="G92" s="7690"/>
      <c r="H92" s="7690"/>
      <c r="I92" s="7710"/>
      <c r="J92" s="7687"/>
      <c r="K92" s="1284"/>
      <c r="L92" s="1290"/>
      <c r="M92" s="1696"/>
      <c r="N92" s="1696"/>
      <c r="O92" s="1696"/>
      <c r="P92" s="7688"/>
      <c r="Q92" s="7688"/>
      <c r="R92" s="277"/>
      <c r="S92" s="2895"/>
      <c r="T92" s="2896" t="s">
        <v>659</v>
      </c>
      <c r="U92" s="2897"/>
      <c r="V92" s="2898"/>
      <c r="W92" s="2899"/>
      <c r="X92" s="2900"/>
      <c r="Y92" s="2901"/>
      <c r="Z92" s="2902"/>
      <c r="AA92" s="2903"/>
      <c r="AB92" s="2904"/>
      <c r="AC92" s="2905"/>
      <c r="AD92" s="2906"/>
      <c r="AE92" s="2907"/>
      <c r="AF92" s="2908"/>
      <c r="AG92" s="2909"/>
      <c r="AH92" s="2910"/>
      <c r="AI92" s="2911"/>
      <c r="AJ92" s="2912"/>
      <c r="AK92" s="2913"/>
      <c r="AL92" s="2914"/>
      <c r="AM92" s="2915"/>
      <c r="AN92" s="2916"/>
      <c r="AO92" s="2917"/>
      <c r="AP92" s="2918"/>
      <c r="AQ92" s="2919"/>
      <c r="AR92" s="2920"/>
      <c r="AS92" s="2921"/>
      <c r="AT92" s="2922"/>
      <c r="AU92" s="2923"/>
      <c r="AV92" s="2924"/>
      <c r="AW92" s="2925"/>
      <c r="AX92" s="2926"/>
      <c r="AY92" s="2927"/>
      <c r="AZ92" s="2928"/>
      <c r="BA92" s="2929"/>
      <c r="BB92" s="2930"/>
      <c r="BC92" s="2931"/>
      <c r="BD92" s="2932"/>
      <c r="BE92" s="2933"/>
      <c r="BF92" s="2934"/>
      <c r="BG92" s="2935"/>
      <c r="BH92" s="2936"/>
      <c r="BI92" s="2937"/>
      <c r="BJ92" s="2938"/>
      <c r="BK92" s="2939"/>
      <c r="BL92" s="2940"/>
      <c r="BM92" s="2941"/>
      <c r="BN92" s="2942"/>
      <c r="BO92" s="2943"/>
      <c r="BP92" s="2944"/>
      <c r="BQ92" s="2945"/>
      <c r="BR92" s="2946"/>
      <c r="BS92" s="2947"/>
      <c r="BT92" s="2948"/>
      <c r="BU92" s="2949"/>
      <c r="BV92" s="2950"/>
      <c r="BW92" s="2951"/>
      <c r="BX92" s="2952"/>
      <c r="BY92" s="2953"/>
      <c r="BZ92" s="2954"/>
      <c r="CA92" s="2955"/>
      <c r="CB92" s="2956"/>
      <c r="CC92" s="2957"/>
      <c r="CD92" s="2958"/>
      <c r="CE92" s="2959"/>
      <c r="CF92" s="2960"/>
      <c r="CG92" s="2961"/>
      <c r="CH92" s="2962"/>
      <c r="CI92" s="2963"/>
      <c r="CJ92" s="2964"/>
      <c r="CK92" s="2965"/>
      <c r="CL92" s="2966"/>
      <c r="CM92" s="2967"/>
      <c r="CN92" s="2968"/>
      <c r="CO92" s="2969"/>
      <c r="CP92" s="2970"/>
      <c r="CQ92" s="2971"/>
      <c r="CR92" s="2972"/>
      <c r="CS92" s="2973"/>
      <c r="CT92" s="2974"/>
      <c r="CU92" s="2975"/>
      <c r="CV92" s="1182" t="s">
        <v>660</v>
      </c>
      <c r="CW92" s="1562"/>
      <c r="CX92" s="1544"/>
      <c r="CY92" s="1544" t="str">
        <f t="shared" si="1"/>
        <v>Добавить значение признака дифференциации</v>
      </c>
      <c r="CZ92" s="1544"/>
      <c r="DA92" s="1544"/>
    </row>
    <row r="93" spans="1:105" s="1827" customFormat="1" ht="23.25" customHeight="1">
      <c r="A93" s="1284"/>
      <c r="B93" s="1284"/>
      <c r="C93" s="1284"/>
      <c r="D93" s="1284"/>
      <c r="E93" s="7690"/>
      <c r="F93" s="7690"/>
      <c r="G93" s="7690"/>
      <c r="H93" s="7690"/>
      <c r="I93" s="7710"/>
      <c r="J93" s="7687" t="str">
        <f>I88&amp;".2"</f>
        <v>4.1.1.1.2</v>
      </c>
      <c r="K93" s="1284"/>
      <c r="L93" s="1290" t="s">
        <v>582</v>
      </c>
      <c r="M93" s="1696"/>
      <c r="N93" s="1696"/>
      <c r="O93" s="1696"/>
      <c r="P93" s="7688"/>
      <c r="Q93" s="7754" t="s">
        <v>101</v>
      </c>
      <c r="R93" s="278"/>
      <c r="S93" s="1813" t="str">
        <f>$J93</f>
        <v>4.1.1.1.2</v>
      </c>
      <c r="T93" s="201" t="s">
        <v>583</v>
      </c>
      <c r="U93" s="214"/>
      <c r="V93" s="7678"/>
      <c r="W93" s="7679"/>
      <c r="X93" s="7679"/>
      <c r="Y93" s="7679"/>
      <c r="Z93" s="7679"/>
      <c r="AA93" s="7679"/>
      <c r="AB93" s="7680"/>
      <c r="AC93" s="7678" t="s">
        <v>669</v>
      </c>
      <c r="AD93" s="7679"/>
      <c r="AE93" s="7679"/>
      <c r="AF93" s="7679"/>
      <c r="AG93" s="7679"/>
      <c r="AH93" s="7679"/>
      <c r="AI93" s="7679"/>
      <c r="AJ93" s="7678"/>
      <c r="AK93" s="7679"/>
      <c r="AL93" s="7679"/>
      <c r="AM93" s="7679"/>
      <c r="AN93" s="7679"/>
      <c r="AO93" s="7679"/>
      <c r="AP93" s="7680"/>
      <c r="AQ93" s="7678"/>
      <c r="AR93" s="7679"/>
      <c r="AS93" s="7679"/>
      <c r="AT93" s="7679"/>
      <c r="AU93" s="7679"/>
      <c r="AV93" s="7679"/>
      <c r="AW93" s="7680"/>
      <c r="AX93" s="7678"/>
      <c r="AY93" s="7679"/>
      <c r="AZ93" s="7679"/>
      <c r="BA93" s="7679"/>
      <c r="BB93" s="7679"/>
      <c r="BC93" s="7679"/>
      <c r="BD93" s="7680"/>
      <c r="BE93" s="7678"/>
      <c r="BF93" s="7679"/>
      <c r="BG93" s="7679"/>
      <c r="BH93" s="7679"/>
      <c r="BI93" s="7679"/>
      <c r="BJ93" s="7679"/>
      <c r="BK93" s="7680"/>
      <c r="BL93" s="7678"/>
      <c r="BM93" s="7679"/>
      <c r="BN93" s="7679"/>
      <c r="BO93" s="7679"/>
      <c r="BP93" s="7679"/>
      <c r="BQ93" s="7679"/>
      <c r="BR93" s="7680"/>
      <c r="BS93" s="7678"/>
      <c r="BT93" s="7679"/>
      <c r="BU93" s="7679"/>
      <c r="BV93" s="7679"/>
      <c r="BW93" s="7679"/>
      <c r="BX93" s="7679"/>
      <c r="BY93" s="7680"/>
      <c r="BZ93" s="7678"/>
      <c r="CA93" s="7679"/>
      <c r="CB93" s="7679"/>
      <c r="CC93" s="7679"/>
      <c r="CD93" s="7679"/>
      <c r="CE93" s="7679"/>
      <c r="CF93" s="7680"/>
      <c r="CG93" s="7678"/>
      <c r="CH93" s="7679"/>
      <c r="CI93" s="7679"/>
      <c r="CJ93" s="7679"/>
      <c r="CK93" s="7679"/>
      <c r="CL93" s="7679"/>
      <c r="CM93" s="7680"/>
      <c r="CN93" s="7678"/>
      <c r="CO93" s="7679"/>
      <c r="CP93" s="7679"/>
      <c r="CQ93" s="7679"/>
      <c r="CR93" s="7679"/>
      <c r="CS93" s="7679"/>
      <c r="CT93" s="7680"/>
      <c r="CU93" s="7680"/>
      <c r="CV93" s="1231" t="s">
        <v>658</v>
      </c>
      <c r="CW93" s="1562"/>
      <c r="CX93" s="1544"/>
      <c r="CY93" s="1544" t="str">
        <f t="shared" si="1"/>
        <v>Группа потребителей</v>
      </c>
      <c r="CZ93" s="1544"/>
      <c r="DA93" s="1544"/>
    </row>
    <row r="94" spans="1:105" s="1827" customFormat="1" ht="23.25" customHeight="1">
      <c r="A94" s="1284"/>
      <c r="B94" s="1284"/>
      <c r="C94" s="1284"/>
      <c r="D94" s="1284"/>
      <c r="E94" s="7690"/>
      <c r="F94" s="7690"/>
      <c r="G94" s="7690"/>
      <c r="H94" s="7690"/>
      <c r="I94" s="7710"/>
      <c r="J94" s="7710" t="str">
        <f>I88&amp;".1"</f>
        <v>4.1.1.1.1</v>
      </c>
      <c r="K94" s="7687" t="str">
        <f>J93&amp;".1"</f>
        <v>4.1.1.1.2.1</v>
      </c>
      <c r="L94" s="1290"/>
      <c r="M94" s="1696"/>
      <c r="N94" s="1696"/>
      <c r="O94" s="1696"/>
      <c r="P94" s="7688"/>
      <c r="Q94" s="7688"/>
      <c r="R94" s="278">
        <v>1</v>
      </c>
      <c r="S94" s="1813" t="str">
        <f>$K94</f>
        <v>4.1.1.1.2.1</v>
      </c>
      <c r="T94" s="1357" t="s">
        <v>670</v>
      </c>
      <c r="U94" s="214"/>
      <c r="V94" s="666"/>
      <c r="W94" s="666"/>
      <c r="X94" s="1181"/>
      <c r="Y94" s="7692"/>
      <c r="Z94" s="7540" t="s">
        <v>60</v>
      </c>
      <c r="AA94" s="7692"/>
      <c r="AB94" s="7540" t="s">
        <v>60</v>
      </c>
      <c r="AC94" s="666">
        <v>61.08</v>
      </c>
      <c r="AD94" s="666"/>
      <c r="AE94" s="1181"/>
      <c r="AF94" s="7692">
        <v>45292</v>
      </c>
      <c r="AG94" s="7540" t="s">
        <v>60</v>
      </c>
      <c r="AH94" s="7711">
        <v>45473</v>
      </c>
      <c r="AI94" s="7540" t="s">
        <v>60</v>
      </c>
      <c r="AJ94" s="666">
        <v>84.09</v>
      </c>
      <c r="AK94" s="666"/>
      <c r="AL94" s="1181"/>
      <c r="AM94" s="7692">
        <v>45473</v>
      </c>
      <c r="AN94" s="7540" t="s">
        <v>60</v>
      </c>
      <c r="AO94" s="7692">
        <v>45657</v>
      </c>
      <c r="AP94" s="7540" t="s">
        <v>60</v>
      </c>
      <c r="AQ94" s="666">
        <v>77.19</v>
      </c>
      <c r="AR94" s="666"/>
      <c r="AS94" s="1181"/>
      <c r="AT94" s="7692">
        <v>45658</v>
      </c>
      <c r="AU94" s="7540" t="s">
        <v>60</v>
      </c>
      <c r="AV94" s="7692">
        <v>45838</v>
      </c>
      <c r="AW94" s="7540" t="s">
        <v>60</v>
      </c>
      <c r="AX94" s="666">
        <v>77.19</v>
      </c>
      <c r="AY94" s="666"/>
      <c r="AZ94" s="1181"/>
      <c r="BA94" s="7692">
        <v>45839</v>
      </c>
      <c r="BB94" s="7540" t="s">
        <v>60</v>
      </c>
      <c r="BC94" s="7692">
        <v>46022</v>
      </c>
      <c r="BD94" s="7540" t="s">
        <v>60</v>
      </c>
      <c r="BE94" s="666">
        <v>77.19</v>
      </c>
      <c r="BF94" s="666"/>
      <c r="BG94" s="1181"/>
      <c r="BH94" s="7692">
        <v>46023</v>
      </c>
      <c r="BI94" s="7540" t="s">
        <v>60</v>
      </c>
      <c r="BJ94" s="7692">
        <v>46203</v>
      </c>
      <c r="BK94" s="7540" t="s">
        <v>60</v>
      </c>
      <c r="BL94" s="666">
        <v>77.97</v>
      </c>
      <c r="BM94" s="666"/>
      <c r="BN94" s="1181"/>
      <c r="BO94" s="7692">
        <v>46204</v>
      </c>
      <c r="BP94" s="7540" t="s">
        <v>60</v>
      </c>
      <c r="BQ94" s="7692">
        <v>46387</v>
      </c>
      <c r="BR94" s="7540" t="s">
        <v>60</v>
      </c>
      <c r="BS94" s="666">
        <v>77.97</v>
      </c>
      <c r="BT94" s="666"/>
      <c r="BU94" s="1181"/>
      <c r="BV94" s="7692">
        <v>46388</v>
      </c>
      <c r="BW94" s="7540" t="s">
        <v>60</v>
      </c>
      <c r="BX94" s="7692">
        <v>46568</v>
      </c>
      <c r="BY94" s="7540" t="s">
        <v>60</v>
      </c>
      <c r="BZ94" s="666">
        <v>82.24</v>
      </c>
      <c r="CA94" s="666"/>
      <c r="CB94" s="1181"/>
      <c r="CC94" s="7692">
        <v>46569</v>
      </c>
      <c r="CD94" s="7540" t="s">
        <v>60</v>
      </c>
      <c r="CE94" s="7692">
        <v>46752</v>
      </c>
      <c r="CF94" s="7540" t="s">
        <v>60</v>
      </c>
      <c r="CG94" s="666">
        <v>82.24</v>
      </c>
      <c r="CH94" s="666"/>
      <c r="CI94" s="1181"/>
      <c r="CJ94" s="7692">
        <v>46753</v>
      </c>
      <c r="CK94" s="7540" t="s">
        <v>60</v>
      </c>
      <c r="CL94" s="7692">
        <v>46934</v>
      </c>
      <c r="CM94" s="7540" t="s">
        <v>60</v>
      </c>
      <c r="CN94" s="666">
        <v>84.74</v>
      </c>
      <c r="CO94" s="666"/>
      <c r="CP94" s="1181"/>
      <c r="CQ94" s="7692">
        <v>46935</v>
      </c>
      <c r="CR94" s="7540" t="s">
        <v>60</v>
      </c>
      <c r="CS94" s="7692">
        <v>47118</v>
      </c>
      <c r="CT94" s="7540" t="s">
        <v>60</v>
      </c>
      <c r="CU94" s="1358"/>
      <c r="CV94"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94" s="1562" t="e">
        <f ca="1">STRCHECKDATE(V95:CU95)</f>
        <v>#NAME?</v>
      </c>
      <c r="CX94" s="1544"/>
      <c r="CY94" s="1544" t="str">
        <f t="shared" si="1"/>
        <v>Тариф, руб. за 1 куб. метр без НДС</v>
      </c>
      <c r="CZ94" s="1544"/>
      <c r="DA94" s="1544"/>
    </row>
    <row r="95" spans="1:105" s="1827" customFormat="1" ht="14.25" customHeight="1">
      <c r="A95" s="1284"/>
      <c r="B95" s="1284"/>
      <c r="C95" s="1284"/>
      <c r="D95" s="1284"/>
      <c r="E95" s="7690"/>
      <c r="F95" s="7690"/>
      <c r="G95" s="7690"/>
      <c r="H95" s="7690"/>
      <c r="I95" s="7710"/>
      <c r="J95" s="7710" t="str">
        <f>I88&amp;".1"</f>
        <v>4.1.1.1.1</v>
      </c>
      <c r="K95" s="7687"/>
      <c r="L95" s="1290"/>
      <c r="M95" s="1696"/>
      <c r="N95" s="1696"/>
      <c r="O95" s="1696"/>
      <c r="P95" s="7688"/>
      <c r="Q95" s="7688"/>
      <c r="R95" s="278"/>
      <c r="S95" s="1822"/>
      <c r="T95" s="214"/>
      <c r="U95" s="214"/>
      <c r="V95" s="246"/>
      <c r="W95" s="246"/>
      <c r="X95" s="250" t="str">
        <f>Y94&amp;"-"&amp;AA94</f>
        <v>-</v>
      </c>
      <c r="Y95" s="7693"/>
      <c r="Z95" s="7540"/>
      <c r="AA95" s="7693"/>
      <c r="AB95" s="7540"/>
      <c r="AC95" s="246"/>
      <c r="AD95" s="246"/>
      <c r="AE95" s="250" t="str">
        <f>AF94&amp;"-"&amp;AH94</f>
        <v>45292-45473</v>
      </c>
      <c r="AF95" s="7693"/>
      <c r="AG95" s="7540"/>
      <c r="AH95" s="7712"/>
      <c r="AI95" s="7540"/>
      <c r="AJ95" s="246"/>
      <c r="AK95" s="246"/>
      <c r="AL95" s="250" t="str">
        <f>AM94&amp;"-"&amp;AO94</f>
        <v>45473-45657</v>
      </c>
      <c r="AM95" s="7693"/>
      <c r="AN95" s="7540"/>
      <c r="AO95" s="7693"/>
      <c r="AP95" s="7540"/>
      <c r="AQ95" s="246"/>
      <c r="AR95" s="246"/>
      <c r="AS95" s="250" t="str">
        <f>AT94&amp;"-"&amp;AV94</f>
        <v>45658-45838</v>
      </c>
      <c r="AT95" s="7693"/>
      <c r="AU95" s="7540"/>
      <c r="AV95" s="7693"/>
      <c r="AW95" s="7540"/>
      <c r="AX95" s="246"/>
      <c r="AY95" s="246"/>
      <c r="AZ95" s="250" t="str">
        <f>BA94&amp;"-"&amp;BC94</f>
        <v>45839-46022</v>
      </c>
      <c r="BA95" s="7693"/>
      <c r="BB95" s="7540"/>
      <c r="BC95" s="7693"/>
      <c r="BD95" s="7540"/>
      <c r="BE95" s="246"/>
      <c r="BF95" s="246"/>
      <c r="BG95" s="250" t="str">
        <f>BH94&amp;"-"&amp;BJ94</f>
        <v>46023-46203</v>
      </c>
      <c r="BH95" s="7693"/>
      <c r="BI95" s="7540"/>
      <c r="BJ95" s="7693"/>
      <c r="BK95" s="7540"/>
      <c r="BL95" s="246"/>
      <c r="BM95" s="246"/>
      <c r="BN95" s="250" t="str">
        <f>BO94&amp;"-"&amp;BQ94</f>
        <v>46204-46387</v>
      </c>
      <c r="BO95" s="7693"/>
      <c r="BP95" s="7540"/>
      <c r="BQ95" s="7693"/>
      <c r="BR95" s="7540"/>
      <c r="BS95" s="246"/>
      <c r="BT95" s="246"/>
      <c r="BU95" s="250" t="str">
        <f>BV94&amp;"-"&amp;BX94</f>
        <v>46388-46568</v>
      </c>
      <c r="BV95" s="7693"/>
      <c r="BW95" s="7540"/>
      <c r="BX95" s="7693"/>
      <c r="BY95" s="7540"/>
      <c r="BZ95" s="246"/>
      <c r="CA95" s="246"/>
      <c r="CB95" s="250" t="str">
        <f>CC94&amp;"-"&amp;CE94</f>
        <v>46569-46752</v>
      </c>
      <c r="CC95" s="7693"/>
      <c r="CD95" s="7540"/>
      <c r="CE95" s="7693"/>
      <c r="CF95" s="7540"/>
      <c r="CG95" s="246"/>
      <c r="CH95" s="246"/>
      <c r="CI95" s="250" t="str">
        <f>CJ94&amp;"-"&amp;CL94</f>
        <v>46753-46934</v>
      </c>
      <c r="CJ95" s="7693"/>
      <c r="CK95" s="7540"/>
      <c r="CL95" s="7693"/>
      <c r="CM95" s="7540"/>
      <c r="CN95" s="246"/>
      <c r="CO95" s="246"/>
      <c r="CP95" s="250" t="str">
        <f>CQ94&amp;"-"&amp;CS94</f>
        <v>46935-47118</v>
      </c>
      <c r="CQ95" s="7693"/>
      <c r="CR95" s="7540"/>
      <c r="CS95" s="7693"/>
      <c r="CT95" s="7540"/>
      <c r="CU95" s="1359"/>
      <c r="CV95" s="7747"/>
      <c r="CW95" s="1562"/>
      <c r="CX95" s="1544"/>
      <c r="CY95" s="1544" t="str">
        <f t="shared" si="1"/>
        <v/>
      </c>
      <c r="CZ95" s="1544"/>
      <c r="DA95" s="1544"/>
    </row>
    <row r="96" spans="1:105" s="1827" customFormat="1" ht="21" customHeight="1">
      <c r="A96" s="1284"/>
      <c r="B96" s="1284"/>
      <c r="C96" s="1284"/>
      <c r="D96" s="1284"/>
      <c r="E96" s="7690"/>
      <c r="F96" s="7690"/>
      <c r="G96" s="7690"/>
      <c r="H96" s="7690"/>
      <c r="I96" s="7710"/>
      <c r="J96" s="7687" t="str">
        <f>I88&amp;".1"</f>
        <v>4.1.1.1.1</v>
      </c>
      <c r="K96" s="1284"/>
      <c r="L96" s="1290"/>
      <c r="M96" s="1696"/>
      <c r="N96" s="1696"/>
      <c r="O96" s="1696"/>
      <c r="P96" s="7688"/>
      <c r="Q96" s="7688"/>
      <c r="R96" s="277"/>
      <c r="S96" s="2976"/>
      <c r="T96" s="2977" t="s">
        <v>659</v>
      </c>
      <c r="U96" s="2978"/>
      <c r="V96" s="2979"/>
      <c r="W96" s="2980"/>
      <c r="X96" s="2981"/>
      <c r="Y96" s="2982"/>
      <c r="Z96" s="2983"/>
      <c r="AA96" s="2984"/>
      <c r="AB96" s="2985"/>
      <c r="AC96" s="2986"/>
      <c r="AD96" s="2987"/>
      <c r="AE96" s="2988"/>
      <c r="AF96" s="2989"/>
      <c r="AG96" s="2990"/>
      <c r="AH96" s="2991"/>
      <c r="AI96" s="2992"/>
      <c r="AJ96" s="2993"/>
      <c r="AK96" s="2994"/>
      <c r="AL96" s="2995"/>
      <c r="AM96" s="2996"/>
      <c r="AN96" s="2997"/>
      <c r="AO96" s="2998"/>
      <c r="AP96" s="2999"/>
      <c r="AQ96" s="3000"/>
      <c r="AR96" s="3001"/>
      <c r="AS96" s="3002"/>
      <c r="AT96" s="3003"/>
      <c r="AU96" s="3004"/>
      <c r="AV96" s="3005"/>
      <c r="AW96" s="3006"/>
      <c r="AX96" s="3007"/>
      <c r="AY96" s="3008"/>
      <c r="AZ96" s="3009"/>
      <c r="BA96" s="3010"/>
      <c r="BB96" s="3011"/>
      <c r="BC96" s="3012"/>
      <c r="BD96" s="3013"/>
      <c r="BE96" s="3014"/>
      <c r="BF96" s="3015"/>
      <c r="BG96" s="3016"/>
      <c r="BH96" s="3017"/>
      <c r="BI96" s="3018"/>
      <c r="BJ96" s="3019"/>
      <c r="BK96" s="3020"/>
      <c r="BL96" s="3021"/>
      <c r="BM96" s="3022"/>
      <c r="BN96" s="3023"/>
      <c r="BO96" s="3024"/>
      <c r="BP96" s="3025"/>
      <c r="BQ96" s="3026"/>
      <c r="BR96" s="3027"/>
      <c r="BS96" s="3028"/>
      <c r="BT96" s="3029"/>
      <c r="BU96" s="3030"/>
      <c r="BV96" s="3031"/>
      <c r="BW96" s="3032"/>
      <c r="BX96" s="3033"/>
      <c r="BY96" s="3034"/>
      <c r="BZ96" s="3035"/>
      <c r="CA96" s="3036"/>
      <c r="CB96" s="3037"/>
      <c r="CC96" s="3038"/>
      <c r="CD96" s="3039"/>
      <c r="CE96" s="3040"/>
      <c r="CF96" s="3041"/>
      <c r="CG96" s="3042"/>
      <c r="CH96" s="3043"/>
      <c r="CI96" s="3044"/>
      <c r="CJ96" s="3045"/>
      <c r="CK96" s="3046"/>
      <c r="CL96" s="3047"/>
      <c r="CM96" s="3048"/>
      <c r="CN96" s="3049"/>
      <c r="CO96" s="3050"/>
      <c r="CP96" s="3051"/>
      <c r="CQ96" s="3052"/>
      <c r="CR96" s="3053"/>
      <c r="CS96" s="3054"/>
      <c r="CT96" s="3055"/>
      <c r="CU96" s="3056"/>
      <c r="CV96" s="1182" t="s">
        <v>660</v>
      </c>
      <c r="CW96" s="1562"/>
      <c r="CX96" s="1544"/>
      <c r="CY96" s="1544" t="str">
        <f t="shared" si="1"/>
        <v>Добавить значение признака дифференциации</v>
      </c>
      <c r="CZ96" s="1544"/>
      <c r="DA96" s="1544"/>
    </row>
    <row r="97" spans="1:105" s="1827" customFormat="1" ht="21" customHeight="1">
      <c r="A97" s="1284"/>
      <c r="B97" s="1284"/>
      <c r="C97" s="1284"/>
      <c r="D97" s="1284"/>
      <c r="E97" s="7690" t="s">
        <v>88</v>
      </c>
      <c r="F97" s="7690"/>
      <c r="G97" s="7690"/>
      <c r="H97" s="7690"/>
      <c r="I97" s="7687"/>
      <c r="J97" s="1284"/>
      <c r="K97" s="1284"/>
      <c r="L97" s="1290"/>
      <c r="M97" s="1696"/>
      <c r="N97" s="1696"/>
      <c r="O97" s="1696"/>
      <c r="P97" s="7688"/>
      <c r="Q97" s="1816"/>
      <c r="R97" s="277"/>
      <c r="S97" s="3057"/>
      <c r="T97" s="3058" t="s">
        <v>588</v>
      </c>
      <c r="U97" s="3059"/>
      <c r="V97" s="3060"/>
      <c r="W97" s="3061"/>
      <c r="X97" s="3062"/>
      <c r="Y97" s="3063"/>
      <c r="Z97" s="3064"/>
      <c r="AA97" s="3065"/>
      <c r="AB97" s="3066"/>
      <c r="AC97" s="3067"/>
      <c r="AD97" s="3068"/>
      <c r="AE97" s="3069"/>
      <c r="AF97" s="3070"/>
      <c r="AG97" s="3071"/>
      <c r="AH97" s="3072"/>
      <c r="AI97" s="3073"/>
      <c r="AJ97" s="3074"/>
      <c r="AK97" s="3075"/>
      <c r="AL97" s="3076"/>
      <c r="AM97" s="3077"/>
      <c r="AN97" s="3078"/>
      <c r="AO97" s="3079"/>
      <c r="AP97" s="3080"/>
      <c r="AQ97" s="3081"/>
      <c r="AR97" s="3082"/>
      <c r="AS97" s="3083"/>
      <c r="AT97" s="3084"/>
      <c r="AU97" s="3085"/>
      <c r="AV97" s="3086"/>
      <c r="AW97" s="3087"/>
      <c r="AX97" s="3088"/>
      <c r="AY97" s="3089"/>
      <c r="AZ97" s="3090"/>
      <c r="BA97" s="3091"/>
      <c r="BB97" s="3092"/>
      <c r="BC97" s="3093"/>
      <c r="BD97" s="3094"/>
      <c r="BE97" s="3095"/>
      <c r="BF97" s="3096"/>
      <c r="BG97" s="3097"/>
      <c r="BH97" s="3098"/>
      <c r="BI97" s="3099"/>
      <c r="BJ97" s="3100"/>
      <c r="BK97" s="3101"/>
      <c r="BL97" s="3102"/>
      <c r="BM97" s="3103"/>
      <c r="BN97" s="3104"/>
      <c r="BO97" s="3105"/>
      <c r="BP97" s="3106"/>
      <c r="BQ97" s="3107"/>
      <c r="BR97" s="3108"/>
      <c r="BS97" s="3109"/>
      <c r="BT97" s="3110"/>
      <c r="BU97" s="3111"/>
      <c r="BV97" s="3112"/>
      <c r="BW97" s="3113"/>
      <c r="BX97" s="3114"/>
      <c r="BY97" s="3115"/>
      <c r="BZ97" s="3116"/>
      <c r="CA97" s="3117"/>
      <c r="CB97" s="3118"/>
      <c r="CC97" s="3119"/>
      <c r="CD97" s="3120"/>
      <c r="CE97" s="3121"/>
      <c r="CF97" s="3122"/>
      <c r="CG97" s="3123"/>
      <c r="CH97" s="3124"/>
      <c r="CI97" s="3125"/>
      <c r="CJ97" s="3126"/>
      <c r="CK97" s="3127"/>
      <c r="CL97" s="3128"/>
      <c r="CM97" s="3129"/>
      <c r="CN97" s="3130"/>
      <c r="CO97" s="3131"/>
      <c r="CP97" s="3132"/>
      <c r="CQ97" s="3133"/>
      <c r="CR97" s="3134"/>
      <c r="CS97" s="3135"/>
      <c r="CT97" s="3136"/>
      <c r="CU97" s="3137"/>
      <c r="CV97" s="3138"/>
      <c r="CW97" s="1562"/>
      <c r="CX97" s="1544"/>
      <c r="CY97" s="1544" t="str">
        <f t="shared" si="1"/>
        <v>Добавить группу потребителей</v>
      </c>
      <c r="CZ97" s="1544"/>
      <c r="DA97" s="1544"/>
    </row>
    <row r="98" spans="1:105" s="1827" customFormat="1" ht="14.25" customHeight="1">
      <c r="A98" s="1284"/>
      <c r="B98" s="1284"/>
      <c r="C98" s="1284"/>
      <c r="D98" s="1284"/>
      <c r="E98" s="7690" t="s">
        <v>88</v>
      </c>
      <c r="F98" s="7690"/>
      <c r="G98" s="7690"/>
      <c r="H98" s="7689"/>
      <c r="I98" s="1284"/>
      <c r="J98" s="1284"/>
      <c r="K98" s="1284"/>
      <c r="L98" s="1290"/>
      <c r="M98" s="1286"/>
      <c r="N98" s="1286"/>
      <c r="O98" s="1287"/>
      <c r="P98" s="1742"/>
      <c r="Q98" s="299"/>
      <c r="R98" s="276"/>
      <c r="S98" s="3139"/>
      <c r="T98" s="3140" t="s">
        <v>661</v>
      </c>
      <c r="U98" s="3141"/>
      <c r="V98" s="3142"/>
      <c r="W98" s="3143"/>
      <c r="X98" s="3144"/>
      <c r="Y98" s="3145"/>
      <c r="Z98" s="3146"/>
      <c r="AA98" s="3147"/>
      <c r="AB98" s="3148"/>
      <c r="AC98" s="3149"/>
      <c r="AD98" s="3150"/>
      <c r="AE98" s="3151"/>
      <c r="AF98" s="3152"/>
      <c r="AG98" s="3153"/>
      <c r="AH98" s="3154"/>
      <c r="AI98" s="3155"/>
      <c r="AJ98" s="3156"/>
      <c r="AK98" s="3157"/>
      <c r="AL98" s="3158"/>
      <c r="AM98" s="3159"/>
      <c r="AN98" s="3160"/>
      <c r="AO98" s="3161"/>
      <c r="AP98" s="3162"/>
      <c r="AQ98" s="3163"/>
      <c r="AR98" s="3164"/>
      <c r="AS98" s="3165"/>
      <c r="AT98" s="3166"/>
      <c r="AU98" s="3167"/>
      <c r="AV98" s="3168"/>
      <c r="AW98" s="3169"/>
      <c r="AX98" s="3170"/>
      <c r="AY98" s="3171"/>
      <c r="AZ98" s="3172"/>
      <c r="BA98" s="3173"/>
      <c r="BB98" s="3174"/>
      <c r="BC98" s="3175"/>
      <c r="BD98" s="3176"/>
      <c r="BE98" s="3177"/>
      <c r="BF98" s="3178"/>
      <c r="BG98" s="3179"/>
      <c r="BH98" s="3180"/>
      <c r="BI98" s="3181"/>
      <c r="BJ98" s="3182"/>
      <c r="BK98" s="3183"/>
      <c r="BL98" s="3184"/>
      <c r="BM98" s="3185"/>
      <c r="BN98" s="3186"/>
      <c r="BO98" s="3187"/>
      <c r="BP98" s="3188"/>
      <c r="BQ98" s="3189"/>
      <c r="BR98" s="3190"/>
      <c r="BS98" s="3191"/>
      <c r="BT98" s="3192"/>
      <c r="BU98" s="3193"/>
      <c r="BV98" s="3194"/>
      <c r="BW98" s="3195"/>
      <c r="BX98" s="3196"/>
      <c r="BY98" s="3197"/>
      <c r="BZ98" s="3198"/>
      <c r="CA98" s="3199"/>
      <c r="CB98" s="3200"/>
      <c r="CC98" s="3201"/>
      <c r="CD98" s="3202"/>
      <c r="CE98" s="3203"/>
      <c r="CF98" s="3204"/>
      <c r="CG98" s="3205"/>
      <c r="CH98" s="3206"/>
      <c r="CI98" s="3207"/>
      <c r="CJ98" s="3208"/>
      <c r="CK98" s="3209"/>
      <c r="CL98" s="3210"/>
      <c r="CM98" s="3211"/>
      <c r="CN98" s="3212"/>
      <c r="CO98" s="3213"/>
      <c r="CP98" s="3214"/>
      <c r="CQ98" s="3215"/>
      <c r="CR98" s="3216"/>
      <c r="CS98" s="3217"/>
      <c r="CT98" s="3218"/>
      <c r="CU98" s="3219"/>
      <c r="CV98" s="3220"/>
      <c r="CW98" s="1562"/>
      <c r="CX98" s="1544"/>
      <c r="CY98" s="1544" t="str">
        <f t="shared" si="1"/>
        <v>Добавить наименование признака дифференциации</v>
      </c>
      <c r="CZ98" s="1544"/>
      <c r="DA98" s="1544"/>
    </row>
    <row r="99" spans="1:105" s="541" customFormat="1" ht="14.25" customHeight="1">
      <c r="A99" s="1265"/>
      <c r="B99" s="1265"/>
      <c r="C99" s="1265"/>
      <c r="D99" s="1265"/>
      <c r="E99" s="7690" t="s">
        <v>88</v>
      </c>
      <c r="F99" s="7689"/>
      <c r="G99" s="1265"/>
      <c r="H99" s="1265"/>
      <c r="I99" s="1265"/>
      <c r="J99" s="1265"/>
      <c r="K99" s="1265"/>
      <c r="L99" s="1466"/>
      <c r="M99" s="1244"/>
      <c r="N99" s="1244"/>
      <c r="O99" s="1562"/>
      <c r="P99" s="1239"/>
      <c r="Q99" s="1266"/>
      <c r="R99" s="1239"/>
      <c r="S99" s="1245"/>
      <c r="T99" s="1248" t="s">
        <v>325</v>
      </c>
      <c r="U99" s="1247"/>
      <c r="V99" s="1247"/>
      <c r="W99" s="1247"/>
      <c r="X99" s="1247"/>
      <c r="Y99" s="1247"/>
      <c r="Z99" s="1247"/>
      <c r="AA99" s="1247"/>
      <c r="AB99" s="1247"/>
      <c r="AC99" s="1247"/>
      <c r="AD99" s="1247"/>
      <c r="AE99" s="1247"/>
      <c r="AF99" s="1247"/>
      <c r="AG99" s="1247"/>
      <c r="AH99" s="1247"/>
      <c r="AI99" s="1247"/>
      <c r="AJ99" s="1247"/>
      <c r="AK99" s="1247"/>
      <c r="AL99" s="1247"/>
      <c r="AM99" s="1247"/>
      <c r="AN99" s="1247"/>
      <c r="AO99" s="1247"/>
      <c r="AP99" s="1247"/>
      <c r="AQ99" s="1247"/>
      <c r="AR99" s="1247"/>
      <c r="AS99" s="1247"/>
      <c r="AT99" s="1247"/>
      <c r="AU99" s="1247"/>
      <c r="AV99" s="1247"/>
      <c r="AW99" s="1247"/>
      <c r="AX99" s="1247"/>
      <c r="AY99" s="1247"/>
      <c r="AZ99" s="1247"/>
      <c r="BA99" s="1247"/>
      <c r="BB99" s="1247"/>
      <c r="BC99" s="1247"/>
      <c r="BD99" s="1247"/>
      <c r="BE99" s="1247"/>
      <c r="BF99" s="1247"/>
      <c r="BG99" s="1247"/>
      <c r="BH99" s="1247"/>
      <c r="BI99" s="1247"/>
      <c r="BJ99" s="1247"/>
      <c r="BK99" s="1247"/>
      <c r="BL99" s="1247"/>
      <c r="BM99" s="1247"/>
      <c r="BN99" s="1247"/>
      <c r="BO99" s="1247"/>
      <c r="BP99" s="1247"/>
      <c r="BQ99" s="1247"/>
      <c r="BR99" s="1247"/>
      <c r="BS99" s="1247"/>
      <c r="BT99" s="1247"/>
      <c r="BU99" s="1247"/>
      <c r="BV99" s="1247"/>
      <c r="BW99" s="1247"/>
      <c r="BX99" s="1247"/>
      <c r="BY99" s="1247"/>
      <c r="BZ99" s="1247"/>
      <c r="CA99" s="1247"/>
      <c r="CB99" s="1247"/>
      <c r="CC99" s="1247"/>
      <c r="CD99" s="1247"/>
      <c r="CE99" s="1247"/>
      <c r="CF99" s="1247"/>
      <c r="CG99" s="1247"/>
      <c r="CH99" s="1247"/>
      <c r="CI99" s="1247"/>
      <c r="CJ99" s="1247"/>
      <c r="CK99" s="1247"/>
      <c r="CL99" s="1247"/>
      <c r="CM99" s="1247"/>
      <c r="CN99" s="1247"/>
      <c r="CO99" s="1247"/>
      <c r="CP99" s="1247"/>
      <c r="CQ99" s="1247"/>
      <c r="CR99" s="1247"/>
      <c r="CS99" s="1247"/>
      <c r="CT99" s="1247"/>
      <c r="CU99" s="1247"/>
      <c r="CV99" s="1247"/>
      <c r="CW99" s="1562"/>
      <c r="CX99" s="1544"/>
      <c r="CY99" s="1544" t="str">
        <f t="shared" si="1"/>
        <v>Добавить централизованную систему для дифференциации</v>
      </c>
      <c r="CZ99" s="1544"/>
      <c r="DA99" s="1544"/>
    </row>
    <row r="100" spans="1:105" s="541" customFormat="1" ht="14.25" customHeight="1">
      <c r="A100" s="1265"/>
      <c r="B100" s="1265"/>
      <c r="C100" s="1265"/>
      <c r="D100" s="1265"/>
      <c r="E100" s="7689" t="s">
        <v>88</v>
      </c>
      <c r="F100" s="1265"/>
      <c r="G100" s="1265"/>
      <c r="H100" s="1265"/>
      <c r="I100" s="1265"/>
      <c r="J100" s="1265"/>
      <c r="K100" s="1265"/>
      <c r="L100" s="1466"/>
      <c r="M100" s="1244"/>
      <c r="N100" s="1244"/>
      <c r="O100" s="1562"/>
      <c r="P100" s="1239"/>
      <c r="Q100" s="1266"/>
      <c r="R100" s="1239"/>
      <c r="S100" s="1245"/>
      <c r="T100" s="1248" t="s">
        <v>326</v>
      </c>
      <c r="U100" s="1247"/>
      <c r="V100" s="1247"/>
      <c r="W100" s="1247"/>
      <c r="X100" s="1247"/>
      <c r="Y100" s="1247"/>
      <c r="Z100" s="1247"/>
      <c r="AA100" s="1247"/>
      <c r="AB100" s="1247"/>
      <c r="AC100" s="1247"/>
      <c r="AD100" s="1247"/>
      <c r="AE100" s="1247"/>
      <c r="AF100" s="1247"/>
      <c r="AG100" s="1247"/>
      <c r="AH100" s="1247"/>
      <c r="AI100" s="1247"/>
      <c r="AJ100" s="1247"/>
      <c r="AK100" s="1247"/>
      <c r="AL100" s="1247"/>
      <c r="AM100" s="1247"/>
      <c r="AN100" s="1247"/>
      <c r="AO100" s="1247"/>
      <c r="AP100" s="1247"/>
      <c r="AQ100" s="1247"/>
      <c r="AR100" s="1247"/>
      <c r="AS100" s="1247"/>
      <c r="AT100" s="1247"/>
      <c r="AU100" s="1247"/>
      <c r="AV100" s="1247"/>
      <c r="AW100" s="1247"/>
      <c r="AX100" s="1247"/>
      <c r="AY100" s="1247"/>
      <c r="AZ100" s="1247"/>
      <c r="BA100" s="1247"/>
      <c r="BB100" s="1247"/>
      <c r="BC100" s="1247"/>
      <c r="BD100" s="1247"/>
      <c r="BE100" s="1247"/>
      <c r="BF100" s="1247"/>
      <c r="BG100" s="1247"/>
      <c r="BH100" s="1247"/>
      <c r="BI100" s="1247"/>
      <c r="BJ100" s="1247"/>
      <c r="BK100" s="1247"/>
      <c r="BL100" s="1247"/>
      <c r="BM100" s="1247"/>
      <c r="BN100" s="1247"/>
      <c r="BO100" s="1247"/>
      <c r="BP100" s="1247"/>
      <c r="BQ100" s="1247"/>
      <c r="BR100" s="1247"/>
      <c r="BS100" s="1247"/>
      <c r="BT100" s="1247"/>
      <c r="BU100" s="1247"/>
      <c r="BV100" s="1247"/>
      <c r="BW100" s="1247"/>
      <c r="BX100" s="1247"/>
      <c r="BY100" s="1247"/>
      <c r="BZ100" s="1247"/>
      <c r="CA100" s="1247"/>
      <c r="CB100" s="1247"/>
      <c r="CC100" s="1247"/>
      <c r="CD100" s="1247"/>
      <c r="CE100" s="1247"/>
      <c r="CF100" s="1247"/>
      <c r="CG100" s="1247"/>
      <c r="CH100" s="1247"/>
      <c r="CI100" s="1247"/>
      <c r="CJ100" s="1247"/>
      <c r="CK100" s="1247"/>
      <c r="CL100" s="1247"/>
      <c r="CM100" s="1247"/>
      <c r="CN100" s="1247"/>
      <c r="CO100" s="1247"/>
      <c r="CP100" s="1247"/>
      <c r="CQ100" s="1247"/>
      <c r="CR100" s="1247"/>
      <c r="CS100" s="1247"/>
      <c r="CT100" s="1247"/>
      <c r="CU100" s="1247"/>
      <c r="CV100" s="1247"/>
      <c r="CW100" s="1562"/>
      <c r="CX100" s="1544"/>
      <c r="CY100" s="1544" t="str">
        <f t="shared" si="1"/>
        <v>Добавить территорию для дифференциации</v>
      </c>
      <c r="CZ100" s="1544"/>
      <c r="DA100" s="1544"/>
    </row>
    <row r="101" spans="1:105" s="1827" customFormat="1" ht="23.25" customHeight="1">
      <c r="A101" s="1284" t="s">
        <v>343</v>
      </c>
      <c r="B101" s="1284"/>
      <c r="C101" s="1284"/>
      <c r="D101" s="1284"/>
      <c r="E101" s="7689" t="s">
        <v>111</v>
      </c>
      <c r="F101" s="1284"/>
      <c r="G101" s="1284"/>
      <c r="H101" s="1284"/>
      <c r="I101" s="1284"/>
      <c r="J101" s="1284"/>
      <c r="K101" s="1284"/>
      <c r="L101" s="1290"/>
      <c r="M101" s="1286"/>
      <c r="N101" s="1286"/>
      <c r="O101" s="1286"/>
      <c r="P101" s="1817"/>
      <c r="Q101" s="1742"/>
      <c r="R101" s="276"/>
      <c r="S101" s="1813" t="str">
        <f>INDEX(PT_DIFFERENTIATION_NUM_NTAR,MATCH(A101,PT_DIFFERENTIATION_NTAR_ID,0))</f>
        <v>5</v>
      </c>
      <c r="T101" s="1440" t="s">
        <v>237</v>
      </c>
      <c r="U101" s="214"/>
      <c r="V101" s="7675"/>
      <c r="W101" s="7676"/>
      <c r="X101" s="7676"/>
      <c r="Y101" s="7676"/>
      <c r="Z101" s="7676"/>
      <c r="AA101" s="7676"/>
      <c r="AB101" s="7677"/>
      <c r="AC101" s="7675" t="str">
        <f>INDEX(PT_DIFFERENTIATION_NTAR,MATCH(A101,PT_DIFFERENTIATION_NTAR_ID,0))</f>
        <v xml:space="preserve">Тарифы на питьевую воду для потребителей, присоединенных к централизованным системам водоснабжения  села Николо-Александровского и поселка Ленинского Левокумского муниципального округа </v>
      </c>
      <c r="AD101" s="7676"/>
      <c r="AE101" s="7676"/>
      <c r="AF101" s="7676"/>
      <c r="AG101" s="7676"/>
      <c r="AH101" s="7676"/>
      <c r="AI101" s="7676"/>
      <c r="AJ101" s="7675"/>
      <c r="AK101" s="7676"/>
      <c r="AL101" s="7676"/>
      <c r="AM101" s="7676"/>
      <c r="AN101" s="7676"/>
      <c r="AO101" s="7676"/>
      <c r="AP101" s="7677"/>
      <c r="AQ101" s="7675"/>
      <c r="AR101" s="7676"/>
      <c r="AS101" s="7676"/>
      <c r="AT101" s="7676"/>
      <c r="AU101" s="7676"/>
      <c r="AV101" s="7676"/>
      <c r="AW101" s="7677"/>
      <c r="AX101" s="7675"/>
      <c r="AY101" s="7676"/>
      <c r="AZ101" s="7676"/>
      <c r="BA101" s="7676"/>
      <c r="BB101" s="7676"/>
      <c r="BC101" s="7676"/>
      <c r="BD101" s="7677"/>
      <c r="BE101" s="7675"/>
      <c r="BF101" s="7676"/>
      <c r="BG101" s="7676"/>
      <c r="BH101" s="7676"/>
      <c r="BI101" s="7676"/>
      <c r="BJ101" s="7676"/>
      <c r="BK101" s="7677"/>
      <c r="BL101" s="7675"/>
      <c r="BM101" s="7676"/>
      <c r="BN101" s="7676"/>
      <c r="BO101" s="7676"/>
      <c r="BP101" s="7676"/>
      <c r="BQ101" s="7676"/>
      <c r="BR101" s="7677"/>
      <c r="BS101" s="7675"/>
      <c r="BT101" s="7676"/>
      <c r="BU101" s="7676"/>
      <c r="BV101" s="7676"/>
      <c r="BW101" s="7676"/>
      <c r="BX101" s="7676"/>
      <c r="BY101" s="7677"/>
      <c r="BZ101" s="7675"/>
      <c r="CA101" s="7676"/>
      <c r="CB101" s="7676"/>
      <c r="CC101" s="7676"/>
      <c r="CD101" s="7676"/>
      <c r="CE101" s="7676"/>
      <c r="CF101" s="7677"/>
      <c r="CG101" s="7675"/>
      <c r="CH101" s="7676"/>
      <c r="CI101" s="7676"/>
      <c r="CJ101" s="7676"/>
      <c r="CK101" s="7676"/>
      <c r="CL101" s="7676"/>
      <c r="CM101" s="7677"/>
      <c r="CN101" s="7675"/>
      <c r="CO101" s="7676"/>
      <c r="CP101" s="7676"/>
      <c r="CQ101" s="7676"/>
      <c r="CR101" s="7676"/>
      <c r="CS101" s="7676"/>
      <c r="CT101" s="7677"/>
      <c r="CU101" s="7677"/>
      <c r="CV10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101" s="1562"/>
      <c r="CX101" s="1544"/>
      <c r="CY101" s="1544" t="str">
        <f t="shared" si="1"/>
        <v>Наименование тарифа</v>
      </c>
      <c r="CZ101" s="1544"/>
      <c r="DA101" s="1544"/>
    </row>
    <row r="102" spans="1:105" s="1827" customFormat="1" ht="23.25" customHeight="1">
      <c r="A102" s="1284"/>
      <c r="B102" s="1284" t="s">
        <v>344</v>
      </c>
      <c r="C102" s="1284"/>
      <c r="D102" s="1284"/>
      <c r="E102" s="7690" t="s">
        <v>89</v>
      </c>
      <c r="F102" s="7689">
        <v>1</v>
      </c>
      <c r="G102" s="1284"/>
      <c r="H102" s="1284"/>
      <c r="I102" s="1284"/>
      <c r="J102" s="1284"/>
      <c r="K102" s="1284"/>
      <c r="L102" s="1290"/>
      <c r="M102" s="1286"/>
      <c r="N102" s="1286"/>
      <c r="O102" s="1286"/>
      <c r="P102" s="1807"/>
      <c r="Q102" s="273"/>
      <c r="R102" s="274"/>
      <c r="S102" s="1813" t="str">
        <f>INDEX(PT_DIFFERENTIATION_NUM_TER,MATCH(B102,PT_DIFFERENTIATION_TER_ID,0))</f>
        <v>5.1</v>
      </c>
      <c r="T102" s="1437" t="s">
        <v>573</v>
      </c>
      <c r="U102" s="214"/>
      <c r="V102" s="7675"/>
      <c r="W102" s="7676"/>
      <c r="X102" s="7676"/>
      <c r="Y102" s="7676"/>
      <c r="Z102" s="7676"/>
      <c r="AA102" s="7676"/>
      <c r="AB102" s="7677"/>
      <c r="AC102" s="7675" t="str">
        <f>INDEX(PT_DIFFERENTIATION_TER,MATCH(B102,PT_DIFFERENTIATION_TER_ID,0))</f>
        <v>Территория 4</v>
      </c>
      <c r="AD102" s="7676"/>
      <c r="AE102" s="7676"/>
      <c r="AF102" s="7676"/>
      <c r="AG102" s="7676"/>
      <c r="AH102" s="7676"/>
      <c r="AI102" s="7676"/>
      <c r="AJ102" s="7675"/>
      <c r="AK102" s="7676"/>
      <c r="AL102" s="7676"/>
      <c r="AM102" s="7676"/>
      <c r="AN102" s="7676"/>
      <c r="AO102" s="7676"/>
      <c r="AP102" s="7677"/>
      <c r="AQ102" s="7675"/>
      <c r="AR102" s="7676"/>
      <c r="AS102" s="7676"/>
      <c r="AT102" s="7676"/>
      <c r="AU102" s="7676"/>
      <c r="AV102" s="7676"/>
      <c r="AW102" s="7677"/>
      <c r="AX102" s="7675"/>
      <c r="AY102" s="7676"/>
      <c r="AZ102" s="7676"/>
      <c r="BA102" s="7676"/>
      <c r="BB102" s="7676"/>
      <c r="BC102" s="7676"/>
      <c r="BD102" s="7677"/>
      <c r="BE102" s="7675"/>
      <c r="BF102" s="7676"/>
      <c r="BG102" s="7676"/>
      <c r="BH102" s="7676"/>
      <c r="BI102" s="7676"/>
      <c r="BJ102" s="7676"/>
      <c r="BK102" s="7677"/>
      <c r="BL102" s="7675"/>
      <c r="BM102" s="7676"/>
      <c r="BN102" s="7676"/>
      <c r="BO102" s="7676"/>
      <c r="BP102" s="7676"/>
      <c r="BQ102" s="7676"/>
      <c r="BR102" s="7677"/>
      <c r="BS102" s="7675"/>
      <c r="BT102" s="7676"/>
      <c r="BU102" s="7676"/>
      <c r="BV102" s="7676"/>
      <c r="BW102" s="7676"/>
      <c r="BX102" s="7676"/>
      <c r="BY102" s="7677"/>
      <c r="BZ102" s="7675"/>
      <c r="CA102" s="7676"/>
      <c r="CB102" s="7676"/>
      <c r="CC102" s="7676"/>
      <c r="CD102" s="7676"/>
      <c r="CE102" s="7676"/>
      <c r="CF102" s="7677"/>
      <c r="CG102" s="7675"/>
      <c r="CH102" s="7676"/>
      <c r="CI102" s="7676"/>
      <c r="CJ102" s="7676"/>
      <c r="CK102" s="7676"/>
      <c r="CL102" s="7676"/>
      <c r="CM102" s="7677"/>
      <c r="CN102" s="7675"/>
      <c r="CO102" s="7676"/>
      <c r="CP102" s="7676"/>
      <c r="CQ102" s="7676"/>
      <c r="CR102" s="7676"/>
      <c r="CS102" s="7676"/>
      <c r="CT102" s="7677"/>
      <c r="CU102" s="7677"/>
      <c r="CV102" s="1182" t="s">
        <v>574</v>
      </c>
      <c r="CW102" s="1562"/>
      <c r="CX102" s="1544"/>
      <c r="CY102" s="1544" t="str">
        <f t="shared" si="1"/>
        <v>Территория действия тарифа</v>
      </c>
      <c r="CZ102" s="1544"/>
      <c r="DA102" s="1544"/>
    </row>
    <row r="103" spans="1:105" s="1827" customFormat="1" ht="23.25" customHeight="1">
      <c r="A103" s="1284"/>
      <c r="B103" s="1284"/>
      <c r="C103" s="1284" t="s">
        <v>345</v>
      </c>
      <c r="D103" s="1284"/>
      <c r="E103" s="7690" t="s">
        <v>89</v>
      </c>
      <c r="F103" s="7690"/>
      <c r="G103" s="7689">
        <v>1</v>
      </c>
      <c r="H103" s="1284"/>
      <c r="I103" s="1284"/>
      <c r="J103" s="1284"/>
      <c r="K103" s="1284"/>
      <c r="L103" s="1290"/>
      <c r="M103" s="1286"/>
      <c r="N103" s="1286"/>
      <c r="O103" s="1286"/>
      <c r="P103" s="275"/>
      <c r="Q103" s="273"/>
      <c r="R103" s="274"/>
      <c r="S103" s="1813" t="str">
        <f>INDEX(PT_DIFFERENTIATION_NUM_CS,MATCH(C103,PT_DIFFERENTIATION_CS_ID,0))</f>
        <v>5.1.1</v>
      </c>
      <c r="T103" s="225" t="s">
        <v>654</v>
      </c>
      <c r="U103" s="214"/>
      <c r="V103" s="7675"/>
      <c r="W103" s="7676"/>
      <c r="X103" s="7676"/>
      <c r="Y103" s="7676"/>
      <c r="Z103" s="7676"/>
      <c r="AA103" s="7676"/>
      <c r="AB103" s="7677"/>
      <c r="AC103" s="7675" t="str">
        <f>INDEX(PT_DIFFERENTIATION_CS,MATCH(C103,PT_DIFFERENTIATION_CS_ID,0))</f>
        <v>без дифференциации</v>
      </c>
      <c r="AD103" s="7676"/>
      <c r="AE103" s="7676"/>
      <c r="AF103" s="7676"/>
      <c r="AG103" s="7676"/>
      <c r="AH103" s="7676"/>
      <c r="AI103" s="7676"/>
      <c r="AJ103" s="7675"/>
      <c r="AK103" s="7676"/>
      <c r="AL103" s="7676"/>
      <c r="AM103" s="7676"/>
      <c r="AN103" s="7676"/>
      <c r="AO103" s="7676"/>
      <c r="AP103" s="7677"/>
      <c r="AQ103" s="7675"/>
      <c r="AR103" s="7676"/>
      <c r="AS103" s="7676"/>
      <c r="AT103" s="7676"/>
      <c r="AU103" s="7676"/>
      <c r="AV103" s="7676"/>
      <c r="AW103" s="7677"/>
      <c r="AX103" s="7675"/>
      <c r="AY103" s="7676"/>
      <c r="AZ103" s="7676"/>
      <c r="BA103" s="7676"/>
      <c r="BB103" s="7676"/>
      <c r="BC103" s="7676"/>
      <c r="BD103" s="7677"/>
      <c r="BE103" s="7675"/>
      <c r="BF103" s="7676"/>
      <c r="BG103" s="7676"/>
      <c r="BH103" s="7676"/>
      <c r="BI103" s="7676"/>
      <c r="BJ103" s="7676"/>
      <c r="BK103" s="7677"/>
      <c r="BL103" s="7675"/>
      <c r="BM103" s="7676"/>
      <c r="BN103" s="7676"/>
      <c r="BO103" s="7676"/>
      <c r="BP103" s="7676"/>
      <c r="BQ103" s="7676"/>
      <c r="BR103" s="7677"/>
      <c r="BS103" s="7675"/>
      <c r="BT103" s="7676"/>
      <c r="BU103" s="7676"/>
      <c r="BV103" s="7676"/>
      <c r="BW103" s="7676"/>
      <c r="BX103" s="7676"/>
      <c r="BY103" s="7677"/>
      <c r="BZ103" s="7675"/>
      <c r="CA103" s="7676"/>
      <c r="CB103" s="7676"/>
      <c r="CC103" s="7676"/>
      <c r="CD103" s="7676"/>
      <c r="CE103" s="7676"/>
      <c r="CF103" s="7677"/>
      <c r="CG103" s="7675"/>
      <c r="CH103" s="7676"/>
      <c r="CI103" s="7676"/>
      <c r="CJ103" s="7676"/>
      <c r="CK103" s="7676"/>
      <c r="CL103" s="7676"/>
      <c r="CM103" s="7677"/>
      <c r="CN103" s="7675"/>
      <c r="CO103" s="7676"/>
      <c r="CP103" s="7676"/>
      <c r="CQ103" s="7676"/>
      <c r="CR103" s="7676"/>
      <c r="CS103" s="7676"/>
      <c r="CT103" s="7677"/>
      <c r="CU103" s="7677"/>
      <c r="CV103" s="1182" t="s">
        <v>655</v>
      </c>
      <c r="CW103" s="1562"/>
      <c r="CX103" s="1544"/>
      <c r="CY103" s="1544" t="str">
        <f t="shared" si="1"/>
        <v>Наименование централизованной системы холодного водоснабжения</v>
      </c>
      <c r="CZ103" s="1544"/>
      <c r="DA103" s="1544"/>
    </row>
    <row r="104" spans="1:105" s="1827" customFormat="1" ht="23.25" customHeight="1">
      <c r="A104" s="1284"/>
      <c r="B104" s="1284"/>
      <c r="C104" s="1284"/>
      <c r="D104" s="1284"/>
      <c r="E104" s="7690" t="s">
        <v>89</v>
      </c>
      <c r="F104" s="7690"/>
      <c r="G104" s="7690"/>
      <c r="H104" s="7690"/>
      <c r="I104" s="7687" t="str">
        <f>S103&amp;".1"</f>
        <v>5.1.1.1</v>
      </c>
      <c r="J104" s="1284"/>
      <c r="K104" s="1284"/>
      <c r="L104" s="1290"/>
      <c r="M104" s="1696"/>
      <c r="N104" s="1696"/>
      <c r="O104" s="1696"/>
      <c r="P104" s="7688">
        <v>1</v>
      </c>
      <c r="Q104" s="1816"/>
      <c r="R104" s="277"/>
      <c r="S104" s="1813" t="str">
        <f>$I104</f>
        <v>5.1.1.1</v>
      </c>
      <c r="T104" s="200" t="s">
        <v>656</v>
      </c>
      <c r="U104" s="214"/>
      <c r="V104" s="7748"/>
      <c r="W104" s="7749"/>
      <c r="X104" s="7749"/>
      <c r="Y104" s="7749"/>
      <c r="Z104" s="7749"/>
      <c r="AA104" s="7749"/>
      <c r="AB104" s="7750"/>
      <c r="AC104" s="7751"/>
      <c r="AD104" s="7752"/>
      <c r="AE104" s="7752"/>
      <c r="AF104" s="7752"/>
      <c r="AG104" s="7752"/>
      <c r="AH104" s="7752"/>
      <c r="AI104" s="7752"/>
      <c r="AJ104" s="7748"/>
      <c r="AK104" s="7749"/>
      <c r="AL104" s="7749"/>
      <c r="AM104" s="7749"/>
      <c r="AN104" s="7749"/>
      <c r="AO104" s="7749"/>
      <c r="AP104" s="7750"/>
      <c r="AQ104" s="7748"/>
      <c r="AR104" s="7749"/>
      <c r="AS104" s="7749"/>
      <c r="AT104" s="7749"/>
      <c r="AU104" s="7749"/>
      <c r="AV104" s="7749"/>
      <c r="AW104" s="7750"/>
      <c r="AX104" s="7748"/>
      <c r="AY104" s="7749"/>
      <c r="AZ104" s="7749"/>
      <c r="BA104" s="7749"/>
      <c r="BB104" s="7749"/>
      <c r="BC104" s="7749"/>
      <c r="BD104" s="7750"/>
      <c r="BE104" s="7748"/>
      <c r="BF104" s="7749"/>
      <c r="BG104" s="7749"/>
      <c r="BH104" s="7749"/>
      <c r="BI104" s="7749"/>
      <c r="BJ104" s="7749"/>
      <c r="BK104" s="7750"/>
      <c r="BL104" s="7748"/>
      <c r="BM104" s="7749"/>
      <c r="BN104" s="7749"/>
      <c r="BO104" s="7749"/>
      <c r="BP104" s="7749"/>
      <c r="BQ104" s="7749"/>
      <c r="BR104" s="7750"/>
      <c r="BS104" s="7748"/>
      <c r="BT104" s="7749"/>
      <c r="BU104" s="7749"/>
      <c r="BV104" s="7749"/>
      <c r="BW104" s="7749"/>
      <c r="BX104" s="7749"/>
      <c r="BY104" s="7750"/>
      <c r="BZ104" s="7748"/>
      <c r="CA104" s="7749"/>
      <c r="CB104" s="7749"/>
      <c r="CC104" s="7749"/>
      <c r="CD104" s="7749"/>
      <c r="CE104" s="7749"/>
      <c r="CF104" s="7750"/>
      <c r="CG104" s="7748"/>
      <c r="CH104" s="7749"/>
      <c r="CI104" s="7749"/>
      <c r="CJ104" s="7749"/>
      <c r="CK104" s="7749"/>
      <c r="CL104" s="7749"/>
      <c r="CM104" s="7750"/>
      <c r="CN104" s="7748"/>
      <c r="CO104" s="7749"/>
      <c r="CP104" s="7749"/>
      <c r="CQ104" s="7749"/>
      <c r="CR104" s="7749"/>
      <c r="CS104" s="7749"/>
      <c r="CT104" s="7750"/>
      <c r="CU104" s="7753"/>
      <c r="CV104" s="1182" t="s">
        <v>657</v>
      </c>
      <c r="CW104" s="1562"/>
      <c r="CX104" s="1544"/>
      <c r="CY104" s="1544" t="str">
        <f t="shared" si="1"/>
        <v>Наименование признака дифференциации</v>
      </c>
      <c r="CZ104" s="1544"/>
      <c r="DA104" s="1544"/>
    </row>
    <row r="105" spans="1:105" s="1827" customFormat="1" ht="23.25" customHeight="1">
      <c r="A105" s="1284"/>
      <c r="B105" s="1284"/>
      <c r="C105" s="1284"/>
      <c r="D105" s="1284"/>
      <c r="E105" s="7690" t="s">
        <v>89</v>
      </c>
      <c r="F105" s="7690"/>
      <c r="G105" s="7690"/>
      <c r="H105" s="7690"/>
      <c r="I105" s="7710"/>
      <c r="J105" s="7687" t="str">
        <f>I104&amp;".1"</f>
        <v>5.1.1.1.1</v>
      </c>
      <c r="K105" s="1284"/>
      <c r="L105" s="1290" t="s">
        <v>582</v>
      </c>
      <c r="M105" s="1696"/>
      <c r="N105" s="1696"/>
      <c r="O105" s="1696"/>
      <c r="P105" s="7688"/>
      <c r="Q105" s="7688">
        <v>1</v>
      </c>
      <c r="R105" s="278"/>
      <c r="S105" s="1813" t="str">
        <f>$J105</f>
        <v>5.1.1.1.1</v>
      </c>
      <c r="T105" s="201" t="s">
        <v>583</v>
      </c>
      <c r="U105" s="214"/>
      <c r="V105" s="7678"/>
      <c r="W105" s="7679"/>
      <c r="X105" s="7679"/>
      <c r="Y105" s="7679"/>
      <c r="Z105" s="7679"/>
      <c r="AA105" s="7679"/>
      <c r="AB105" s="7680"/>
      <c r="AC105" s="7678" t="s">
        <v>671</v>
      </c>
      <c r="AD105" s="7679"/>
      <c r="AE105" s="7679"/>
      <c r="AF105" s="7679"/>
      <c r="AG105" s="7679"/>
      <c r="AH105" s="7679"/>
      <c r="AI105" s="7679"/>
      <c r="AJ105" s="7678"/>
      <c r="AK105" s="7679"/>
      <c r="AL105" s="7679"/>
      <c r="AM105" s="7679"/>
      <c r="AN105" s="7679"/>
      <c r="AO105" s="7679"/>
      <c r="AP105" s="7680"/>
      <c r="AQ105" s="7678"/>
      <c r="AR105" s="7679"/>
      <c r="AS105" s="7679"/>
      <c r="AT105" s="7679"/>
      <c r="AU105" s="7679"/>
      <c r="AV105" s="7679"/>
      <c r="AW105" s="7680"/>
      <c r="AX105" s="7678"/>
      <c r="AY105" s="7679"/>
      <c r="AZ105" s="7679"/>
      <c r="BA105" s="7679"/>
      <c r="BB105" s="7679"/>
      <c r="BC105" s="7679"/>
      <c r="BD105" s="7680"/>
      <c r="BE105" s="7678"/>
      <c r="BF105" s="7679"/>
      <c r="BG105" s="7679"/>
      <c r="BH105" s="7679"/>
      <c r="BI105" s="7679"/>
      <c r="BJ105" s="7679"/>
      <c r="BK105" s="7680"/>
      <c r="BL105" s="7678"/>
      <c r="BM105" s="7679"/>
      <c r="BN105" s="7679"/>
      <c r="BO105" s="7679"/>
      <c r="BP105" s="7679"/>
      <c r="BQ105" s="7679"/>
      <c r="BR105" s="7680"/>
      <c r="BS105" s="7678"/>
      <c r="BT105" s="7679"/>
      <c r="BU105" s="7679"/>
      <c r="BV105" s="7679"/>
      <c r="BW105" s="7679"/>
      <c r="BX105" s="7679"/>
      <c r="BY105" s="7680"/>
      <c r="BZ105" s="7678"/>
      <c r="CA105" s="7679"/>
      <c r="CB105" s="7679"/>
      <c r="CC105" s="7679"/>
      <c r="CD105" s="7679"/>
      <c r="CE105" s="7679"/>
      <c r="CF105" s="7680"/>
      <c r="CG105" s="7678"/>
      <c r="CH105" s="7679"/>
      <c r="CI105" s="7679"/>
      <c r="CJ105" s="7679"/>
      <c r="CK105" s="7679"/>
      <c r="CL105" s="7679"/>
      <c r="CM105" s="7680"/>
      <c r="CN105" s="7678"/>
      <c r="CO105" s="7679"/>
      <c r="CP105" s="7679"/>
      <c r="CQ105" s="7679"/>
      <c r="CR105" s="7679"/>
      <c r="CS105" s="7679"/>
      <c r="CT105" s="7680"/>
      <c r="CU105" s="7680"/>
      <c r="CV105" s="1231" t="s">
        <v>658</v>
      </c>
      <c r="CW105" s="1562"/>
      <c r="CX105" s="1544"/>
      <c r="CY105" s="1544" t="str">
        <f t="shared" ref="CY105:CY168" si="2">IF(T105="","",T105)</f>
        <v>Группа потребителей</v>
      </c>
      <c r="CZ105" s="1544"/>
      <c r="DA105" s="1544"/>
    </row>
    <row r="106" spans="1:105" s="1827" customFormat="1" ht="23.25" customHeight="1">
      <c r="A106" s="1284"/>
      <c r="B106" s="1284"/>
      <c r="C106" s="1284"/>
      <c r="D106" s="1284"/>
      <c r="E106" s="7690" t="s">
        <v>89</v>
      </c>
      <c r="F106" s="7690"/>
      <c r="G106" s="7690"/>
      <c r="H106" s="7690"/>
      <c r="I106" s="7710"/>
      <c r="J106" s="7710"/>
      <c r="K106" s="7687" t="str">
        <f>J105&amp;".1"</f>
        <v>5.1.1.1.1.1</v>
      </c>
      <c r="L106" s="1290"/>
      <c r="M106" s="1696"/>
      <c r="N106" s="1696"/>
      <c r="O106" s="1696"/>
      <c r="P106" s="7688"/>
      <c r="Q106" s="7688"/>
      <c r="R106" s="278">
        <v>1</v>
      </c>
      <c r="S106" s="1813" t="str">
        <f>$K106</f>
        <v>5.1.1.1.1.1</v>
      </c>
      <c r="T106" s="1357" t="s">
        <v>672</v>
      </c>
      <c r="U106" s="214"/>
      <c r="V106" s="666"/>
      <c r="W106" s="666"/>
      <c r="X106" s="1181"/>
      <c r="Y106" s="7692"/>
      <c r="Z106" s="7540" t="s">
        <v>60</v>
      </c>
      <c r="AA106" s="7692"/>
      <c r="AB106" s="7540" t="s">
        <v>60</v>
      </c>
      <c r="AC106" s="666">
        <v>69.56</v>
      </c>
      <c r="AD106" s="666"/>
      <c r="AE106" s="1181"/>
      <c r="AF106" s="7692">
        <v>45292</v>
      </c>
      <c r="AG106" s="7540" t="s">
        <v>60</v>
      </c>
      <c r="AH106" s="7711">
        <v>45473</v>
      </c>
      <c r="AI106" s="7540" t="s">
        <v>60</v>
      </c>
      <c r="AJ106" s="666">
        <v>74.83</v>
      </c>
      <c r="AK106" s="666"/>
      <c r="AL106" s="1181"/>
      <c r="AM106" s="7692">
        <v>45473</v>
      </c>
      <c r="AN106" s="7540" t="s">
        <v>60</v>
      </c>
      <c r="AO106" s="7692">
        <v>45657</v>
      </c>
      <c r="AP106" s="7540" t="s">
        <v>60</v>
      </c>
      <c r="AQ106" s="666">
        <v>74.83</v>
      </c>
      <c r="AR106" s="666"/>
      <c r="AS106" s="1181"/>
      <c r="AT106" s="7692">
        <v>45658</v>
      </c>
      <c r="AU106" s="7540" t="s">
        <v>60</v>
      </c>
      <c r="AV106" s="7692">
        <v>45838</v>
      </c>
      <c r="AW106" s="7540" t="s">
        <v>60</v>
      </c>
      <c r="AX106" s="666">
        <v>79.099999999999994</v>
      </c>
      <c r="AY106" s="666"/>
      <c r="AZ106" s="1181"/>
      <c r="BA106" s="7692">
        <v>45839</v>
      </c>
      <c r="BB106" s="7540" t="s">
        <v>60</v>
      </c>
      <c r="BC106" s="7692">
        <v>46022</v>
      </c>
      <c r="BD106" s="7540" t="s">
        <v>60</v>
      </c>
      <c r="BE106" s="666">
        <v>79.099999999999994</v>
      </c>
      <c r="BF106" s="666"/>
      <c r="BG106" s="1181"/>
      <c r="BH106" s="7692">
        <v>46023</v>
      </c>
      <c r="BI106" s="7540" t="s">
        <v>60</v>
      </c>
      <c r="BJ106" s="7692">
        <v>46203</v>
      </c>
      <c r="BK106" s="7540" t="s">
        <v>60</v>
      </c>
      <c r="BL106" s="666">
        <v>82.26</v>
      </c>
      <c r="BM106" s="666"/>
      <c r="BN106" s="1181"/>
      <c r="BO106" s="7692">
        <v>46204</v>
      </c>
      <c r="BP106" s="7540" t="s">
        <v>60</v>
      </c>
      <c r="BQ106" s="7692">
        <v>46387</v>
      </c>
      <c r="BR106" s="7540" t="s">
        <v>60</v>
      </c>
      <c r="BS106" s="666">
        <v>82.26</v>
      </c>
      <c r="BT106" s="666"/>
      <c r="BU106" s="1181"/>
      <c r="BV106" s="7692">
        <v>46388</v>
      </c>
      <c r="BW106" s="7540" t="s">
        <v>60</v>
      </c>
      <c r="BX106" s="7692">
        <v>46568</v>
      </c>
      <c r="BY106" s="7540" t="s">
        <v>60</v>
      </c>
      <c r="BZ106" s="666">
        <v>85.55</v>
      </c>
      <c r="CA106" s="666"/>
      <c r="CB106" s="1181"/>
      <c r="CC106" s="7692">
        <v>46569</v>
      </c>
      <c r="CD106" s="7540" t="s">
        <v>60</v>
      </c>
      <c r="CE106" s="7692">
        <v>46752</v>
      </c>
      <c r="CF106" s="7540" t="s">
        <v>60</v>
      </c>
      <c r="CG106" s="666">
        <v>85.55</v>
      </c>
      <c r="CH106" s="666"/>
      <c r="CI106" s="1181"/>
      <c r="CJ106" s="7692">
        <v>46753</v>
      </c>
      <c r="CK106" s="7540" t="s">
        <v>60</v>
      </c>
      <c r="CL106" s="7692">
        <v>46934</v>
      </c>
      <c r="CM106" s="7540" t="s">
        <v>60</v>
      </c>
      <c r="CN106" s="666">
        <v>88.97</v>
      </c>
      <c r="CO106" s="666"/>
      <c r="CP106" s="1181"/>
      <c r="CQ106" s="7692">
        <v>46935</v>
      </c>
      <c r="CR106" s="7540" t="s">
        <v>60</v>
      </c>
      <c r="CS106" s="7692">
        <v>47118</v>
      </c>
      <c r="CT106" s="7540" t="s">
        <v>60</v>
      </c>
      <c r="CU106" s="1358"/>
      <c r="CV10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06" s="1562" t="e">
        <f ca="1">STRCHECKDATE(V107:CU107)</f>
        <v>#NAME?</v>
      </c>
      <c r="CX106" s="1544"/>
      <c r="CY106" s="1544" t="str">
        <f t="shared" si="2"/>
        <v>Тариф для населения, руб. за 1 куб. метр с НДС</v>
      </c>
      <c r="CZ106" s="1544"/>
      <c r="DA106" s="1544"/>
    </row>
    <row r="107" spans="1:105" s="1827" customFormat="1" ht="14.25" customHeight="1">
      <c r="A107" s="1284"/>
      <c r="B107" s="1284"/>
      <c r="C107" s="1284"/>
      <c r="D107" s="1284"/>
      <c r="E107" s="7690" t="s">
        <v>89</v>
      </c>
      <c r="F107" s="7690"/>
      <c r="G107" s="7690"/>
      <c r="H107" s="7690"/>
      <c r="I107" s="7710"/>
      <c r="J107" s="7710"/>
      <c r="K107" s="7687"/>
      <c r="L107" s="1290"/>
      <c r="M107" s="1696"/>
      <c r="N107" s="1696"/>
      <c r="O107" s="1696"/>
      <c r="P107" s="7688"/>
      <c r="Q107" s="7688"/>
      <c r="R107" s="278"/>
      <c r="S107" s="1822"/>
      <c r="T107" s="214"/>
      <c r="U107" s="214"/>
      <c r="V107" s="246"/>
      <c r="W107" s="246"/>
      <c r="X107" s="250" t="str">
        <f>Y106&amp;"-"&amp;AA106</f>
        <v>-</v>
      </c>
      <c r="Y107" s="7693"/>
      <c r="Z107" s="7540"/>
      <c r="AA107" s="7693"/>
      <c r="AB107" s="7540"/>
      <c r="AC107" s="246"/>
      <c r="AD107" s="246"/>
      <c r="AE107" s="250" t="str">
        <f>AF106&amp;"-"&amp;AH106</f>
        <v>45292-45473</v>
      </c>
      <c r="AF107" s="7693"/>
      <c r="AG107" s="7540"/>
      <c r="AH107" s="7712"/>
      <c r="AI107" s="7540"/>
      <c r="AJ107" s="246"/>
      <c r="AK107" s="246"/>
      <c r="AL107" s="250" t="str">
        <f>AM106&amp;"-"&amp;AO106</f>
        <v>45473-45657</v>
      </c>
      <c r="AM107" s="7693"/>
      <c r="AN107" s="7540"/>
      <c r="AO107" s="7693"/>
      <c r="AP107" s="7540"/>
      <c r="AQ107" s="246"/>
      <c r="AR107" s="246"/>
      <c r="AS107" s="250" t="str">
        <f>AT106&amp;"-"&amp;AV106</f>
        <v>45658-45838</v>
      </c>
      <c r="AT107" s="7693"/>
      <c r="AU107" s="7540"/>
      <c r="AV107" s="7693"/>
      <c r="AW107" s="7540"/>
      <c r="AX107" s="246"/>
      <c r="AY107" s="246"/>
      <c r="AZ107" s="250" t="str">
        <f>BA106&amp;"-"&amp;BC106</f>
        <v>45839-46022</v>
      </c>
      <c r="BA107" s="7693"/>
      <c r="BB107" s="7540"/>
      <c r="BC107" s="7693"/>
      <c r="BD107" s="7540"/>
      <c r="BE107" s="246"/>
      <c r="BF107" s="246"/>
      <c r="BG107" s="250" t="str">
        <f>BH106&amp;"-"&amp;BJ106</f>
        <v>46023-46203</v>
      </c>
      <c r="BH107" s="7693"/>
      <c r="BI107" s="7540"/>
      <c r="BJ107" s="7693"/>
      <c r="BK107" s="7540"/>
      <c r="BL107" s="246"/>
      <c r="BM107" s="246"/>
      <c r="BN107" s="250" t="str">
        <f>BO106&amp;"-"&amp;BQ106</f>
        <v>46204-46387</v>
      </c>
      <c r="BO107" s="7693"/>
      <c r="BP107" s="7540"/>
      <c r="BQ107" s="7693"/>
      <c r="BR107" s="7540"/>
      <c r="BS107" s="246"/>
      <c r="BT107" s="246"/>
      <c r="BU107" s="250" t="str">
        <f>BV106&amp;"-"&amp;BX106</f>
        <v>46388-46568</v>
      </c>
      <c r="BV107" s="7693"/>
      <c r="BW107" s="7540"/>
      <c r="BX107" s="7693"/>
      <c r="BY107" s="7540"/>
      <c r="BZ107" s="246"/>
      <c r="CA107" s="246"/>
      <c r="CB107" s="250" t="str">
        <f>CC106&amp;"-"&amp;CE106</f>
        <v>46569-46752</v>
      </c>
      <c r="CC107" s="7693"/>
      <c r="CD107" s="7540"/>
      <c r="CE107" s="7693"/>
      <c r="CF107" s="7540"/>
      <c r="CG107" s="246"/>
      <c r="CH107" s="246"/>
      <c r="CI107" s="250" t="str">
        <f>CJ106&amp;"-"&amp;CL106</f>
        <v>46753-46934</v>
      </c>
      <c r="CJ107" s="7693"/>
      <c r="CK107" s="7540"/>
      <c r="CL107" s="7693"/>
      <c r="CM107" s="7540"/>
      <c r="CN107" s="246"/>
      <c r="CO107" s="246"/>
      <c r="CP107" s="250" t="str">
        <f>CQ106&amp;"-"&amp;CS106</f>
        <v>46935-47118</v>
      </c>
      <c r="CQ107" s="7693"/>
      <c r="CR107" s="7540"/>
      <c r="CS107" s="7693"/>
      <c r="CT107" s="7540"/>
      <c r="CU107" s="1359"/>
      <c r="CV107" s="7747"/>
      <c r="CW107" s="1562"/>
      <c r="CX107" s="1544"/>
      <c r="CY107" s="1544" t="str">
        <f t="shared" si="2"/>
        <v/>
      </c>
      <c r="CZ107" s="1544"/>
      <c r="DA107" s="1544"/>
    </row>
    <row r="108" spans="1:105" s="1827" customFormat="1" ht="21" customHeight="1">
      <c r="A108" s="1284"/>
      <c r="B108" s="1284"/>
      <c r="C108" s="1284"/>
      <c r="D108" s="1284"/>
      <c r="E108" s="7690" t="s">
        <v>89</v>
      </c>
      <c r="F108" s="7690"/>
      <c r="G108" s="7690"/>
      <c r="H108" s="7690"/>
      <c r="I108" s="7710"/>
      <c r="J108" s="7687"/>
      <c r="K108" s="1284"/>
      <c r="L108" s="1290"/>
      <c r="M108" s="1696"/>
      <c r="N108" s="1696"/>
      <c r="O108" s="1696"/>
      <c r="P108" s="7688"/>
      <c r="Q108" s="7688"/>
      <c r="R108" s="277"/>
      <c r="S108" s="3221"/>
      <c r="T108" s="3222" t="s">
        <v>659</v>
      </c>
      <c r="U108" s="3223"/>
      <c r="V108" s="3224"/>
      <c r="W108" s="3225"/>
      <c r="X108" s="3226"/>
      <c r="Y108" s="3227"/>
      <c r="Z108" s="3228"/>
      <c r="AA108" s="3229"/>
      <c r="AB108" s="3230"/>
      <c r="AC108" s="3231"/>
      <c r="AD108" s="3232"/>
      <c r="AE108" s="3233"/>
      <c r="AF108" s="3234"/>
      <c r="AG108" s="3235"/>
      <c r="AH108" s="3236"/>
      <c r="AI108" s="3237"/>
      <c r="AJ108" s="3238"/>
      <c r="AK108" s="3239"/>
      <c r="AL108" s="3240"/>
      <c r="AM108" s="3241"/>
      <c r="AN108" s="3242"/>
      <c r="AO108" s="3243"/>
      <c r="AP108" s="3244"/>
      <c r="AQ108" s="3245"/>
      <c r="AR108" s="3246"/>
      <c r="AS108" s="3247"/>
      <c r="AT108" s="3248"/>
      <c r="AU108" s="3249"/>
      <c r="AV108" s="3250"/>
      <c r="AW108" s="3251"/>
      <c r="AX108" s="3252"/>
      <c r="AY108" s="3253"/>
      <c r="AZ108" s="3254"/>
      <c r="BA108" s="3255"/>
      <c r="BB108" s="3256"/>
      <c r="BC108" s="3257"/>
      <c r="BD108" s="3258"/>
      <c r="BE108" s="3259"/>
      <c r="BF108" s="3260"/>
      <c r="BG108" s="3261"/>
      <c r="BH108" s="3262"/>
      <c r="BI108" s="3263"/>
      <c r="BJ108" s="3264"/>
      <c r="BK108" s="3265"/>
      <c r="BL108" s="3266"/>
      <c r="BM108" s="3267"/>
      <c r="BN108" s="3268"/>
      <c r="BO108" s="3269"/>
      <c r="BP108" s="3270"/>
      <c r="BQ108" s="3271"/>
      <c r="BR108" s="3272"/>
      <c r="BS108" s="3273"/>
      <c r="BT108" s="3274"/>
      <c r="BU108" s="3275"/>
      <c r="BV108" s="3276"/>
      <c r="BW108" s="3277"/>
      <c r="BX108" s="3278"/>
      <c r="BY108" s="3279"/>
      <c r="BZ108" s="3280"/>
      <c r="CA108" s="3281"/>
      <c r="CB108" s="3282"/>
      <c r="CC108" s="3283"/>
      <c r="CD108" s="3284"/>
      <c r="CE108" s="3285"/>
      <c r="CF108" s="3286"/>
      <c r="CG108" s="3287"/>
      <c r="CH108" s="3288"/>
      <c r="CI108" s="3289"/>
      <c r="CJ108" s="3290"/>
      <c r="CK108" s="3291"/>
      <c r="CL108" s="3292"/>
      <c r="CM108" s="3293"/>
      <c r="CN108" s="3294"/>
      <c r="CO108" s="3295"/>
      <c r="CP108" s="3296"/>
      <c r="CQ108" s="3297"/>
      <c r="CR108" s="3298"/>
      <c r="CS108" s="3299"/>
      <c r="CT108" s="3300"/>
      <c r="CU108" s="3301"/>
      <c r="CV108" s="1182" t="s">
        <v>660</v>
      </c>
      <c r="CW108" s="1562"/>
      <c r="CX108" s="1544"/>
      <c r="CY108" s="1544" t="str">
        <f t="shared" si="2"/>
        <v>Добавить значение признака дифференциации</v>
      </c>
      <c r="CZ108" s="1544"/>
      <c r="DA108" s="1544"/>
    </row>
    <row r="109" spans="1:105" s="1827" customFormat="1" ht="23.25" customHeight="1">
      <c r="A109" s="1284"/>
      <c r="B109" s="1284"/>
      <c r="C109" s="1284"/>
      <c r="D109" s="1284"/>
      <c r="E109" s="7690"/>
      <c r="F109" s="7690"/>
      <c r="G109" s="7690"/>
      <c r="H109" s="7690"/>
      <c r="I109" s="7710"/>
      <c r="J109" s="7687" t="str">
        <f>I104&amp;".2"</f>
        <v>5.1.1.1.2</v>
      </c>
      <c r="K109" s="1284"/>
      <c r="L109" s="1290" t="s">
        <v>582</v>
      </c>
      <c r="M109" s="1696"/>
      <c r="N109" s="1696"/>
      <c r="O109" s="1696"/>
      <c r="P109" s="7688"/>
      <c r="Q109" s="7754" t="s">
        <v>101</v>
      </c>
      <c r="R109" s="278"/>
      <c r="S109" s="1813" t="str">
        <f>$J109</f>
        <v>5.1.1.1.2</v>
      </c>
      <c r="T109" s="201" t="s">
        <v>583</v>
      </c>
      <c r="U109" s="214"/>
      <c r="V109" s="7678"/>
      <c r="W109" s="7679"/>
      <c r="X109" s="7679"/>
      <c r="Y109" s="7679"/>
      <c r="Z109" s="7679"/>
      <c r="AA109" s="7679"/>
      <c r="AB109" s="7680"/>
      <c r="AC109" s="7678" t="s">
        <v>669</v>
      </c>
      <c r="AD109" s="7679"/>
      <c r="AE109" s="7679"/>
      <c r="AF109" s="7679"/>
      <c r="AG109" s="7679"/>
      <c r="AH109" s="7679"/>
      <c r="AI109" s="7679"/>
      <c r="AJ109" s="7678"/>
      <c r="AK109" s="7679"/>
      <c r="AL109" s="7679"/>
      <c r="AM109" s="7679"/>
      <c r="AN109" s="7679"/>
      <c r="AO109" s="7679"/>
      <c r="AP109" s="7680"/>
      <c r="AQ109" s="7678"/>
      <c r="AR109" s="7679"/>
      <c r="AS109" s="7679"/>
      <c r="AT109" s="7679"/>
      <c r="AU109" s="7679"/>
      <c r="AV109" s="7679"/>
      <c r="AW109" s="7680"/>
      <c r="AX109" s="7678"/>
      <c r="AY109" s="7679"/>
      <c r="AZ109" s="7679"/>
      <c r="BA109" s="7679"/>
      <c r="BB109" s="7679"/>
      <c r="BC109" s="7679"/>
      <c r="BD109" s="7680"/>
      <c r="BE109" s="7678"/>
      <c r="BF109" s="7679"/>
      <c r="BG109" s="7679"/>
      <c r="BH109" s="7679"/>
      <c r="BI109" s="7679"/>
      <c r="BJ109" s="7679"/>
      <c r="BK109" s="7680"/>
      <c r="BL109" s="7678"/>
      <c r="BM109" s="7679"/>
      <c r="BN109" s="7679"/>
      <c r="BO109" s="7679"/>
      <c r="BP109" s="7679"/>
      <c r="BQ109" s="7679"/>
      <c r="BR109" s="7680"/>
      <c r="BS109" s="7678"/>
      <c r="BT109" s="7679"/>
      <c r="BU109" s="7679"/>
      <c r="BV109" s="7679"/>
      <c r="BW109" s="7679"/>
      <c r="BX109" s="7679"/>
      <c r="BY109" s="7680"/>
      <c r="BZ109" s="7678"/>
      <c r="CA109" s="7679"/>
      <c r="CB109" s="7679"/>
      <c r="CC109" s="7679"/>
      <c r="CD109" s="7679"/>
      <c r="CE109" s="7679"/>
      <c r="CF109" s="7680"/>
      <c r="CG109" s="7678"/>
      <c r="CH109" s="7679"/>
      <c r="CI109" s="7679"/>
      <c r="CJ109" s="7679"/>
      <c r="CK109" s="7679"/>
      <c r="CL109" s="7679"/>
      <c r="CM109" s="7680"/>
      <c r="CN109" s="7678"/>
      <c r="CO109" s="7679"/>
      <c r="CP109" s="7679"/>
      <c r="CQ109" s="7679"/>
      <c r="CR109" s="7679"/>
      <c r="CS109" s="7679"/>
      <c r="CT109" s="7680"/>
      <c r="CU109" s="7680"/>
      <c r="CV109" s="1231" t="s">
        <v>658</v>
      </c>
      <c r="CW109" s="1562"/>
      <c r="CX109" s="1544"/>
      <c r="CY109" s="1544" t="str">
        <f t="shared" si="2"/>
        <v>Группа потребителей</v>
      </c>
      <c r="CZ109" s="1544"/>
      <c r="DA109" s="1544"/>
    </row>
    <row r="110" spans="1:105" s="1827" customFormat="1" ht="23.25" customHeight="1">
      <c r="A110" s="1284"/>
      <c r="B110" s="1284"/>
      <c r="C110" s="1284"/>
      <c r="D110" s="1284"/>
      <c r="E110" s="7690"/>
      <c r="F110" s="7690"/>
      <c r="G110" s="7690"/>
      <c r="H110" s="7690"/>
      <c r="I110" s="7710"/>
      <c r="J110" s="7710" t="str">
        <f>I104&amp;".1"</f>
        <v>5.1.1.1.1</v>
      </c>
      <c r="K110" s="7687" t="str">
        <f>J109&amp;".1"</f>
        <v>5.1.1.1.2.1</v>
      </c>
      <c r="L110" s="1290"/>
      <c r="M110" s="1696"/>
      <c r="N110" s="1696"/>
      <c r="O110" s="1696"/>
      <c r="P110" s="7688"/>
      <c r="Q110" s="7688"/>
      <c r="R110" s="278">
        <v>1</v>
      </c>
      <c r="S110" s="1813" t="str">
        <f>$K110</f>
        <v>5.1.1.1.2.1</v>
      </c>
      <c r="T110" s="1357" t="s">
        <v>670</v>
      </c>
      <c r="U110" s="214"/>
      <c r="V110" s="666"/>
      <c r="W110" s="666"/>
      <c r="X110" s="1181"/>
      <c r="Y110" s="7692"/>
      <c r="Z110" s="7540" t="s">
        <v>60</v>
      </c>
      <c r="AA110" s="7692"/>
      <c r="AB110" s="7540" t="s">
        <v>60</v>
      </c>
      <c r="AC110" s="666">
        <v>61.08</v>
      </c>
      <c r="AD110" s="666"/>
      <c r="AE110" s="1181"/>
      <c r="AF110" s="7692">
        <v>45292</v>
      </c>
      <c r="AG110" s="7540" t="s">
        <v>60</v>
      </c>
      <c r="AH110" s="7711">
        <v>45473</v>
      </c>
      <c r="AI110" s="7540" t="s">
        <v>60</v>
      </c>
      <c r="AJ110" s="666">
        <v>84.09</v>
      </c>
      <c r="AK110" s="666"/>
      <c r="AL110" s="1181"/>
      <c r="AM110" s="7692">
        <v>45473</v>
      </c>
      <c r="AN110" s="7540" t="s">
        <v>60</v>
      </c>
      <c r="AO110" s="7692">
        <v>45657</v>
      </c>
      <c r="AP110" s="7540" t="s">
        <v>60</v>
      </c>
      <c r="AQ110" s="666">
        <v>77.19</v>
      </c>
      <c r="AR110" s="666"/>
      <c r="AS110" s="1181"/>
      <c r="AT110" s="7692">
        <v>45658</v>
      </c>
      <c r="AU110" s="7540" t="s">
        <v>60</v>
      </c>
      <c r="AV110" s="7692">
        <v>45838</v>
      </c>
      <c r="AW110" s="7540" t="s">
        <v>60</v>
      </c>
      <c r="AX110" s="666">
        <v>77.19</v>
      </c>
      <c r="AY110" s="666"/>
      <c r="AZ110" s="1181"/>
      <c r="BA110" s="7692">
        <v>45839</v>
      </c>
      <c r="BB110" s="7540" t="s">
        <v>60</v>
      </c>
      <c r="BC110" s="7692">
        <v>46022</v>
      </c>
      <c r="BD110" s="7540" t="s">
        <v>60</v>
      </c>
      <c r="BE110" s="666">
        <v>77.19</v>
      </c>
      <c r="BF110" s="666"/>
      <c r="BG110" s="1181"/>
      <c r="BH110" s="7692">
        <v>46023</v>
      </c>
      <c r="BI110" s="7540" t="s">
        <v>60</v>
      </c>
      <c r="BJ110" s="7692">
        <v>46203</v>
      </c>
      <c r="BK110" s="7540" t="s">
        <v>60</v>
      </c>
      <c r="BL110" s="666">
        <v>77.97</v>
      </c>
      <c r="BM110" s="666"/>
      <c r="BN110" s="1181"/>
      <c r="BO110" s="7692">
        <v>46204</v>
      </c>
      <c r="BP110" s="7540" t="s">
        <v>60</v>
      </c>
      <c r="BQ110" s="7692">
        <v>46387</v>
      </c>
      <c r="BR110" s="7540" t="s">
        <v>60</v>
      </c>
      <c r="BS110" s="666">
        <v>77.97</v>
      </c>
      <c r="BT110" s="666"/>
      <c r="BU110" s="1181"/>
      <c r="BV110" s="7692">
        <v>46388</v>
      </c>
      <c r="BW110" s="7540" t="s">
        <v>60</v>
      </c>
      <c r="BX110" s="7692">
        <v>46568</v>
      </c>
      <c r="BY110" s="7540" t="s">
        <v>60</v>
      </c>
      <c r="BZ110" s="666">
        <v>82.24</v>
      </c>
      <c r="CA110" s="666"/>
      <c r="CB110" s="1181"/>
      <c r="CC110" s="7692">
        <v>46569</v>
      </c>
      <c r="CD110" s="7540" t="s">
        <v>60</v>
      </c>
      <c r="CE110" s="7692">
        <v>46752</v>
      </c>
      <c r="CF110" s="7540" t="s">
        <v>60</v>
      </c>
      <c r="CG110" s="666">
        <v>82.24</v>
      </c>
      <c r="CH110" s="666"/>
      <c r="CI110" s="1181"/>
      <c r="CJ110" s="7692">
        <v>46753</v>
      </c>
      <c r="CK110" s="7540" t="s">
        <v>60</v>
      </c>
      <c r="CL110" s="7692">
        <v>46934</v>
      </c>
      <c r="CM110" s="7540" t="s">
        <v>60</v>
      </c>
      <c r="CN110" s="666">
        <v>84.74</v>
      </c>
      <c r="CO110" s="666"/>
      <c r="CP110" s="1181"/>
      <c r="CQ110" s="7692">
        <v>46935</v>
      </c>
      <c r="CR110" s="7540" t="s">
        <v>60</v>
      </c>
      <c r="CS110" s="7692">
        <v>47118</v>
      </c>
      <c r="CT110" s="7540" t="s">
        <v>60</v>
      </c>
      <c r="CU110" s="1358"/>
      <c r="CV110"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10" s="1562" t="e">
        <f ca="1">STRCHECKDATE(V111:CU111)</f>
        <v>#NAME?</v>
      </c>
      <c r="CX110" s="1544"/>
      <c r="CY110" s="1544" t="str">
        <f t="shared" si="2"/>
        <v>Тариф, руб. за 1 куб. метр без НДС</v>
      </c>
      <c r="CZ110" s="1544"/>
      <c r="DA110" s="1544"/>
    </row>
    <row r="111" spans="1:105" s="1827" customFormat="1" ht="14.25" customHeight="1">
      <c r="A111" s="1284"/>
      <c r="B111" s="1284"/>
      <c r="C111" s="1284"/>
      <c r="D111" s="1284"/>
      <c r="E111" s="7690"/>
      <c r="F111" s="7690"/>
      <c r="G111" s="7690"/>
      <c r="H111" s="7690"/>
      <c r="I111" s="7710"/>
      <c r="J111" s="7710" t="str">
        <f>I104&amp;".1"</f>
        <v>5.1.1.1.1</v>
      </c>
      <c r="K111" s="7687"/>
      <c r="L111" s="1290"/>
      <c r="M111" s="1696"/>
      <c r="N111" s="1696"/>
      <c r="O111" s="1696"/>
      <c r="P111" s="7688"/>
      <c r="Q111" s="7688"/>
      <c r="R111" s="278"/>
      <c r="S111" s="1822"/>
      <c r="T111" s="214"/>
      <c r="U111" s="214"/>
      <c r="V111" s="246"/>
      <c r="W111" s="246"/>
      <c r="X111" s="250" t="str">
        <f>Y110&amp;"-"&amp;AA110</f>
        <v>-</v>
      </c>
      <c r="Y111" s="7693"/>
      <c r="Z111" s="7540"/>
      <c r="AA111" s="7693"/>
      <c r="AB111" s="7540"/>
      <c r="AC111" s="246"/>
      <c r="AD111" s="246"/>
      <c r="AE111" s="250" t="str">
        <f>AF110&amp;"-"&amp;AH110</f>
        <v>45292-45473</v>
      </c>
      <c r="AF111" s="7693"/>
      <c r="AG111" s="7540"/>
      <c r="AH111" s="7712"/>
      <c r="AI111" s="7540"/>
      <c r="AJ111" s="246"/>
      <c r="AK111" s="246"/>
      <c r="AL111" s="250" t="str">
        <f>AM110&amp;"-"&amp;AO110</f>
        <v>45473-45657</v>
      </c>
      <c r="AM111" s="7693"/>
      <c r="AN111" s="7540"/>
      <c r="AO111" s="7693"/>
      <c r="AP111" s="7540"/>
      <c r="AQ111" s="246"/>
      <c r="AR111" s="246"/>
      <c r="AS111" s="250" t="str">
        <f>AT110&amp;"-"&amp;AV110</f>
        <v>45658-45838</v>
      </c>
      <c r="AT111" s="7693"/>
      <c r="AU111" s="7540"/>
      <c r="AV111" s="7693"/>
      <c r="AW111" s="7540"/>
      <c r="AX111" s="246"/>
      <c r="AY111" s="246"/>
      <c r="AZ111" s="250" t="str">
        <f>BA110&amp;"-"&amp;BC110</f>
        <v>45839-46022</v>
      </c>
      <c r="BA111" s="7693"/>
      <c r="BB111" s="7540"/>
      <c r="BC111" s="7693"/>
      <c r="BD111" s="7540"/>
      <c r="BE111" s="246"/>
      <c r="BF111" s="246"/>
      <c r="BG111" s="250" t="str">
        <f>BH110&amp;"-"&amp;BJ110</f>
        <v>46023-46203</v>
      </c>
      <c r="BH111" s="7693"/>
      <c r="BI111" s="7540"/>
      <c r="BJ111" s="7693"/>
      <c r="BK111" s="7540"/>
      <c r="BL111" s="246"/>
      <c r="BM111" s="246"/>
      <c r="BN111" s="250" t="str">
        <f>BO110&amp;"-"&amp;BQ110</f>
        <v>46204-46387</v>
      </c>
      <c r="BO111" s="7693"/>
      <c r="BP111" s="7540"/>
      <c r="BQ111" s="7693"/>
      <c r="BR111" s="7540"/>
      <c r="BS111" s="246"/>
      <c r="BT111" s="246"/>
      <c r="BU111" s="250" t="str">
        <f>BV110&amp;"-"&amp;BX110</f>
        <v>46388-46568</v>
      </c>
      <c r="BV111" s="7693"/>
      <c r="BW111" s="7540"/>
      <c r="BX111" s="7693"/>
      <c r="BY111" s="7540"/>
      <c r="BZ111" s="246"/>
      <c r="CA111" s="246"/>
      <c r="CB111" s="250" t="str">
        <f>CC110&amp;"-"&amp;CE110</f>
        <v>46569-46752</v>
      </c>
      <c r="CC111" s="7693"/>
      <c r="CD111" s="7540"/>
      <c r="CE111" s="7693"/>
      <c r="CF111" s="7540"/>
      <c r="CG111" s="246"/>
      <c r="CH111" s="246"/>
      <c r="CI111" s="250" t="str">
        <f>CJ110&amp;"-"&amp;CL110</f>
        <v>46753-46934</v>
      </c>
      <c r="CJ111" s="7693"/>
      <c r="CK111" s="7540"/>
      <c r="CL111" s="7693"/>
      <c r="CM111" s="7540"/>
      <c r="CN111" s="246"/>
      <c r="CO111" s="246"/>
      <c r="CP111" s="250" t="str">
        <f>CQ110&amp;"-"&amp;CS110</f>
        <v>46935-47118</v>
      </c>
      <c r="CQ111" s="7693"/>
      <c r="CR111" s="7540"/>
      <c r="CS111" s="7693"/>
      <c r="CT111" s="7540"/>
      <c r="CU111" s="1359"/>
      <c r="CV111" s="7747"/>
      <c r="CW111" s="1562"/>
      <c r="CX111" s="1544"/>
      <c r="CY111" s="1544" t="str">
        <f t="shared" si="2"/>
        <v/>
      </c>
      <c r="CZ111" s="1544"/>
      <c r="DA111" s="1544"/>
    </row>
    <row r="112" spans="1:105" s="1827" customFormat="1" ht="21" customHeight="1">
      <c r="A112" s="1284"/>
      <c r="B112" s="1284"/>
      <c r="C112" s="1284"/>
      <c r="D112" s="1284"/>
      <c r="E112" s="7690"/>
      <c r="F112" s="7690"/>
      <c r="G112" s="7690"/>
      <c r="H112" s="7690"/>
      <c r="I112" s="7710"/>
      <c r="J112" s="7687" t="str">
        <f>I104&amp;".1"</f>
        <v>5.1.1.1.1</v>
      </c>
      <c r="K112" s="1284"/>
      <c r="L112" s="1290"/>
      <c r="M112" s="1696"/>
      <c r="N112" s="1696"/>
      <c r="O112" s="1696"/>
      <c r="P112" s="7688"/>
      <c r="Q112" s="7688"/>
      <c r="R112" s="277"/>
      <c r="S112" s="3302"/>
      <c r="T112" s="3303" t="s">
        <v>659</v>
      </c>
      <c r="U112" s="3304"/>
      <c r="V112" s="3305"/>
      <c r="W112" s="3306"/>
      <c r="X112" s="3307"/>
      <c r="Y112" s="3308"/>
      <c r="Z112" s="3309"/>
      <c r="AA112" s="3310"/>
      <c r="AB112" s="3311"/>
      <c r="AC112" s="3312"/>
      <c r="AD112" s="3313"/>
      <c r="AE112" s="3314"/>
      <c r="AF112" s="3315"/>
      <c r="AG112" s="3316"/>
      <c r="AH112" s="3317"/>
      <c r="AI112" s="3318"/>
      <c r="AJ112" s="3319"/>
      <c r="AK112" s="3320"/>
      <c r="AL112" s="3321"/>
      <c r="AM112" s="3322"/>
      <c r="AN112" s="3323"/>
      <c r="AO112" s="3324"/>
      <c r="AP112" s="3325"/>
      <c r="AQ112" s="3326"/>
      <c r="AR112" s="3327"/>
      <c r="AS112" s="3328"/>
      <c r="AT112" s="3329"/>
      <c r="AU112" s="3330"/>
      <c r="AV112" s="3331"/>
      <c r="AW112" s="3332"/>
      <c r="AX112" s="3333"/>
      <c r="AY112" s="3334"/>
      <c r="AZ112" s="3335"/>
      <c r="BA112" s="3336"/>
      <c r="BB112" s="3337"/>
      <c r="BC112" s="3338"/>
      <c r="BD112" s="3339"/>
      <c r="BE112" s="3340"/>
      <c r="BF112" s="3341"/>
      <c r="BG112" s="3342"/>
      <c r="BH112" s="3343"/>
      <c r="BI112" s="3344"/>
      <c r="BJ112" s="3345"/>
      <c r="BK112" s="3346"/>
      <c r="BL112" s="3347"/>
      <c r="BM112" s="3348"/>
      <c r="BN112" s="3349"/>
      <c r="BO112" s="3350"/>
      <c r="BP112" s="3351"/>
      <c r="BQ112" s="3352"/>
      <c r="BR112" s="3353"/>
      <c r="BS112" s="3354"/>
      <c r="BT112" s="3355"/>
      <c r="BU112" s="3356"/>
      <c r="BV112" s="3357"/>
      <c r="BW112" s="3358"/>
      <c r="BX112" s="3359"/>
      <c r="BY112" s="3360"/>
      <c r="BZ112" s="3361"/>
      <c r="CA112" s="3362"/>
      <c r="CB112" s="3363"/>
      <c r="CC112" s="3364"/>
      <c r="CD112" s="3365"/>
      <c r="CE112" s="3366"/>
      <c r="CF112" s="3367"/>
      <c r="CG112" s="3368"/>
      <c r="CH112" s="3369"/>
      <c r="CI112" s="3370"/>
      <c r="CJ112" s="3371"/>
      <c r="CK112" s="3372"/>
      <c r="CL112" s="3373"/>
      <c r="CM112" s="3374"/>
      <c r="CN112" s="3375"/>
      <c r="CO112" s="3376"/>
      <c r="CP112" s="3377"/>
      <c r="CQ112" s="3378"/>
      <c r="CR112" s="3379"/>
      <c r="CS112" s="3380"/>
      <c r="CT112" s="3381"/>
      <c r="CU112" s="3382"/>
      <c r="CV112" s="1182" t="s">
        <v>660</v>
      </c>
      <c r="CW112" s="1562"/>
      <c r="CX112" s="1544"/>
      <c r="CY112" s="1544" t="str">
        <f t="shared" si="2"/>
        <v>Добавить значение признака дифференциации</v>
      </c>
      <c r="CZ112" s="1544"/>
      <c r="DA112" s="1544"/>
    </row>
    <row r="113" spans="1:105" s="1827" customFormat="1" ht="21" customHeight="1">
      <c r="A113" s="1284"/>
      <c r="B113" s="1284"/>
      <c r="C113" s="1284"/>
      <c r="D113" s="1284"/>
      <c r="E113" s="7690" t="s">
        <v>89</v>
      </c>
      <c r="F113" s="7690"/>
      <c r="G113" s="7690"/>
      <c r="H113" s="7690"/>
      <c r="I113" s="7687"/>
      <c r="J113" s="1284"/>
      <c r="K113" s="1284"/>
      <c r="L113" s="1290"/>
      <c r="M113" s="1696"/>
      <c r="N113" s="1696"/>
      <c r="O113" s="1696"/>
      <c r="P113" s="7688"/>
      <c r="Q113" s="1816"/>
      <c r="R113" s="277"/>
      <c r="S113" s="3383"/>
      <c r="T113" s="3384" t="s">
        <v>588</v>
      </c>
      <c r="U113" s="3385"/>
      <c r="V113" s="3386"/>
      <c r="W113" s="3387"/>
      <c r="X113" s="3388"/>
      <c r="Y113" s="3389"/>
      <c r="Z113" s="3390"/>
      <c r="AA113" s="3391"/>
      <c r="AB113" s="3392"/>
      <c r="AC113" s="3393"/>
      <c r="AD113" s="3394"/>
      <c r="AE113" s="3395"/>
      <c r="AF113" s="3396"/>
      <c r="AG113" s="3397"/>
      <c r="AH113" s="3398"/>
      <c r="AI113" s="3399"/>
      <c r="AJ113" s="3400"/>
      <c r="AK113" s="3401"/>
      <c r="AL113" s="3402"/>
      <c r="AM113" s="3403"/>
      <c r="AN113" s="3404"/>
      <c r="AO113" s="3405"/>
      <c r="AP113" s="3406"/>
      <c r="AQ113" s="3407"/>
      <c r="AR113" s="3408"/>
      <c r="AS113" s="3409"/>
      <c r="AT113" s="3410"/>
      <c r="AU113" s="3411"/>
      <c r="AV113" s="3412"/>
      <c r="AW113" s="3413"/>
      <c r="AX113" s="3414"/>
      <c r="AY113" s="3415"/>
      <c r="AZ113" s="3416"/>
      <c r="BA113" s="3417"/>
      <c r="BB113" s="3418"/>
      <c r="BC113" s="3419"/>
      <c r="BD113" s="3420"/>
      <c r="BE113" s="3421"/>
      <c r="BF113" s="3422"/>
      <c r="BG113" s="3423"/>
      <c r="BH113" s="3424"/>
      <c r="BI113" s="3425"/>
      <c r="BJ113" s="3426"/>
      <c r="BK113" s="3427"/>
      <c r="BL113" s="3428"/>
      <c r="BM113" s="3429"/>
      <c r="BN113" s="3430"/>
      <c r="BO113" s="3431"/>
      <c r="BP113" s="3432"/>
      <c r="BQ113" s="3433"/>
      <c r="BR113" s="3434"/>
      <c r="BS113" s="3435"/>
      <c r="BT113" s="3436"/>
      <c r="BU113" s="3437"/>
      <c r="BV113" s="3438"/>
      <c r="BW113" s="3439"/>
      <c r="BX113" s="3440"/>
      <c r="BY113" s="3441"/>
      <c r="BZ113" s="3442"/>
      <c r="CA113" s="3443"/>
      <c r="CB113" s="3444"/>
      <c r="CC113" s="3445"/>
      <c r="CD113" s="3446"/>
      <c r="CE113" s="3447"/>
      <c r="CF113" s="3448"/>
      <c r="CG113" s="3449"/>
      <c r="CH113" s="3450"/>
      <c r="CI113" s="3451"/>
      <c r="CJ113" s="3452"/>
      <c r="CK113" s="3453"/>
      <c r="CL113" s="3454"/>
      <c r="CM113" s="3455"/>
      <c r="CN113" s="3456"/>
      <c r="CO113" s="3457"/>
      <c r="CP113" s="3458"/>
      <c r="CQ113" s="3459"/>
      <c r="CR113" s="3460"/>
      <c r="CS113" s="3461"/>
      <c r="CT113" s="3462"/>
      <c r="CU113" s="3463"/>
      <c r="CV113" s="3464"/>
      <c r="CW113" s="1562"/>
      <c r="CX113" s="1544"/>
      <c r="CY113" s="1544" t="str">
        <f t="shared" si="2"/>
        <v>Добавить группу потребителей</v>
      </c>
      <c r="CZ113" s="1544"/>
      <c r="DA113" s="1544"/>
    </row>
    <row r="114" spans="1:105" s="1827" customFormat="1" ht="14.25" customHeight="1">
      <c r="A114" s="1284"/>
      <c r="B114" s="1284"/>
      <c r="C114" s="1284"/>
      <c r="D114" s="1284"/>
      <c r="E114" s="7690" t="s">
        <v>89</v>
      </c>
      <c r="F114" s="7690"/>
      <c r="G114" s="7690"/>
      <c r="H114" s="7689"/>
      <c r="I114" s="1284"/>
      <c r="J114" s="1284"/>
      <c r="K114" s="1284"/>
      <c r="L114" s="1290"/>
      <c r="M114" s="1286"/>
      <c r="N114" s="1286"/>
      <c r="O114" s="1287"/>
      <c r="P114" s="1742"/>
      <c r="Q114" s="299"/>
      <c r="R114" s="276"/>
      <c r="S114" s="3465"/>
      <c r="T114" s="3466" t="s">
        <v>661</v>
      </c>
      <c r="U114" s="3467"/>
      <c r="V114" s="3468"/>
      <c r="W114" s="3469"/>
      <c r="X114" s="3470"/>
      <c r="Y114" s="3471"/>
      <c r="Z114" s="3472"/>
      <c r="AA114" s="3473"/>
      <c r="AB114" s="3474"/>
      <c r="AC114" s="3475"/>
      <c r="AD114" s="3476"/>
      <c r="AE114" s="3477"/>
      <c r="AF114" s="3478"/>
      <c r="AG114" s="3479"/>
      <c r="AH114" s="3480"/>
      <c r="AI114" s="3481"/>
      <c r="AJ114" s="3482"/>
      <c r="AK114" s="3483"/>
      <c r="AL114" s="3484"/>
      <c r="AM114" s="3485"/>
      <c r="AN114" s="3486"/>
      <c r="AO114" s="3487"/>
      <c r="AP114" s="3488"/>
      <c r="AQ114" s="3489"/>
      <c r="AR114" s="3490"/>
      <c r="AS114" s="3491"/>
      <c r="AT114" s="3492"/>
      <c r="AU114" s="3493"/>
      <c r="AV114" s="3494"/>
      <c r="AW114" s="3495"/>
      <c r="AX114" s="3496"/>
      <c r="AY114" s="3497"/>
      <c r="AZ114" s="3498"/>
      <c r="BA114" s="3499"/>
      <c r="BB114" s="3500"/>
      <c r="BC114" s="3501"/>
      <c r="BD114" s="3502"/>
      <c r="BE114" s="3503"/>
      <c r="BF114" s="3504"/>
      <c r="BG114" s="3505"/>
      <c r="BH114" s="3506"/>
      <c r="BI114" s="3507"/>
      <c r="BJ114" s="3508"/>
      <c r="BK114" s="3509"/>
      <c r="BL114" s="3510"/>
      <c r="BM114" s="3511"/>
      <c r="BN114" s="3512"/>
      <c r="BO114" s="3513"/>
      <c r="BP114" s="3514"/>
      <c r="BQ114" s="3515"/>
      <c r="BR114" s="3516"/>
      <c r="BS114" s="3517"/>
      <c r="BT114" s="3518"/>
      <c r="BU114" s="3519"/>
      <c r="BV114" s="3520"/>
      <c r="BW114" s="3521"/>
      <c r="BX114" s="3522"/>
      <c r="BY114" s="3523"/>
      <c r="BZ114" s="3524"/>
      <c r="CA114" s="3525"/>
      <c r="CB114" s="3526"/>
      <c r="CC114" s="3527"/>
      <c r="CD114" s="3528"/>
      <c r="CE114" s="3529"/>
      <c r="CF114" s="3530"/>
      <c r="CG114" s="3531"/>
      <c r="CH114" s="3532"/>
      <c r="CI114" s="3533"/>
      <c r="CJ114" s="3534"/>
      <c r="CK114" s="3535"/>
      <c r="CL114" s="3536"/>
      <c r="CM114" s="3537"/>
      <c r="CN114" s="3538"/>
      <c r="CO114" s="3539"/>
      <c r="CP114" s="3540"/>
      <c r="CQ114" s="3541"/>
      <c r="CR114" s="3542"/>
      <c r="CS114" s="3543"/>
      <c r="CT114" s="3544"/>
      <c r="CU114" s="3545"/>
      <c r="CV114" s="3546"/>
      <c r="CW114" s="1562"/>
      <c r="CX114" s="1544"/>
      <c r="CY114" s="1544" t="str">
        <f t="shared" si="2"/>
        <v>Добавить наименование признака дифференциации</v>
      </c>
      <c r="CZ114" s="1544"/>
      <c r="DA114" s="1544"/>
    </row>
    <row r="115" spans="1:105" s="541" customFormat="1" ht="14.25" customHeight="1">
      <c r="A115" s="1265"/>
      <c r="B115" s="1265"/>
      <c r="C115" s="1265"/>
      <c r="D115" s="1265"/>
      <c r="E115" s="7690" t="s">
        <v>89</v>
      </c>
      <c r="F115" s="7689"/>
      <c r="G115" s="1265"/>
      <c r="H115" s="1265"/>
      <c r="I115" s="1265"/>
      <c r="J115" s="1265"/>
      <c r="K115" s="1265"/>
      <c r="L115" s="1466"/>
      <c r="M115" s="1244"/>
      <c r="N115" s="1244"/>
      <c r="O115" s="1562"/>
      <c r="P115" s="1239"/>
      <c r="Q115" s="1266"/>
      <c r="R115" s="1239"/>
      <c r="S115" s="1245"/>
      <c r="T115" s="1248" t="s">
        <v>325</v>
      </c>
      <c r="U115" s="1247"/>
      <c r="V115" s="1247"/>
      <c r="W115" s="1247"/>
      <c r="X115" s="1247"/>
      <c r="Y115" s="1247"/>
      <c r="Z115" s="1247"/>
      <c r="AA115" s="1247"/>
      <c r="AB115" s="1247"/>
      <c r="AC115" s="1247"/>
      <c r="AD115" s="1247"/>
      <c r="AE115" s="1247"/>
      <c r="AF115" s="1247"/>
      <c r="AG115" s="1247"/>
      <c r="AH115" s="1247"/>
      <c r="AI115" s="1247"/>
      <c r="AJ115" s="1247"/>
      <c r="AK115" s="1247"/>
      <c r="AL115" s="1247"/>
      <c r="AM115" s="1247"/>
      <c r="AN115" s="1247"/>
      <c r="AO115" s="1247"/>
      <c r="AP115" s="1247"/>
      <c r="AQ115" s="1247"/>
      <c r="AR115" s="1247"/>
      <c r="AS115" s="1247"/>
      <c r="AT115" s="1247"/>
      <c r="AU115" s="1247"/>
      <c r="AV115" s="1247"/>
      <c r="AW115" s="1247"/>
      <c r="AX115" s="1247"/>
      <c r="AY115" s="1247"/>
      <c r="AZ115" s="1247"/>
      <c r="BA115" s="1247"/>
      <c r="BB115" s="1247"/>
      <c r="BC115" s="1247"/>
      <c r="BD115" s="1247"/>
      <c r="BE115" s="1247"/>
      <c r="BF115" s="1247"/>
      <c r="BG115" s="1247"/>
      <c r="BH115" s="1247"/>
      <c r="BI115" s="1247"/>
      <c r="BJ115" s="1247"/>
      <c r="BK115" s="1247"/>
      <c r="BL115" s="1247"/>
      <c r="BM115" s="1247"/>
      <c r="BN115" s="1247"/>
      <c r="BO115" s="1247"/>
      <c r="BP115" s="1247"/>
      <c r="BQ115" s="1247"/>
      <c r="BR115" s="1247"/>
      <c r="BS115" s="1247"/>
      <c r="BT115" s="1247"/>
      <c r="BU115" s="1247"/>
      <c r="BV115" s="1247"/>
      <c r="BW115" s="1247"/>
      <c r="BX115" s="1247"/>
      <c r="BY115" s="1247"/>
      <c r="BZ115" s="1247"/>
      <c r="CA115" s="1247"/>
      <c r="CB115" s="1247"/>
      <c r="CC115" s="1247"/>
      <c r="CD115" s="1247"/>
      <c r="CE115" s="1247"/>
      <c r="CF115" s="1247"/>
      <c r="CG115" s="1247"/>
      <c r="CH115" s="1247"/>
      <c r="CI115" s="1247"/>
      <c r="CJ115" s="1247"/>
      <c r="CK115" s="1247"/>
      <c r="CL115" s="1247"/>
      <c r="CM115" s="1247"/>
      <c r="CN115" s="1247"/>
      <c r="CO115" s="1247"/>
      <c r="CP115" s="1247"/>
      <c r="CQ115" s="1247"/>
      <c r="CR115" s="1247"/>
      <c r="CS115" s="1247"/>
      <c r="CT115" s="1247"/>
      <c r="CU115" s="1247"/>
      <c r="CV115" s="1247"/>
      <c r="CW115" s="1562"/>
      <c r="CX115" s="1544"/>
      <c r="CY115" s="1544" t="str">
        <f t="shared" si="2"/>
        <v>Добавить централизованную систему для дифференциации</v>
      </c>
      <c r="CZ115" s="1544"/>
      <c r="DA115" s="1544"/>
    </row>
    <row r="116" spans="1:105" s="541" customFormat="1" ht="14.25" customHeight="1">
      <c r="A116" s="1265"/>
      <c r="B116" s="1265"/>
      <c r="C116" s="1265"/>
      <c r="D116" s="1265"/>
      <c r="E116" s="7689" t="s">
        <v>89</v>
      </c>
      <c r="F116" s="1265"/>
      <c r="G116" s="1265"/>
      <c r="H116" s="1265"/>
      <c r="I116" s="1265"/>
      <c r="J116" s="1265"/>
      <c r="K116" s="1265"/>
      <c r="L116" s="1466"/>
      <c r="M116" s="1244"/>
      <c r="N116" s="1244"/>
      <c r="O116" s="1562"/>
      <c r="P116" s="1239"/>
      <c r="Q116" s="1266"/>
      <c r="R116" s="1239"/>
      <c r="S116" s="1245"/>
      <c r="T116" s="1248" t="s">
        <v>326</v>
      </c>
      <c r="U116" s="1247"/>
      <c r="V116" s="1247"/>
      <c r="W116" s="1247"/>
      <c r="X116" s="1247"/>
      <c r="Y116" s="1247"/>
      <c r="Z116" s="1247"/>
      <c r="AA116" s="1247"/>
      <c r="AB116" s="1247"/>
      <c r="AC116" s="1247"/>
      <c r="AD116" s="1247"/>
      <c r="AE116" s="1247"/>
      <c r="AF116" s="1247"/>
      <c r="AG116" s="1247"/>
      <c r="AH116" s="1247"/>
      <c r="AI116" s="1247"/>
      <c r="AJ116" s="1247"/>
      <c r="AK116" s="1247"/>
      <c r="AL116" s="1247"/>
      <c r="AM116" s="1247"/>
      <c r="AN116" s="1247"/>
      <c r="AO116" s="1247"/>
      <c r="AP116" s="1247"/>
      <c r="AQ116" s="1247"/>
      <c r="AR116" s="1247"/>
      <c r="AS116" s="1247"/>
      <c r="AT116" s="1247"/>
      <c r="AU116" s="1247"/>
      <c r="AV116" s="1247"/>
      <c r="AW116" s="1247"/>
      <c r="AX116" s="1247"/>
      <c r="AY116" s="1247"/>
      <c r="AZ116" s="1247"/>
      <c r="BA116" s="1247"/>
      <c r="BB116" s="1247"/>
      <c r="BC116" s="1247"/>
      <c r="BD116" s="1247"/>
      <c r="BE116" s="1247"/>
      <c r="BF116" s="1247"/>
      <c r="BG116" s="1247"/>
      <c r="BH116" s="1247"/>
      <c r="BI116" s="1247"/>
      <c r="BJ116" s="1247"/>
      <c r="BK116" s="1247"/>
      <c r="BL116" s="1247"/>
      <c r="BM116" s="1247"/>
      <c r="BN116" s="1247"/>
      <c r="BO116" s="1247"/>
      <c r="BP116" s="1247"/>
      <c r="BQ116" s="1247"/>
      <c r="BR116" s="1247"/>
      <c r="BS116" s="1247"/>
      <c r="BT116" s="1247"/>
      <c r="BU116" s="1247"/>
      <c r="BV116" s="1247"/>
      <c r="BW116" s="1247"/>
      <c r="BX116" s="1247"/>
      <c r="BY116" s="1247"/>
      <c r="BZ116" s="1247"/>
      <c r="CA116" s="1247"/>
      <c r="CB116" s="1247"/>
      <c r="CC116" s="1247"/>
      <c r="CD116" s="1247"/>
      <c r="CE116" s="1247"/>
      <c r="CF116" s="1247"/>
      <c r="CG116" s="1247"/>
      <c r="CH116" s="1247"/>
      <c r="CI116" s="1247"/>
      <c r="CJ116" s="1247"/>
      <c r="CK116" s="1247"/>
      <c r="CL116" s="1247"/>
      <c r="CM116" s="1247"/>
      <c r="CN116" s="1247"/>
      <c r="CO116" s="1247"/>
      <c r="CP116" s="1247"/>
      <c r="CQ116" s="1247"/>
      <c r="CR116" s="1247"/>
      <c r="CS116" s="1247"/>
      <c r="CT116" s="1247"/>
      <c r="CU116" s="1247"/>
      <c r="CV116" s="1247"/>
      <c r="CW116" s="1562"/>
      <c r="CX116" s="1544"/>
      <c r="CY116" s="1544" t="str">
        <f t="shared" si="2"/>
        <v>Добавить территорию для дифференциации</v>
      </c>
      <c r="CZ116" s="1544"/>
      <c r="DA116" s="1544"/>
    </row>
    <row r="117" spans="1:105" s="1827" customFormat="1" ht="23.25" customHeight="1">
      <c r="A117" s="1284" t="s">
        <v>348</v>
      </c>
      <c r="B117" s="1284"/>
      <c r="C117" s="1284"/>
      <c r="D117" s="1284"/>
      <c r="E117" s="7689" t="s">
        <v>90</v>
      </c>
      <c r="F117" s="1284"/>
      <c r="G117" s="1284"/>
      <c r="H117" s="1284"/>
      <c r="I117" s="1284"/>
      <c r="J117" s="1284"/>
      <c r="K117" s="1284"/>
      <c r="L117" s="1290"/>
      <c r="M117" s="1286"/>
      <c r="N117" s="1286"/>
      <c r="O117" s="1286"/>
      <c r="P117" s="1817"/>
      <c r="Q117" s="1742"/>
      <c r="R117" s="276"/>
      <c r="S117" s="1813" t="str">
        <f>INDEX(PT_DIFFERENTIATION_NUM_NTAR,MATCH(A117,PT_DIFFERENTIATION_NTAR_ID,0))</f>
        <v>6</v>
      </c>
      <c r="T117" s="1440" t="s">
        <v>237</v>
      </c>
      <c r="U117" s="214"/>
      <c r="V117" s="7675"/>
      <c r="W117" s="7676"/>
      <c r="X117" s="7676"/>
      <c r="Y117" s="7676"/>
      <c r="Z117" s="7676"/>
      <c r="AA117" s="7676"/>
      <c r="AB117" s="7677"/>
      <c r="AC117" s="7675" t="str">
        <f>INDEX(PT_DIFFERENTIATION_NTAR,MATCH(A117,PT_DIFFERENTIATION_NTAR_ID,0))</f>
        <v xml:space="preserve">Тарифы на питьевую воду для потребителей, присоединенных к централизованным системам водоснабжения хутора Андрей-Курган и поселка Левобалковского Нефтекумского муниципального округа </v>
      </c>
      <c r="AD117" s="7676"/>
      <c r="AE117" s="7676"/>
      <c r="AF117" s="7676"/>
      <c r="AG117" s="7676"/>
      <c r="AH117" s="7676"/>
      <c r="AI117" s="7676"/>
      <c r="AJ117" s="7675"/>
      <c r="AK117" s="7676"/>
      <c r="AL117" s="7676"/>
      <c r="AM117" s="7676"/>
      <c r="AN117" s="7676"/>
      <c r="AO117" s="7676"/>
      <c r="AP117" s="7677"/>
      <c r="AQ117" s="7675"/>
      <c r="AR117" s="7676"/>
      <c r="AS117" s="7676"/>
      <c r="AT117" s="7676"/>
      <c r="AU117" s="7676"/>
      <c r="AV117" s="7676"/>
      <c r="AW117" s="7677"/>
      <c r="AX117" s="7675"/>
      <c r="AY117" s="7676"/>
      <c r="AZ117" s="7676"/>
      <c r="BA117" s="7676"/>
      <c r="BB117" s="7676"/>
      <c r="BC117" s="7676"/>
      <c r="BD117" s="7677"/>
      <c r="BE117" s="7675"/>
      <c r="BF117" s="7676"/>
      <c r="BG117" s="7676"/>
      <c r="BH117" s="7676"/>
      <c r="BI117" s="7676"/>
      <c r="BJ117" s="7676"/>
      <c r="BK117" s="7677"/>
      <c r="BL117" s="7675"/>
      <c r="BM117" s="7676"/>
      <c r="BN117" s="7676"/>
      <c r="BO117" s="7676"/>
      <c r="BP117" s="7676"/>
      <c r="BQ117" s="7676"/>
      <c r="BR117" s="7677"/>
      <c r="BS117" s="7675"/>
      <c r="BT117" s="7676"/>
      <c r="BU117" s="7676"/>
      <c r="BV117" s="7676"/>
      <c r="BW117" s="7676"/>
      <c r="BX117" s="7676"/>
      <c r="BY117" s="7677"/>
      <c r="BZ117" s="7675"/>
      <c r="CA117" s="7676"/>
      <c r="CB117" s="7676"/>
      <c r="CC117" s="7676"/>
      <c r="CD117" s="7676"/>
      <c r="CE117" s="7676"/>
      <c r="CF117" s="7677"/>
      <c r="CG117" s="7675"/>
      <c r="CH117" s="7676"/>
      <c r="CI117" s="7676"/>
      <c r="CJ117" s="7676"/>
      <c r="CK117" s="7676"/>
      <c r="CL117" s="7676"/>
      <c r="CM117" s="7677"/>
      <c r="CN117" s="7675"/>
      <c r="CO117" s="7676"/>
      <c r="CP117" s="7676"/>
      <c r="CQ117" s="7676"/>
      <c r="CR117" s="7676"/>
      <c r="CS117" s="7676"/>
      <c r="CT117" s="7677"/>
      <c r="CU117" s="7677"/>
      <c r="CV11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117" s="1562"/>
      <c r="CX117" s="1544"/>
      <c r="CY117" s="1544" t="str">
        <f t="shared" si="2"/>
        <v>Наименование тарифа</v>
      </c>
      <c r="CZ117" s="1544"/>
      <c r="DA117" s="1544"/>
    </row>
    <row r="118" spans="1:105" s="1827" customFormat="1" ht="23.25" customHeight="1">
      <c r="A118" s="1284"/>
      <c r="B118" s="1284" t="s">
        <v>349</v>
      </c>
      <c r="C118" s="1284"/>
      <c r="D118" s="1284"/>
      <c r="E118" s="7690" t="s">
        <v>111</v>
      </c>
      <c r="F118" s="7689">
        <v>1</v>
      </c>
      <c r="G118" s="1284"/>
      <c r="H118" s="1284"/>
      <c r="I118" s="1284"/>
      <c r="J118" s="1284"/>
      <c r="K118" s="1284"/>
      <c r="L118" s="1290"/>
      <c r="M118" s="1286"/>
      <c r="N118" s="1286"/>
      <c r="O118" s="1286"/>
      <c r="P118" s="1807"/>
      <c r="Q118" s="273"/>
      <c r="R118" s="274"/>
      <c r="S118" s="1813" t="str">
        <f>INDEX(PT_DIFFERENTIATION_NUM_TER,MATCH(B118,PT_DIFFERENTIATION_TER_ID,0))</f>
        <v>6.1</v>
      </c>
      <c r="T118" s="1437" t="s">
        <v>573</v>
      </c>
      <c r="U118" s="214"/>
      <c r="V118" s="7675"/>
      <c r="W118" s="7676"/>
      <c r="X118" s="7676"/>
      <c r="Y118" s="7676"/>
      <c r="Z118" s="7676"/>
      <c r="AA118" s="7676"/>
      <c r="AB118" s="7677"/>
      <c r="AC118" s="7675" t="str">
        <f>INDEX(PT_DIFFERENTIATION_TER,MATCH(B118,PT_DIFFERENTIATION_TER_ID,0))</f>
        <v>Территория 5</v>
      </c>
      <c r="AD118" s="7676"/>
      <c r="AE118" s="7676"/>
      <c r="AF118" s="7676"/>
      <c r="AG118" s="7676"/>
      <c r="AH118" s="7676"/>
      <c r="AI118" s="7676"/>
      <c r="AJ118" s="7675"/>
      <c r="AK118" s="7676"/>
      <c r="AL118" s="7676"/>
      <c r="AM118" s="7676"/>
      <c r="AN118" s="7676"/>
      <c r="AO118" s="7676"/>
      <c r="AP118" s="7677"/>
      <c r="AQ118" s="7675"/>
      <c r="AR118" s="7676"/>
      <c r="AS118" s="7676"/>
      <c r="AT118" s="7676"/>
      <c r="AU118" s="7676"/>
      <c r="AV118" s="7676"/>
      <c r="AW118" s="7677"/>
      <c r="AX118" s="7675"/>
      <c r="AY118" s="7676"/>
      <c r="AZ118" s="7676"/>
      <c r="BA118" s="7676"/>
      <c r="BB118" s="7676"/>
      <c r="BC118" s="7676"/>
      <c r="BD118" s="7677"/>
      <c r="BE118" s="7675"/>
      <c r="BF118" s="7676"/>
      <c r="BG118" s="7676"/>
      <c r="BH118" s="7676"/>
      <c r="BI118" s="7676"/>
      <c r="BJ118" s="7676"/>
      <c r="BK118" s="7677"/>
      <c r="BL118" s="7675"/>
      <c r="BM118" s="7676"/>
      <c r="BN118" s="7676"/>
      <c r="BO118" s="7676"/>
      <c r="BP118" s="7676"/>
      <c r="BQ118" s="7676"/>
      <c r="BR118" s="7677"/>
      <c r="BS118" s="7675"/>
      <c r="BT118" s="7676"/>
      <c r="BU118" s="7676"/>
      <c r="BV118" s="7676"/>
      <c r="BW118" s="7676"/>
      <c r="BX118" s="7676"/>
      <c r="BY118" s="7677"/>
      <c r="BZ118" s="7675"/>
      <c r="CA118" s="7676"/>
      <c r="CB118" s="7676"/>
      <c r="CC118" s="7676"/>
      <c r="CD118" s="7676"/>
      <c r="CE118" s="7676"/>
      <c r="CF118" s="7677"/>
      <c r="CG118" s="7675"/>
      <c r="CH118" s="7676"/>
      <c r="CI118" s="7676"/>
      <c r="CJ118" s="7676"/>
      <c r="CK118" s="7676"/>
      <c r="CL118" s="7676"/>
      <c r="CM118" s="7677"/>
      <c r="CN118" s="7675"/>
      <c r="CO118" s="7676"/>
      <c r="CP118" s="7676"/>
      <c r="CQ118" s="7676"/>
      <c r="CR118" s="7676"/>
      <c r="CS118" s="7676"/>
      <c r="CT118" s="7677"/>
      <c r="CU118" s="7677"/>
      <c r="CV118" s="1182" t="s">
        <v>574</v>
      </c>
      <c r="CW118" s="1562"/>
      <c r="CX118" s="1544"/>
      <c r="CY118" s="1544" t="str">
        <f t="shared" si="2"/>
        <v>Территория действия тарифа</v>
      </c>
      <c r="CZ118" s="1544"/>
      <c r="DA118" s="1544"/>
    </row>
    <row r="119" spans="1:105" s="1827" customFormat="1" ht="23.25" customHeight="1">
      <c r="A119" s="1284"/>
      <c r="B119" s="1284"/>
      <c r="C119" s="1284" t="s">
        <v>350</v>
      </c>
      <c r="D119" s="1284"/>
      <c r="E119" s="7690" t="s">
        <v>111</v>
      </c>
      <c r="F119" s="7690"/>
      <c r="G119" s="7689">
        <v>1</v>
      </c>
      <c r="H119" s="1284"/>
      <c r="I119" s="1284"/>
      <c r="J119" s="1284"/>
      <c r="K119" s="1284"/>
      <c r="L119" s="1290"/>
      <c r="M119" s="1286"/>
      <c r="N119" s="1286"/>
      <c r="O119" s="1286"/>
      <c r="P119" s="275"/>
      <c r="Q119" s="273"/>
      <c r="R119" s="274"/>
      <c r="S119" s="1813" t="str">
        <f>INDEX(PT_DIFFERENTIATION_NUM_CS,MATCH(C119,PT_DIFFERENTIATION_CS_ID,0))</f>
        <v>6.1.1</v>
      </c>
      <c r="T119" s="225" t="s">
        <v>654</v>
      </c>
      <c r="U119" s="214"/>
      <c r="V119" s="7675"/>
      <c r="W119" s="7676"/>
      <c r="X119" s="7676"/>
      <c r="Y119" s="7676"/>
      <c r="Z119" s="7676"/>
      <c r="AA119" s="7676"/>
      <c r="AB119" s="7677"/>
      <c r="AC119" s="7675" t="str">
        <f>INDEX(PT_DIFFERENTIATION_CS,MATCH(C119,PT_DIFFERENTIATION_CS_ID,0))</f>
        <v>без дифференциации</v>
      </c>
      <c r="AD119" s="7676"/>
      <c r="AE119" s="7676"/>
      <c r="AF119" s="7676"/>
      <c r="AG119" s="7676"/>
      <c r="AH119" s="7676"/>
      <c r="AI119" s="7676"/>
      <c r="AJ119" s="7675"/>
      <c r="AK119" s="7676"/>
      <c r="AL119" s="7676"/>
      <c r="AM119" s="7676"/>
      <c r="AN119" s="7676"/>
      <c r="AO119" s="7676"/>
      <c r="AP119" s="7677"/>
      <c r="AQ119" s="7675"/>
      <c r="AR119" s="7676"/>
      <c r="AS119" s="7676"/>
      <c r="AT119" s="7676"/>
      <c r="AU119" s="7676"/>
      <c r="AV119" s="7676"/>
      <c r="AW119" s="7677"/>
      <c r="AX119" s="7675"/>
      <c r="AY119" s="7676"/>
      <c r="AZ119" s="7676"/>
      <c r="BA119" s="7676"/>
      <c r="BB119" s="7676"/>
      <c r="BC119" s="7676"/>
      <c r="BD119" s="7677"/>
      <c r="BE119" s="7675"/>
      <c r="BF119" s="7676"/>
      <c r="BG119" s="7676"/>
      <c r="BH119" s="7676"/>
      <c r="BI119" s="7676"/>
      <c r="BJ119" s="7676"/>
      <c r="BK119" s="7677"/>
      <c r="BL119" s="7675"/>
      <c r="BM119" s="7676"/>
      <c r="BN119" s="7676"/>
      <c r="BO119" s="7676"/>
      <c r="BP119" s="7676"/>
      <c r="BQ119" s="7676"/>
      <c r="BR119" s="7677"/>
      <c r="BS119" s="7675"/>
      <c r="BT119" s="7676"/>
      <c r="BU119" s="7676"/>
      <c r="BV119" s="7676"/>
      <c r="BW119" s="7676"/>
      <c r="BX119" s="7676"/>
      <c r="BY119" s="7677"/>
      <c r="BZ119" s="7675"/>
      <c r="CA119" s="7676"/>
      <c r="CB119" s="7676"/>
      <c r="CC119" s="7676"/>
      <c r="CD119" s="7676"/>
      <c r="CE119" s="7676"/>
      <c r="CF119" s="7677"/>
      <c r="CG119" s="7675"/>
      <c r="CH119" s="7676"/>
      <c r="CI119" s="7676"/>
      <c r="CJ119" s="7676"/>
      <c r="CK119" s="7676"/>
      <c r="CL119" s="7676"/>
      <c r="CM119" s="7677"/>
      <c r="CN119" s="7675"/>
      <c r="CO119" s="7676"/>
      <c r="CP119" s="7676"/>
      <c r="CQ119" s="7676"/>
      <c r="CR119" s="7676"/>
      <c r="CS119" s="7676"/>
      <c r="CT119" s="7677"/>
      <c r="CU119" s="7677"/>
      <c r="CV119" s="1182" t="s">
        <v>655</v>
      </c>
      <c r="CW119" s="1562"/>
      <c r="CX119" s="1544"/>
      <c r="CY119" s="1544" t="str">
        <f t="shared" si="2"/>
        <v>Наименование централизованной системы холодного водоснабжения</v>
      </c>
      <c r="CZ119" s="1544"/>
      <c r="DA119" s="1544"/>
    </row>
    <row r="120" spans="1:105" s="1827" customFormat="1" ht="23.25" customHeight="1">
      <c r="A120" s="1284"/>
      <c r="B120" s="1284"/>
      <c r="C120" s="1284"/>
      <c r="D120" s="1284"/>
      <c r="E120" s="7690" t="s">
        <v>111</v>
      </c>
      <c r="F120" s="7690"/>
      <c r="G120" s="7690"/>
      <c r="H120" s="7690"/>
      <c r="I120" s="7687" t="str">
        <f>S119&amp;".1"</f>
        <v>6.1.1.1</v>
      </c>
      <c r="J120" s="1284"/>
      <c r="K120" s="1284"/>
      <c r="L120" s="1290"/>
      <c r="M120" s="1696"/>
      <c r="N120" s="1696"/>
      <c r="O120" s="1696"/>
      <c r="P120" s="7688">
        <v>1</v>
      </c>
      <c r="Q120" s="1816"/>
      <c r="R120" s="277"/>
      <c r="S120" s="1813" t="str">
        <f>$I120</f>
        <v>6.1.1.1</v>
      </c>
      <c r="T120" s="200" t="s">
        <v>656</v>
      </c>
      <c r="U120" s="214"/>
      <c r="V120" s="7748"/>
      <c r="W120" s="7749"/>
      <c r="X120" s="7749"/>
      <c r="Y120" s="7749"/>
      <c r="Z120" s="7749"/>
      <c r="AA120" s="7749"/>
      <c r="AB120" s="7750"/>
      <c r="AC120" s="7751"/>
      <c r="AD120" s="7752"/>
      <c r="AE120" s="7752"/>
      <c r="AF120" s="7752"/>
      <c r="AG120" s="7752"/>
      <c r="AH120" s="7752"/>
      <c r="AI120" s="7752"/>
      <c r="AJ120" s="7748"/>
      <c r="AK120" s="7749"/>
      <c r="AL120" s="7749"/>
      <c r="AM120" s="7749"/>
      <c r="AN120" s="7749"/>
      <c r="AO120" s="7749"/>
      <c r="AP120" s="7750"/>
      <c r="AQ120" s="7748"/>
      <c r="AR120" s="7749"/>
      <c r="AS120" s="7749"/>
      <c r="AT120" s="7749"/>
      <c r="AU120" s="7749"/>
      <c r="AV120" s="7749"/>
      <c r="AW120" s="7750"/>
      <c r="AX120" s="7748"/>
      <c r="AY120" s="7749"/>
      <c r="AZ120" s="7749"/>
      <c r="BA120" s="7749"/>
      <c r="BB120" s="7749"/>
      <c r="BC120" s="7749"/>
      <c r="BD120" s="7750"/>
      <c r="BE120" s="7748"/>
      <c r="BF120" s="7749"/>
      <c r="BG120" s="7749"/>
      <c r="BH120" s="7749"/>
      <c r="BI120" s="7749"/>
      <c r="BJ120" s="7749"/>
      <c r="BK120" s="7750"/>
      <c r="BL120" s="7748"/>
      <c r="BM120" s="7749"/>
      <c r="BN120" s="7749"/>
      <c r="BO120" s="7749"/>
      <c r="BP120" s="7749"/>
      <c r="BQ120" s="7749"/>
      <c r="BR120" s="7750"/>
      <c r="BS120" s="7748"/>
      <c r="BT120" s="7749"/>
      <c r="BU120" s="7749"/>
      <c r="BV120" s="7749"/>
      <c r="BW120" s="7749"/>
      <c r="BX120" s="7749"/>
      <c r="BY120" s="7750"/>
      <c r="BZ120" s="7748"/>
      <c r="CA120" s="7749"/>
      <c r="CB120" s="7749"/>
      <c r="CC120" s="7749"/>
      <c r="CD120" s="7749"/>
      <c r="CE120" s="7749"/>
      <c r="CF120" s="7750"/>
      <c r="CG120" s="7748"/>
      <c r="CH120" s="7749"/>
      <c r="CI120" s="7749"/>
      <c r="CJ120" s="7749"/>
      <c r="CK120" s="7749"/>
      <c r="CL120" s="7749"/>
      <c r="CM120" s="7750"/>
      <c r="CN120" s="7748"/>
      <c r="CO120" s="7749"/>
      <c r="CP120" s="7749"/>
      <c r="CQ120" s="7749"/>
      <c r="CR120" s="7749"/>
      <c r="CS120" s="7749"/>
      <c r="CT120" s="7750"/>
      <c r="CU120" s="7753"/>
      <c r="CV120" s="1182" t="s">
        <v>657</v>
      </c>
      <c r="CW120" s="1562"/>
      <c r="CX120" s="1544"/>
      <c r="CY120" s="1544" t="str">
        <f t="shared" si="2"/>
        <v>Наименование признака дифференциации</v>
      </c>
      <c r="CZ120" s="1544"/>
      <c r="DA120" s="1544"/>
    </row>
    <row r="121" spans="1:105" s="1827" customFormat="1" ht="23.25" customHeight="1">
      <c r="A121" s="1284"/>
      <c r="B121" s="1284"/>
      <c r="C121" s="1284"/>
      <c r="D121" s="1284"/>
      <c r="E121" s="7690" t="s">
        <v>111</v>
      </c>
      <c r="F121" s="7690"/>
      <c r="G121" s="7690"/>
      <c r="H121" s="7690"/>
      <c r="I121" s="7710"/>
      <c r="J121" s="7687" t="str">
        <f>I120&amp;".1"</f>
        <v>6.1.1.1.1</v>
      </c>
      <c r="K121" s="1284"/>
      <c r="L121" s="1290" t="s">
        <v>582</v>
      </c>
      <c r="M121" s="1696"/>
      <c r="N121" s="1696"/>
      <c r="O121" s="1696"/>
      <c r="P121" s="7688"/>
      <c r="Q121" s="7688">
        <v>1</v>
      </c>
      <c r="R121" s="278"/>
      <c r="S121" s="1813" t="str">
        <f>$J121</f>
        <v>6.1.1.1.1</v>
      </c>
      <c r="T121" s="201" t="s">
        <v>583</v>
      </c>
      <c r="U121" s="214"/>
      <c r="V121" s="7678"/>
      <c r="W121" s="7679"/>
      <c r="X121" s="7679"/>
      <c r="Y121" s="7679"/>
      <c r="Z121" s="7679"/>
      <c r="AA121" s="7679"/>
      <c r="AB121" s="7680"/>
      <c r="AC121" s="7678" t="s">
        <v>671</v>
      </c>
      <c r="AD121" s="7679"/>
      <c r="AE121" s="7679"/>
      <c r="AF121" s="7679"/>
      <c r="AG121" s="7679"/>
      <c r="AH121" s="7679"/>
      <c r="AI121" s="7679"/>
      <c r="AJ121" s="7678"/>
      <c r="AK121" s="7679"/>
      <c r="AL121" s="7679"/>
      <c r="AM121" s="7679"/>
      <c r="AN121" s="7679"/>
      <c r="AO121" s="7679"/>
      <c r="AP121" s="7680"/>
      <c r="AQ121" s="7678"/>
      <c r="AR121" s="7679"/>
      <c r="AS121" s="7679"/>
      <c r="AT121" s="7679"/>
      <c r="AU121" s="7679"/>
      <c r="AV121" s="7679"/>
      <c r="AW121" s="7680"/>
      <c r="AX121" s="7678"/>
      <c r="AY121" s="7679"/>
      <c r="AZ121" s="7679"/>
      <c r="BA121" s="7679"/>
      <c r="BB121" s="7679"/>
      <c r="BC121" s="7679"/>
      <c r="BD121" s="7680"/>
      <c r="BE121" s="7678"/>
      <c r="BF121" s="7679"/>
      <c r="BG121" s="7679"/>
      <c r="BH121" s="7679"/>
      <c r="BI121" s="7679"/>
      <c r="BJ121" s="7679"/>
      <c r="BK121" s="7680"/>
      <c r="BL121" s="7678"/>
      <c r="BM121" s="7679"/>
      <c r="BN121" s="7679"/>
      <c r="BO121" s="7679"/>
      <c r="BP121" s="7679"/>
      <c r="BQ121" s="7679"/>
      <c r="BR121" s="7680"/>
      <c r="BS121" s="7678"/>
      <c r="BT121" s="7679"/>
      <c r="BU121" s="7679"/>
      <c r="BV121" s="7679"/>
      <c r="BW121" s="7679"/>
      <c r="BX121" s="7679"/>
      <c r="BY121" s="7680"/>
      <c r="BZ121" s="7678"/>
      <c r="CA121" s="7679"/>
      <c r="CB121" s="7679"/>
      <c r="CC121" s="7679"/>
      <c r="CD121" s="7679"/>
      <c r="CE121" s="7679"/>
      <c r="CF121" s="7680"/>
      <c r="CG121" s="7678"/>
      <c r="CH121" s="7679"/>
      <c r="CI121" s="7679"/>
      <c r="CJ121" s="7679"/>
      <c r="CK121" s="7679"/>
      <c r="CL121" s="7679"/>
      <c r="CM121" s="7680"/>
      <c r="CN121" s="7678"/>
      <c r="CO121" s="7679"/>
      <c r="CP121" s="7679"/>
      <c r="CQ121" s="7679"/>
      <c r="CR121" s="7679"/>
      <c r="CS121" s="7679"/>
      <c r="CT121" s="7680"/>
      <c r="CU121" s="7680"/>
      <c r="CV121" s="1231" t="s">
        <v>658</v>
      </c>
      <c r="CW121" s="1562"/>
      <c r="CX121" s="1544"/>
      <c r="CY121" s="1544" t="str">
        <f t="shared" si="2"/>
        <v>Группа потребителей</v>
      </c>
      <c r="CZ121" s="1544"/>
      <c r="DA121" s="1544"/>
    </row>
    <row r="122" spans="1:105" s="1827" customFormat="1" ht="23.25" customHeight="1">
      <c r="A122" s="1284"/>
      <c r="B122" s="1284"/>
      <c r="C122" s="1284"/>
      <c r="D122" s="1284"/>
      <c r="E122" s="7690" t="s">
        <v>111</v>
      </c>
      <c r="F122" s="7690"/>
      <c r="G122" s="7690"/>
      <c r="H122" s="7690"/>
      <c r="I122" s="7710"/>
      <c r="J122" s="7710"/>
      <c r="K122" s="7687" t="str">
        <f>J121&amp;".1"</f>
        <v>6.1.1.1.1.1</v>
      </c>
      <c r="L122" s="1290"/>
      <c r="M122" s="1696"/>
      <c r="N122" s="1696"/>
      <c r="O122" s="1696"/>
      <c r="P122" s="7688"/>
      <c r="Q122" s="7688"/>
      <c r="R122" s="278">
        <v>1</v>
      </c>
      <c r="S122" s="1813" t="str">
        <f>$K122</f>
        <v>6.1.1.1.1.1</v>
      </c>
      <c r="T122" s="1357" t="s">
        <v>672</v>
      </c>
      <c r="U122" s="214"/>
      <c r="V122" s="666"/>
      <c r="W122" s="666"/>
      <c r="X122" s="1181"/>
      <c r="Y122" s="7692"/>
      <c r="Z122" s="7540" t="s">
        <v>60</v>
      </c>
      <c r="AA122" s="7692"/>
      <c r="AB122" s="7540" t="s">
        <v>60</v>
      </c>
      <c r="AC122" s="666">
        <v>50.22</v>
      </c>
      <c r="AD122" s="666"/>
      <c r="AE122" s="1181"/>
      <c r="AF122" s="7692">
        <v>45292</v>
      </c>
      <c r="AG122" s="7540" t="s">
        <v>60</v>
      </c>
      <c r="AH122" s="7711">
        <v>45473</v>
      </c>
      <c r="AI122" s="7540" t="s">
        <v>60</v>
      </c>
      <c r="AJ122" s="666">
        <v>54.74</v>
      </c>
      <c r="AK122" s="666"/>
      <c r="AL122" s="1181"/>
      <c r="AM122" s="7692">
        <v>45473</v>
      </c>
      <c r="AN122" s="7540" t="s">
        <v>60</v>
      </c>
      <c r="AO122" s="7692">
        <v>45657</v>
      </c>
      <c r="AP122" s="7540" t="s">
        <v>60</v>
      </c>
      <c r="AQ122" s="666">
        <v>54.74</v>
      </c>
      <c r="AR122" s="666"/>
      <c r="AS122" s="1181"/>
      <c r="AT122" s="7692">
        <v>45658</v>
      </c>
      <c r="AU122" s="7540" t="s">
        <v>60</v>
      </c>
      <c r="AV122" s="7692">
        <v>45838</v>
      </c>
      <c r="AW122" s="7540" t="s">
        <v>60</v>
      </c>
      <c r="AX122" s="666">
        <v>57.86</v>
      </c>
      <c r="AY122" s="666"/>
      <c r="AZ122" s="1181"/>
      <c r="BA122" s="7692">
        <v>45839</v>
      </c>
      <c r="BB122" s="7540" t="s">
        <v>60</v>
      </c>
      <c r="BC122" s="7692">
        <v>46022</v>
      </c>
      <c r="BD122" s="7540" t="s">
        <v>60</v>
      </c>
      <c r="BE122" s="666">
        <v>57.86</v>
      </c>
      <c r="BF122" s="666"/>
      <c r="BG122" s="1181"/>
      <c r="BH122" s="7692">
        <v>46023</v>
      </c>
      <c r="BI122" s="7540" t="s">
        <v>60</v>
      </c>
      <c r="BJ122" s="7692">
        <v>46203</v>
      </c>
      <c r="BK122" s="7540" t="s">
        <v>60</v>
      </c>
      <c r="BL122" s="666">
        <v>60.17</v>
      </c>
      <c r="BM122" s="666"/>
      <c r="BN122" s="1181"/>
      <c r="BO122" s="7692">
        <v>46204</v>
      </c>
      <c r="BP122" s="7540" t="s">
        <v>60</v>
      </c>
      <c r="BQ122" s="7692">
        <v>46387</v>
      </c>
      <c r="BR122" s="7540" t="s">
        <v>60</v>
      </c>
      <c r="BS122" s="666">
        <v>60.17</v>
      </c>
      <c r="BT122" s="666"/>
      <c r="BU122" s="1181"/>
      <c r="BV122" s="7692">
        <v>46388</v>
      </c>
      <c r="BW122" s="7540" t="s">
        <v>60</v>
      </c>
      <c r="BX122" s="7692">
        <v>46568</v>
      </c>
      <c r="BY122" s="7540" t="s">
        <v>60</v>
      </c>
      <c r="BZ122" s="666">
        <v>62.58</v>
      </c>
      <c r="CA122" s="666"/>
      <c r="CB122" s="1181"/>
      <c r="CC122" s="7692">
        <v>46569</v>
      </c>
      <c r="CD122" s="7540" t="s">
        <v>60</v>
      </c>
      <c r="CE122" s="7692">
        <v>46752</v>
      </c>
      <c r="CF122" s="7540" t="s">
        <v>60</v>
      </c>
      <c r="CG122" s="666">
        <v>62.58</v>
      </c>
      <c r="CH122" s="666"/>
      <c r="CI122" s="1181"/>
      <c r="CJ122" s="7692">
        <v>46753</v>
      </c>
      <c r="CK122" s="7540" t="s">
        <v>60</v>
      </c>
      <c r="CL122" s="7692">
        <v>46934</v>
      </c>
      <c r="CM122" s="7540" t="s">
        <v>60</v>
      </c>
      <c r="CN122" s="666">
        <v>65.08</v>
      </c>
      <c r="CO122" s="666"/>
      <c r="CP122" s="1181"/>
      <c r="CQ122" s="7692">
        <v>46935</v>
      </c>
      <c r="CR122" s="7540" t="s">
        <v>60</v>
      </c>
      <c r="CS122" s="7692">
        <v>47118</v>
      </c>
      <c r="CT122" s="7540" t="s">
        <v>60</v>
      </c>
      <c r="CU122" s="1358"/>
      <c r="CV122"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22" s="1562" t="e">
        <f ca="1">STRCHECKDATE(V123:CU123)</f>
        <v>#NAME?</v>
      </c>
      <c r="CX122" s="1544"/>
      <c r="CY122" s="1544" t="str">
        <f t="shared" si="2"/>
        <v>Тариф для населения, руб. за 1 куб. метр с НДС</v>
      </c>
      <c r="CZ122" s="1544"/>
      <c r="DA122" s="1544"/>
    </row>
    <row r="123" spans="1:105" s="1827" customFormat="1" ht="14.25" customHeight="1">
      <c r="A123" s="1284"/>
      <c r="B123" s="1284"/>
      <c r="C123" s="1284"/>
      <c r="D123" s="1284"/>
      <c r="E123" s="7690" t="s">
        <v>111</v>
      </c>
      <c r="F123" s="7690"/>
      <c r="G123" s="7690"/>
      <c r="H123" s="7690"/>
      <c r="I123" s="7710"/>
      <c r="J123" s="7710"/>
      <c r="K123" s="7687"/>
      <c r="L123" s="1290"/>
      <c r="M123" s="1696"/>
      <c r="N123" s="1696"/>
      <c r="O123" s="1696"/>
      <c r="P123" s="7688"/>
      <c r="Q123" s="7688"/>
      <c r="R123" s="278"/>
      <c r="S123" s="1822"/>
      <c r="T123" s="214"/>
      <c r="U123" s="214"/>
      <c r="V123" s="246"/>
      <c r="W123" s="246"/>
      <c r="X123" s="250" t="str">
        <f>Y122&amp;"-"&amp;AA122</f>
        <v>-</v>
      </c>
      <c r="Y123" s="7693"/>
      <c r="Z123" s="7540"/>
      <c r="AA123" s="7693"/>
      <c r="AB123" s="7540"/>
      <c r="AC123" s="246"/>
      <c r="AD123" s="246"/>
      <c r="AE123" s="250" t="str">
        <f>AF122&amp;"-"&amp;AH122</f>
        <v>45292-45473</v>
      </c>
      <c r="AF123" s="7693"/>
      <c r="AG123" s="7540"/>
      <c r="AH123" s="7712"/>
      <c r="AI123" s="7540"/>
      <c r="AJ123" s="246"/>
      <c r="AK123" s="246"/>
      <c r="AL123" s="250" t="str">
        <f>AM122&amp;"-"&amp;AO122</f>
        <v>45473-45657</v>
      </c>
      <c r="AM123" s="7693"/>
      <c r="AN123" s="7540"/>
      <c r="AO123" s="7693"/>
      <c r="AP123" s="7540"/>
      <c r="AQ123" s="246"/>
      <c r="AR123" s="246"/>
      <c r="AS123" s="250" t="str">
        <f>AT122&amp;"-"&amp;AV122</f>
        <v>45658-45838</v>
      </c>
      <c r="AT123" s="7693"/>
      <c r="AU123" s="7540"/>
      <c r="AV123" s="7693"/>
      <c r="AW123" s="7540"/>
      <c r="AX123" s="246"/>
      <c r="AY123" s="246"/>
      <c r="AZ123" s="250" t="str">
        <f>BA122&amp;"-"&amp;BC122</f>
        <v>45839-46022</v>
      </c>
      <c r="BA123" s="7693"/>
      <c r="BB123" s="7540"/>
      <c r="BC123" s="7693"/>
      <c r="BD123" s="7540"/>
      <c r="BE123" s="246"/>
      <c r="BF123" s="246"/>
      <c r="BG123" s="250" t="str">
        <f>BH122&amp;"-"&amp;BJ122</f>
        <v>46023-46203</v>
      </c>
      <c r="BH123" s="7693"/>
      <c r="BI123" s="7540"/>
      <c r="BJ123" s="7693"/>
      <c r="BK123" s="7540"/>
      <c r="BL123" s="246"/>
      <c r="BM123" s="246"/>
      <c r="BN123" s="250" t="str">
        <f>BO122&amp;"-"&amp;BQ122</f>
        <v>46204-46387</v>
      </c>
      <c r="BO123" s="7693"/>
      <c r="BP123" s="7540"/>
      <c r="BQ123" s="7693"/>
      <c r="BR123" s="7540"/>
      <c r="BS123" s="246"/>
      <c r="BT123" s="246"/>
      <c r="BU123" s="250" t="str">
        <f>BV122&amp;"-"&amp;BX122</f>
        <v>46388-46568</v>
      </c>
      <c r="BV123" s="7693"/>
      <c r="BW123" s="7540"/>
      <c r="BX123" s="7693"/>
      <c r="BY123" s="7540"/>
      <c r="BZ123" s="246"/>
      <c r="CA123" s="246"/>
      <c r="CB123" s="250" t="str">
        <f>CC122&amp;"-"&amp;CE122</f>
        <v>46569-46752</v>
      </c>
      <c r="CC123" s="7693"/>
      <c r="CD123" s="7540"/>
      <c r="CE123" s="7693"/>
      <c r="CF123" s="7540"/>
      <c r="CG123" s="246"/>
      <c r="CH123" s="246"/>
      <c r="CI123" s="250" t="str">
        <f>CJ122&amp;"-"&amp;CL122</f>
        <v>46753-46934</v>
      </c>
      <c r="CJ123" s="7693"/>
      <c r="CK123" s="7540"/>
      <c r="CL123" s="7693"/>
      <c r="CM123" s="7540"/>
      <c r="CN123" s="246"/>
      <c r="CO123" s="246"/>
      <c r="CP123" s="250" t="str">
        <f>CQ122&amp;"-"&amp;CS122</f>
        <v>46935-47118</v>
      </c>
      <c r="CQ123" s="7693"/>
      <c r="CR123" s="7540"/>
      <c r="CS123" s="7693"/>
      <c r="CT123" s="7540"/>
      <c r="CU123" s="1359"/>
      <c r="CV123" s="7747"/>
      <c r="CW123" s="1562"/>
      <c r="CX123" s="1544"/>
      <c r="CY123" s="1544" t="str">
        <f t="shared" si="2"/>
        <v/>
      </c>
      <c r="CZ123" s="1544"/>
      <c r="DA123" s="1544"/>
    </row>
    <row r="124" spans="1:105" s="1827" customFormat="1" ht="21" customHeight="1">
      <c r="A124" s="1284"/>
      <c r="B124" s="1284"/>
      <c r="C124" s="1284"/>
      <c r="D124" s="1284"/>
      <c r="E124" s="7690" t="s">
        <v>111</v>
      </c>
      <c r="F124" s="7690"/>
      <c r="G124" s="7690"/>
      <c r="H124" s="7690"/>
      <c r="I124" s="7710"/>
      <c r="J124" s="7687"/>
      <c r="K124" s="1284"/>
      <c r="L124" s="1290"/>
      <c r="M124" s="1696"/>
      <c r="N124" s="1696"/>
      <c r="O124" s="1696"/>
      <c r="P124" s="7688"/>
      <c r="Q124" s="7688"/>
      <c r="R124" s="277"/>
      <c r="S124" s="3547"/>
      <c r="T124" s="3548" t="s">
        <v>659</v>
      </c>
      <c r="U124" s="3549"/>
      <c r="V124" s="3550"/>
      <c r="W124" s="3551"/>
      <c r="X124" s="3552"/>
      <c r="Y124" s="3553"/>
      <c r="Z124" s="3554"/>
      <c r="AA124" s="3555"/>
      <c r="AB124" s="3556"/>
      <c r="AC124" s="3557"/>
      <c r="AD124" s="3558"/>
      <c r="AE124" s="3559"/>
      <c r="AF124" s="3560"/>
      <c r="AG124" s="3561"/>
      <c r="AH124" s="3562"/>
      <c r="AI124" s="3563"/>
      <c r="AJ124" s="3564"/>
      <c r="AK124" s="3565"/>
      <c r="AL124" s="3566"/>
      <c r="AM124" s="3567"/>
      <c r="AN124" s="3568"/>
      <c r="AO124" s="3569"/>
      <c r="AP124" s="3570"/>
      <c r="AQ124" s="3571"/>
      <c r="AR124" s="3572"/>
      <c r="AS124" s="3573"/>
      <c r="AT124" s="3574"/>
      <c r="AU124" s="3575"/>
      <c r="AV124" s="3576"/>
      <c r="AW124" s="3577"/>
      <c r="AX124" s="3578"/>
      <c r="AY124" s="3579"/>
      <c r="AZ124" s="3580"/>
      <c r="BA124" s="3581"/>
      <c r="BB124" s="3582"/>
      <c r="BC124" s="3583"/>
      <c r="BD124" s="3584"/>
      <c r="BE124" s="3585"/>
      <c r="BF124" s="3586"/>
      <c r="BG124" s="3587"/>
      <c r="BH124" s="3588"/>
      <c r="BI124" s="3589"/>
      <c r="BJ124" s="3590"/>
      <c r="BK124" s="3591"/>
      <c r="BL124" s="3592"/>
      <c r="BM124" s="3593"/>
      <c r="BN124" s="3594"/>
      <c r="BO124" s="3595"/>
      <c r="BP124" s="3596"/>
      <c r="BQ124" s="3597"/>
      <c r="BR124" s="3598"/>
      <c r="BS124" s="3599"/>
      <c r="BT124" s="3600"/>
      <c r="BU124" s="3601"/>
      <c r="BV124" s="3602"/>
      <c r="BW124" s="3603"/>
      <c r="BX124" s="3604"/>
      <c r="BY124" s="3605"/>
      <c r="BZ124" s="3606"/>
      <c r="CA124" s="3607"/>
      <c r="CB124" s="3608"/>
      <c r="CC124" s="3609"/>
      <c r="CD124" s="3610"/>
      <c r="CE124" s="3611"/>
      <c r="CF124" s="3612"/>
      <c r="CG124" s="3613"/>
      <c r="CH124" s="3614"/>
      <c r="CI124" s="3615"/>
      <c r="CJ124" s="3616"/>
      <c r="CK124" s="3617"/>
      <c r="CL124" s="3618"/>
      <c r="CM124" s="3619"/>
      <c r="CN124" s="3620"/>
      <c r="CO124" s="3621"/>
      <c r="CP124" s="3622"/>
      <c r="CQ124" s="3623"/>
      <c r="CR124" s="3624"/>
      <c r="CS124" s="3625"/>
      <c r="CT124" s="3626"/>
      <c r="CU124" s="3627"/>
      <c r="CV124" s="1182" t="s">
        <v>660</v>
      </c>
      <c r="CW124" s="1562"/>
      <c r="CX124" s="1544"/>
      <c r="CY124" s="1544" t="str">
        <f t="shared" si="2"/>
        <v>Добавить значение признака дифференциации</v>
      </c>
      <c r="CZ124" s="1544"/>
      <c r="DA124" s="1544"/>
    </row>
    <row r="125" spans="1:105" s="1827" customFormat="1" ht="23.25" customHeight="1">
      <c r="A125" s="1284"/>
      <c r="B125" s="1284"/>
      <c r="C125" s="1284"/>
      <c r="D125" s="1284"/>
      <c r="E125" s="7690"/>
      <c r="F125" s="7690"/>
      <c r="G125" s="7690"/>
      <c r="H125" s="7690"/>
      <c r="I125" s="7710"/>
      <c r="J125" s="7687" t="str">
        <f>I120&amp;".2"</f>
        <v>6.1.1.1.2</v>
      </c>
      <c r="K125" s="1284"/>
      <c r="L125" s="1290" t="s">
        <v>582</v>
      </c>
      <c r="M125" s="1696"/>
      <c r="N125" s="1696"/>
      <c r="O125" s="1696"/>
      <c r="P125" s="7688"/>
      <c r="Q125" s="7754" t="s">
        <v>101</v>
      </c>
      <c r="R125" s="278"/>
      <c r="S125" s="1813" t="str">
        <f>$J125</f>
        <v>6.1.1.1.2</v>
      </c>
      <c r="T125" s="201" t="s">
        <v>583</v>
      </c>
      <c r="U125" s="214"/>
      <c r="V125" s="7678"/>
      <c r="W125" s="7679"/>
      <c r="X125" s="7679"/>
      <c r="Y125" s="7679"/>
      <c r="Z125" s="7679"/>
      <c r="AA125" s="7679"/>
      <c r="AB125" s="7680"/>
      <c r="AC125" s="7678" t="s">
        <v>669</v>
      </c>
      <c r="AD125" s="7679"/>
      <c r="AE125" s="7679"/>
      <c r="AF125" s="7679"/>
      <c r="AG125" s="7679"/>
      <c r="AH125" s="7679"/>
      <c r="AI125" s="7679"/>
      <c r="AJ125" s="7678"/>
      <c r="AK125" s="7679"/>
      <c r="AL125" s="7679"/>
      <c r="AM125" s="7679"/>
      <c r="AN125" s="7679"/>
      <c r="AO125" s="7679"/>
      <c r="AP125" s="7680"/>
      <c r="AQ125" s="7678"/>
      <c r="AR125" s="7679"/>
      <c r="AS125" s="7679"/>
      <c r="AT125" s="7679"/>
      <c r="AU125" s="7679"/>
      <c r="AV125" s="7679"/>
      <c r="AW125" s="7680"/>
      <c r="AX125" s="7678"/>
      <c r="AY125" s="7679"/>
      <c r="AZ125" s="7679"/>
      <c r="BA125" s="7679"/>
      <c r="BB125" s="7679"/>
      <c r="BC125" s="7679"/>
      <c r="BD125" s="7680"/>
      <c r="BE125" s="7678"/>
      <c r="BF125" s="7679"/>
      <c r="BG125" s="7679"/>
      <c r="BH125" s="7679"/>
      <c r="BI125" s="7679"/>
      <c r="BJ125" s="7679"/>
      <c r="BK125" s="7680"/>
      <c r="BL125" s="7678"/>
      <c r="BM125" s="7679"/>
      <c r="BN125" s="7679"/>
      <c r="BO125" s="7679"/>
      <c r="BP125" s="7679"/>
      <c r="BQ125" s="7679"/>
      <c r="BR125" s="7680"/>
      <c r="BS125" s="7678"/>
      <c r="BT125" s="7679"/>
      <c r="BU125" s="7679"/>
      <c r="BV125" s="7679"/>
      <c r="BW125" s="7679"/>
      <c r="BX125" s="7679"/>
      <c r="BY125" s="7680"/>
      <c r="BZ125" s="7678"/>
      <c r="CA125" s="7679"/>
      <c r="CB125" s="7679"/>
      <c r="CC125" s="7679"/>
      <c r="CD125" s="7679"/>
      <c r="CE125" s="7679"/>
      <c r="CF125" s="7680"/>
      <c r="CG125" s="7678"/>
      <c r="CH125" s="7679"/>
      <c r="CI125" s="7679"/>
      <c r="CJ125" s="7679"/>
      <c r="CK125" s="7679"/>
      <c r="CL125" s="7679"/>
      <c r="CM125" s="7680"/>
      <c r="CN125" s="7678"/>
      <c r="CO125" s="7679"/>
      <c r="CP125" s="7679"/>
      <c r="CQ125" s="7679"/>
      <c r="CR125" s="7679"/>
      <c r="CS125" s="7679"/>
      <c r="CT125" s="7680"/>
      <c r="CU125" s="7680"/>
      <c r="CV125" s="1231" t="s">
        <v>658</v>
      </c>
      <c r="CW125" s="1562"/>
      <c r="CX125" s="1544"/>
      <c r="CY125" s="1544" t="str">
        <f t="shared" si="2"/>
        <v>Группа потребителей</v>
      </c>
      <c r="CZ125" s="1544"/>
      <c r="DA125" s="1544"/>
    </row>
    <row r="126" spans="1:105" s="1827" customFormat="1" ht="23.25" customHeight="1">
      <c r="A126" s="1284"/>
      <c r="B126" s="1284"/>
      <c r="C126" s="1284"/>
      <c r="D126" s="1284"/>
      <c r="E126" s="7690"/>
      <c r="F126" s="7690"/>
      <c r="G126" s="7690"/>
      <c r="H126" s="7690"/>
      <c r="I126" s="7710"/>
      <c r="J126" s="7710" t="str">
        <f>I120&amp;".1"</f>
        <v>6.1.1.1.1</v>
      </c>
      <c r="K126" s="7687" t="str">
        <f>J125&amp;".1"</f>
        <v>6.1.1.1.2.1</v>
      </c>
      <c r="L126" s="1290"/>
      <c r="M126" s="1696"/>
      <c r="N126" s="1696"/>
      <c r="O126" s="1696"/>
      <c r="P126" s="7688"/>
      <c r="Q126" s="7688"/>
      <c r="R126" s="278">
        <v>1</v>
      </c>
      <c r="S126" s="1813" t="str">
        <f>$K126</f>
        <v>6.1.1.1.2.1</v>
      </c>
      <c r="T126" s="1357" t="s">
        <v>670</v>
      </c>
      <c r="U126" s="214"/>
      <c r="V126" s="666"/>
      <c r="W126" s="666"/>
      <c r="X126" s="1181"/>
      <c r="Y126" s="7692"/>
      <c r="Z126" s="7540" t="s">
        <v>60</v>
      </c>
      <c r="AA126" s="7692"/>
      <c r="AB126" s="7540" t="s">
        <v>60</v>
      </c>
      <c r="AC126" s="666">
        <v>61.08</v>
      </c>
      <c r="AD126" s="666"/>
      <c r="AE126" s="1181"/>
      <c r="AF126" s="7692">
        <v>45292</v>
      </c>
      <c r="AG126" s="7540" t="s">
        <v>60</v>
      </c>
      <c r="AH126" s="7711">
        <v>45473</v>
      </c>
      <c r="AI126" s="7540" t="s">
        <v>60</v>
      </c>
      <c r="AJ126" s="666">
        <v>84.09</v>
      </c>
      <c r="AK126" s="666"/>
      <c r="AL126" s="1181"/>
      <c r="AM126" s="7692">
        <v>45473</v>
      </c>
      <c r="AN126" s="7540" t="s">
        <v>60</v>
      </c>
      <c r="AO126" s="7692">
        <v>45657</v>
      </c>
      <c r="AP126" s="7540" t="s">
        <v>60</v>
      </c>
      <c r="AQ126" s="666">
        <v>77.19</v>
      </c>
      <c r="AR126" s="666"/>
      <c r="AS126" s="1181"/>
      <c r="AT126" s="7692">
        <v>45658</v>
      </c>
      <c r="AU126" s="7540" t="s">
        <v>60</v>
      </c>
      <c r="AV126" s="7692">
        <v>45838</v>
      </c>
      <c r="AW126" s="7540" t="s">
        <v>60</v>
      </c>
      <c r="AX126" s="666">
        <v>77.19</v>
      </c>
      <c r="AY126" s="666"/>
      <c r="AZ126" s="1181"/>
      <c r="BA126" s="7692">
        <v>45839</v>
      </c>
      <c r="BB126" s="7540" t="s">
        <v>60</v>
      </c>
      <c r="BC126" s="7692">
        <v>46022</v>
      </c>
      <c r="BD126" s="7540" t="s">
        <v>60</v>
      </c>
      <c r="BE126" s="666">
        <v>77.19</v>
      </c>
      <c r="BF126" s="666"/>
      <c r="BG126" s="1181"/>
      <c r="BH126" s="7692">
        <v>46023</v>
      </c>
      <c r="BI126" s="7540" t="s">
        <v>60</v>
      </c>
      <c r="BJ126" s="7692">
        <v>46203</v>
      </c>
      <c r="BK126" s="7540" t="s">
        <v>60</v>
      </c>
      <c r="BL126" s="666">
        <v>77.97</v>
      </c>
      <c r="BM126" s="666"/>
      <c r="BN126" s="1181"/>
      <c r="BO126" s="7692">
        <v>46204</v>
      </c>
      <c r="BP126" s="7540" t="s">
        <v>60</v>
      </c>
      <c r="BQ126" s="7692">
        <v>46387</v>
      </c>
      <c r="BR126" s="7540" t="s">
        <v>60</v>
      </c>
      <c r="BS126" s="666">
        <v>77.97</v>
      </c>
      <c r="BT126" s="666"/>
      <c r="BU126" s="1181"/>
      <c r="BV126" s="7692">
        <v>46388</v>
      </c>
      <c r="BW126" s="7540" t="s">
        <v>60</v>
      </c>
      <c r="BX126" s="7692">
        <v>46568</v>
      </c>
      <c r="BY126" s="7540" t="s">
        <v>60</v>
      </c>
      <c r="BZ126" s="666">
        <v>82.24</v>
      </c>
      <c r="CA126" s="666"/>
      <c r="CB126" s="1181"/>
      <c r="CC126" s="7692">
        <v>46569</v>
      </c>
      <c r="CD126" s="7540" t="s">
        <v>60</v>
      </c>
      <c r="CE126" s="7692">
        <v>46752</v>
      </c>
      <c r="CF126" s="7540" t="s">
        <v>60</v>
      </c>
      <c r="CG126" s="666">
        <v>82.24</v>
      </c>
      <c r="CH126" s="666"/>
      <c r="CI126" s="1181"/>
      <c r="CJ126" s="7692">
        <v>46753</v>
      </c>
      <c r="CK126" s="7540" t="s">
        <v>60</v>
      </c>
      <c r="CL126" s="7692">
        <v>46934</v>
      </c>
      <c r="CM126" s="7540" t="s">
        <v>60</v>
      </c>
      <c r="CN126" s="666">
        <v>84.74</v>
      </c>
      <c r="CO126" s="666"/>
      <c r="CP126" s="1181"/>
      <c r="CQ126" s="7692">
        <v>46935</v>
      </c>
      <c r="CR126" s="7540" t="s">
        <v>60</v>
      </c>
      <c r="CS126" s="7692">
        <v>47118</v>
      </c>
      <c r="CT126" s="7540" t="s">
        <v>60</v>
      </c>
      <c r="CU126" s="1358"/>
      <c r="CV12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26" s="1562" t="e">
        <f ca="1">STRCHECKDATE(V127:CU127)</f>
        <v>#NAME?</v>
      </c>
      <c r="CX126" s="1544"/>
      <c r="CY126" s="1544" t="str">
        <f t="shared" si="2"/>
        <v>Тариф, руб. за 1 куб. метр без НДС</v>
      </c>
      <c r="CZ126" s="1544"/>
      <c r="DA126" s="1544"/>
    </row>
    <row r="127" spans="1:105" s="1827" customFormat="1" ht="14.25" customHeight="1">
      <c r="A127" s="1284"/>
      <c r="B127" s="1284"/>
      <c r="C127" s="1284"/>
      <c r="D127" s="1284"/>
      <c r="E127" s="7690"/>
      <c r="F127" s="7690"/>
      <c r="G127" s="7690"/>
      <c r="H127" s="7690"/>
      <c r="I127" s="7710"/>
      <c r="J127" s="7710" t="str">
        <f>I120&amp;".1"</f>
        <v>6.1.1.1.1</v>
      </c>
      <c r="K127" s="7687"/>
      <c r="L127" s="1290"/>
      <c r="M127" s="1696"/>
      <c r="N127" s="1696"/>
      <c r="O127" s="1696"/>
      <c r="P127" s="7688"/>
      <c r="Q127" s="7688"/>
      <c r="R127" s="278"/>
      <c r="S127" s="1822"/>
      <c r="T127" s="214"/>
      <c r="U127" s="214"/>
      <c r="V127" s="246"/>
      <c r="W127" s="246"/>
      <c r="X127" s="250" t="str">
        <f>Y126&amp;"-"&amp;AA126</f>
        <v>-</v>
      </c>
      <c r="Y127" s="7693"/>
      <c r="Z127" s="7540"/>
      <c r="AA127" s="7693"/>
      <c r="AB127" s="7540"/>
      <c r="AC127" s="246"/>
      <c r="AD127" s="246"/>
      <c r="AE127" s="250" t="str">
        <f>AF126&amp;"-"&amp;AH126</f>
        <v>45292-45473</v>
      </c>
      <c r="AF127" s="7693"/>
      <c r="AG127" s="7540"/>
      <c r="AH127" s="7712"/>
      <c r="AI127" s="7540"/>
      <c r="AJ127" s="246"/>
      <c r="AK127" s="246"/>
      <c r="AL127" s="250" t="str">
        <f>AM126&amp;"-"&amp;AO126</f>
        <v>45473-45657</v>
      </c>
      <c r="AM127" s="7693"/>
      <c r="AN127" s="7540"/>
      <c r="AO127" s="7693"/>
      <c r="AP127" s="7540"/>
      <c r="AQ127" s="246"/>
      <c r="AR127" s="246"/>
      <c r="AS127" s="250" t="str">
        <f>AT126&amp;"-"&amp;AV126</f>
        <v>45658-45838</v>
      </c>
      <c r="AT127" s="7693"/>
      <c r="AU127" s="7540"/>
      <c r="AV127" s="7693"/>
      <c r="AW127" s="7540"/>
      <c r="AX127" s="246"/>
      <c r="AY127" s="246"/>
      <c r="AZ127" s="250" t="str">
        <f>BA126&amp;"-"&amp;BC126</f>
        <v>45839-46022</v>
      </c>
      <c r="BA127" s="7693"/>
      <c r="BB127" s="7540"/>
      <c r="BC127" s="7693"/>
      <c r="BD127" s="7540"/>
      <c r="BE127" s="246"/>
      <c r="BF127" s="246"/>
      <c r="BG127" s="250" t="str">
        <f>BH126&amp;"-"&amp;BJ126</f>
        <v>46023-46203</v>
      </c>
      <c r="BH127" s="7693"/>
      <c r="BI127" s="7540"/>
      <c r="BJ127" s="7693"/>
      <c r="BK127" s="7540"/>
      <c r="BL127" s="246"/>
      <c r="BM127" s="246"/>
      <c r="BN127" s="250" t="str">
        <f>BO126&amp;"-"&amp;BQ126</f>
        <v>46204-46387</v>
      </c>
      <c r="BO127" s="7693"/>
      <c r="BP127" s="7540"/>
      <c r="BQ127" s="7693"/>
      <c r="BR127" s="7540"/>
      <c r="BS127" s="246"/>
      <c r="BT127" s="246"/>
      <c r="BU127" s="250" t="str">
        <f>BV126&amp;"-"&amp;BX126</f>
        <v>46388-46568</v>
      </c>
      <c r="BV127" s="7693"/>
      <c r="BW127" s="7540"/>
      <c r="BX127" s="7693"/>
      <c r="BY127" s="7540"/>
      <c r="BZ127" s="246"/>
      <c r="CA127" s="246"/>
      <c r="CB127" s="250" t="str">
        <f>CC126&amp;"-"&amp;CE126</f>
        <v>46569-46752</v>
      </c>
      <c r="CC127" s="7693"/>
      <c r="CD127" s="7540"/>
      <c r="CE127" s="7693"/>
      <c r="CF127" s="7540"/>
      <c r="CG127" s="246"/>
      <c r="CH127" s="246"/>
      <c r="CI127" s="250" t="str">
        <f>CJ126&amp;"-"&amp;CL126</f>
        <v>46753-46934</v>
      </c>
      <c r="CJ127" s="7693"/>
      <c r="CK127" s="7540"/>
      <c r="CL127" s="7693"/>
      <c r="CM127" s="7540"/>
      <c r="CN127" s="246"/>
      <c r="CO127" s="246"/>
      <c r="CP127" s="250" t="str">
        <f>CQ126&amp;"-"&amp;CS126</f>
        <v>46935-47118</v>
      </c>
      <c r="CQ127" s="7693"/>
      <c r="CR127" s="7540"/>
      <c r="CS127" s="7693"/>
      <c r="CT127" s="7540"/>
      <c r="CU127" s="1359"/>
      <c r="CV127" s="7747"/>
      <c r="CW127" s="1562"/>
      <c r="CX127" s="1544"/>
      <c r="CY127" s="1544" t="str">
        <f t="shared" si="2"/>
        <v/>
      </c>
      <c r="CZ127" s="1544"/>
      <c r="DA127" s="1544"/>
    </row>
    <row r="128" spans="1:105" s="1827" customFormat="1" ht="21" customHeight="1">
      <c r="A128" s="1284"/>
      <c r="B128" s="1284"/>
      <c r="C128" s="1284"/>
      <c r="D128" s="1284"/>
      <c r="E128" s="7690"/>
      <c r="F128" s="7690"/>
      <c r="G128" s="7690"/>
      <c r="H128" s="7690"/>
      <c r="I128" s="7710"/>
      <c r="J128" s="7687" t="str">
        <f>I120&amp;".1"</f>
        <v>6.1.1.1.1</v>
      </c>
      <c r="K128" s="1284"/>
      <c r="L128" s="1290"/>
      <c r="M128" s="1696"/>
      <c r="N128" s="1696"/>
      <c r="O128" s="1696"/>
      <c r="P128" s="7688"/>
      <c r="Q128" s="7688"/>
      <c r="R128" s="277"/>
      <c r="S128" s="3628"/>
      <c r="T128" s="3629" t="s">
        <v>659</v>
      </c>
      <c r="U128" s="3630"/>
      <c r="V128" s="3631"/>
      <c r="W128" s="3632"/>
      <c r="X128" s="3633"/>
      <c r="Y128" s="3634"/>
      <c r="Z128" s="3635"/>
      <c r="AA128" s="3636"/>
      <c r="AB128" s="3637"/>
      <c r="AC128" s="3638"/>
      <c r="AD128" s="3639"/>
      <c r="AE128" s="3640"/>
      <c r="AF128" s="3641"/>
      <c r="AG128" s="3642"/>
      <c r="AH128" s="3643"/>
      <c r="AI128" s="3644"/>
      <c r="AJ128" s="3645"/>
      <c r="AK128" s="3646"/>
      <c r="AL128" s="3647"/>
      <c r="AM128" s="3648"/>
      <c r="AN128" s="3649"/>
      <c r="AO128" s="3650"/>
      <c r="AP128" s="3651"/>
      <c r="AQ128" s="3652"/>
      <c r="AR128" s="3653"/>
      <c r="AS128" s="3654"/>
      <c r="AT128" s="3655"/>
      <c r="AU128" s="3656"/>
      <c r="AV128" s="3657"/>
      <c r="AW128" s="3658"/>
      <c r="AX128" s="3659"/>
      <c r="AY128" s="3660"/>
      <c r="AZ128" s="3661"/>
      <c r="BA128" s="3662"/>
      <c r="BB128" s="3663"/>
      <c r="BC128" s="3664"/>
      <c r="BD128" s="3665"/>
      <c r="BE128" s="3666"/>
      <c r="BF128" s="3667"/>
      <c r="BG128" s="3668"/>
      <c r="BH128" s="3669"/>
      <c r="BI128" s="3670"/>
      <c r="BJ128" s="3671"/>
      <c r="BK128" s="3672"/>
      <c r="BL128" s="3673"/>
      <c r="BM128" s="3674"/>
      <c r="BN128" s="3675"/>
      <c r="BO128" s="3676"/>
      <c r="BP128" s="3677"/>
      <c r="BQ128" s="3678"/>
      <c r="BR128" s="3679"/>
      <c r="BS128" s="3680"/>
      <c r="BT128" s="3681"/>
      <c r="BU128" s="3682"/>
      <c r="BV128" s="3683"/>
      <c r="BW128" s="3684"/>
      <c r="BX128" s="3685"/>
      <c r="BY128" s="3686"/>
      <c r="BZ128" s="3687"/>
      <c r="CA128" s="3688"/>
      <c r="CB128" s="3689"/>
      <c r="CC128" s="3690"/>
      <c r="CD128" s="3691"/>
      <c r="CE128" s="3692"/>
      <c r="CF128" s="3693"/>
      <c r="CG128" s="3694"/>
      <c r="CH128" s="3695"/>
      <c r="CI128" s="3696"/>
      <c r="CJ128" s="3697"/>
      <c r="CK128" s="3698"/>
      <c r="CL128" s="3699"/>
      <c r="CM128" s="3700"/>
      <c r="CN128" s="3701"/>
      <c r="CO128" s="3702"/>
      <c r="CP128" s="3703"/>
      <c r="CQ128" s="3704"/>
      <c r="CR128" s="3705"/>
      <c r="CS128" s="3706"/>
      <c r="CT128" s="3707"/>
      <c r="CU128" s="3708"/>
      <c r="CV128" s="1182" t="s">
        <v>660</v>
      </c>
      <c r="CW128" s="1562"/>
      <c r="CX128" s="1544"/>
      <c r="CY128" s="1544" t="str">
        <f t="shared" si="2"/>
        <v>Добавить значение признака дифференциации</v>
      </c>
      <c r="CZ128" s="1544"/>
      <c r="DA128" s="1544"/>
    </row>
    <row r="129" spans="1:105" s="1827" customFormat="1" ht="21" customHeight="1">
      <c r="A129" s="1284"/>
      <c r="B129" s="1284"/>
      <c r="C129" s="1284"/>
      <c r="D129" s="1284"/>
      <c r="E129" s="7690" t="s">
        <v>111</v>
      </c>
      <c r="F129" s="7690"/>
      <c r="G129" s="7690"/>
      <c r="H129" s="7690"/>
      <c r="I129" s="7687"/>
      <c r="J129" s="1284"/>
      <c r="K129" s="1284"/>
      <c r="L129" s="1290"/>
      <c r="M129" s="1696"/>
      <c r="N129" s="1696"/>
      <c r="O129" s="1696"/>
      <c r="P129" s="7688"/>
      <c r="Q129" s="1816"/>
      <c r="R129" s="277"/>
      <c r="S129" s="3709"/>
      <c r="T129" s="3710" t="s">
        <v>588</v>
      </c>
      <c r="U129" s="3711"/>
      <c r="V129" s="3712"/>
      <c r="W129" s="3713"/>
      <c r="X129" s="3714"/>
      <c r="Y129" s="3715"/>
      <c r="Z129" s="3716"/>
      <c r="AA129" s="3717"/>
      <c r="AB129" s="3718"/>
      <c r="AC129" s="3719"/>
      <c r="AD129" s="3720"/>
      <c r="AE129" s="3721"/>
      <c r="AF129" s="3722"/>
      <c r="AG129" s="3723"/>
      <c r="AH129" s="3724"/>
      <c r="AI129" s="3725"/>
      <c r="AJ129" s="3726"/>
      <c r="AK129" s="3727"/>
      <c r="AL129" s="3728"/>
      <c r="AM129" s="3729"/>
      <c r="AN129" s="3730"/>
      <c r="AO129" s="3731"/>
      <c r="AP129" s="3732"/>
      <c r="AQ129" s="3733"/>
      <c r="AR129" s="3734"/>
      <c r="AS129" s="3735"/>
      <c r="AT129" s="3736"/>
      <c r="AU129" s="3737"/>
      <c r="AV129" s="3738"/>
      <c r="AW129" s="3739"/>
      <c r="AX129" s="3740"/>
      <c r="AY129" s="3741"/>
      <c r="AZ129" s="3742"/>
      <c r="BA129" s="3743"/>
      <c r="BB129" s="3744"/>
      <c r="BC129" s="3745"/>
      <c r="BD129" s="3746"/>
      <c r="BE129" s="3747"/>
      <c r="BF129" s="3748"/>
      <c r="BG129" s="3749"/>
      <c r="BH129" s="3750"/>
      <c r="BI129" s="3751"/>
      <c r="BJ129" s="3752"/>
      <c r="BK129" s="3753"/>
      <c r="BL129" s="3754"/>
      <c r="BM129" s="3755"/>
      <c r="BN129" s="3756"/>
      <c r="BO129" s="3757"/>
      <c r="BP129" s="3758"/>
      <c r="BQ129" s="3759"/>
      <c r="BR129" s="3760"/>
      <c r="BS129" s="3761"/>
      <c r="BT129" s="3762"/>
      <c r="BU129" s="3763"/>
      <c r="BV129" s="3764"/>
      <c r="BW129" s="3765"/>
      <c r="BX129" s="3766"/>
      <c r="BY129" s="3767"/>
      <c r="BZ129" s="3768"/>
      <c r="CA129" s="3769"/>
      <c r="CB129" s="3770"/>
      <c r="CC129" s="3771"/>
      <c r="CD129" s="3772"/>
      <c r="CE129" s="3773"/>
      <c r="CF129" s="3774"/>
      <c r="CG129" s="3775"/>
      <c r="CH129" s="3776"/>
      <c r="CI129" s="3777"/>
      <c r="CJ129" s="3778"/>
      <c r="CK129" s="3779"/>
      <c r="CL129" s="3780"/>
      <c r="CM129" s="3781"/>
      <c r="CN129" s="3782"/>
      <c r="CO129" s="3783"/>
      <c r="CP129" s="3784"/>
      <c r="CQ129" s="3785"/>
      <c r="CR129" s="3786"/>
      <c r="CS129" s="3787"/>
      <c r="CT129" s="3788"/>
      <c r="CU129" s="3789"/>
      <c r="CV129" s="3790"/>
      <c r="CW129" s="1562"/>
      <c r="CX129" s="1544"/>
      <c r="CY129" s="1544" t="str">
        <f t="shared" si="2"/>
        <v>Добавить группу потребителей</v>
      </c>
      <c r="CZ129" s="1544"/>
      <c r="DA129" s="1544"/>
    </row>
    <row r="130" spans="1:105" s="1827" customFormat="1" ht="14.25" customHeight="1">
      <c r="A130" s="1284"/>
      <c r="B130" s="1284"/>
      <c r="C130" s="1284"/>
      <c r="D130" s="1284"/>
      <c r="E130" s="7690" t="s">
        <v>111</v>
      </c>
      <c r="F130" s="7690"/>
      <c r="G130" s="7690"/>
      <c r="H130" s="7689"/>
      <c r="I130" s="1284"/>
      <c r="J130" s="1284"/>
      <c r="K130" s="1284"/>
      <c r="L130" s="1290"/>
      <c r="M130" s="1286"/>
      <c r="N130" s="1286"/>
      <c r="O130" s="1287"/>
      <c r="P130" s="1742"/>
      <c r="Q130" s="299"/>
      <c r="R130" s="276"/>
      <c r="S130" s="3791"/>
      <c r="T130" s="3792" t="s">
        <v>661</v>
      </c>
      <c r="U130" s="3793"/>
      <c r="V130" s="3794"/>
      <c r="W130" s="3795"/>
      <c r="X130" s="3796"/>
      <c r="Y130" s="3797"/>
      <c r="Z130" s="3798"/>
      <c r="AA130" s="3799"/>
      <c r="AB130" s="3800"/>
      <c r="AC130" s="3801"/>
      <c r="AD130" s="3802"/>
      <c r="AE130" s="3803"/>
      <c r="AF130" s="3804"/>
      <c r="AG130" s="3805"/>
      <c r="AH130" s="3806"/>
      <c r="AI130" s="3807"/>
      <c r="AJ130" s="3808"/>
      <c r="AK130" s="3809"/>
      <c r="AL130" s="3810"/>
      <c r="AM130" s="3811"/>
      <c r="AN130" s="3812"/>
      <c r="AO130" s="3813"/>
      <c r="AP130" s="3814"/>
      <c r="AQ130" s="3815"/>
      <c r="AR130" s="3816"/>
      <c r="AS130" s="3817"/>
      <c r="AT130" s="3818"/>
      <c r="AU130" s="3819"/>
      <c r="AV130" s="3820"/>
      <c r="AW130" s="3821"/>
      <c r="AX130" s="3822"/>
      <c r="AY130" s="3823"/>
      <c r="AZ130" s="3824"/>
      <c r="BA130" s="3825"/>
      <c r="BB130" s="3826"/>
      <c r="BC130" s="3827"/>
      <c r="BD130" s="3828"/>
      <c r="BE130" s="3829"/>
      <c r="BF130" s="3830"/>
      <c r="BG130" s="3831"/>
      <c r="BH130" s="3832"/>
      <c r="BI130" s="3833"/>
      <c r="BJ130" s="3834"/>
      <c r="BK130" s="3835"/>
      <c r="BL130" s="3836"/>
      <c r="BM130" s="3837"/>
      <c r="BN130" s="3838"/>
      <c r="BO130" s="3839"/>
      <c r="BP130" s="3840"/>
      <c r="BQ130" s="3841"/>
      <c r="BR130" s="3842"/>
      <c r="BS130" s="3843"/>
      <c r="BT130" s="3844"/>
      <c r="BU130" s="3845"/>
      <c r="BV130" s="3846"/>
      <c r="BW130" s="3847"/>
      <c r="BX130" s="3848"/>
      <c r="BY130" s="3849"/>
      <c r="BZ130" s="3850"/>
      <c r="CA130" s="3851"/>
      <c r="CB130" s="3852"/>
      <c r="CC130" s="3853"/>
      <c r="CD130" s="3854"/>
      <c r="CE130" s="3855"/>
      <c r="CF130" s="3856"/>
      <c r="CG130" s="3857"/>
      <c r="CH130" s="3858"/>
      <c r="CI130" s="3859"/>
      <c r="CJ130" s="3860"/>
      <c r="CK130" s="3861"/>
      <c r="CL130" s="3862"/>
      <c r="CM130" s="3863"/>
      <c r="CN130" s="3864"/>
      <c r="CO130" s="3865"/>
      <c r="CP130" s="3866"/>
      <c r="CQ130" s="3867"/>
      <c r="CR130" s="3868"/>
      <c r="CS130" s="3869"/>
      <c r="CT130" s="3870"/>
      <c r="CU130" s="3871"/>
      <c r="CV130" s="3872"/>
      <c r="CW130" s="1562"/>
      <c r="CX130" s="1544"/>
      <c r="CY130" s="1544" t="str">
        <f t="shared" si="2"/>
        <v>Добавить наименование признака дифференциации</v>
      </c>
      <c r="CZ130" s="1544"/>
      <c r="DA130" s="1544"/>
    </row>
    <row r="131" spans="1:105" s="541" customFormat="1" ht="14.25" customHeight="1">
      <c r="A131" s="1265"/>
      <c r="B131" s="1265"/>
      <c r="C131" s="1265"/>
      <c r="D131" s="1265"/>
      <c r="E131" s="7690" t="s">
        <v>111</v>
      </c>
      <c r="F131" s="7689"/>
      <c r="G131" s="1265"/>
      <c r="H131" s="1265"/>
      <c r="I131" s="1265"/>
      <c r="J131" s="1265"/>
      <c r="K131" s="1265"/>
      <c r="L131" s="1466"/>
      <c r="M131" s="1244"/>
      <c r="N131" s="1244"/>
      <c r="O131" s="1562"/>
      <c r="P131" s="1239"/>
      <c r="Q131" s="1266"/>
      <c r="R131" s="1239"/>
      <c r="S131" s="1245"/>
      <c r="T131" s="1248" t="s">
        <v>325</v>
      </c>
      <c r="U131" s="1247"/>
      <c r="V131" s="1247"/>
      <c r="W131" s="1247"/>
      <c r="X131" s="1247"/>
      <c r="Y131" s="1247"/>
      <c r="Z131" s="1247"/>
      <c r="AA131" s="1247"/>
      <c r="AB131" s="1247"/>
      <c r="AC131" s="1247"/>
      <c r="AD131" s="1247"/>
      <c r="AE131" s="1247"/>
      <c r="AF131" s="1247"/>
      <c r="AG131" s="1247"/>
      <c r="AH131" s="1247"/>
      <c r="AI131" s="1247"/>
      <c r="AJ131" s="1247"/>
      <c r="AK131" s="1247"/>
      <c r="AL131" s="1247"/>
      <c r="AM131" s="1247"/>
      <c r="AN131" s="1247"/>
      <c r="AO131" s="1247"/>
      <c r="AP131" s="1247"/>
      <c r="AQ131" s="1247"/>
      <c r="AR131" s="1247"/>
      <c r="AS131" s="1247"/>
      <c r="AT131" s="1247"/>
      <c r="AU131" s="1247"/>
      <c r="AV131" s="1247"/>
      <c r="AW131" s="1247"/>
      <c r="AX131" s="1247"/>
      <c r="AY131" s="1247"/>
      <c r="AZ131" s="1247"/>
      <c r="BA131" s="1247"/>
      <c r="BB131" s="1247"/>
      <c r="BC131" s="1247"/>
      <c r="BD131" s="1247"/>
      <c r="BE131" s="1247"/>
      <c r="BF131" s="1247"/>
      <c r="BG131" s="1247"/>
      <c r="BH131" s="1247"/>
      <c r="BI131" s="1247"/>
      <c r="BJ131" s="1247"/>
      <c r="BK131" s="1247"/>
      <c r="BL131" s="1247"/>
      <c r="BM131" s="1247"/>
      <c r="BN131" s="1247"/>
      <c r="BO131" s="1247"/>
      <c r="BP131" s="1247"/>
      <c r="BQ131" s="1247"/>
      <c r="BR131" s="1247"/>
      <c r="BS131" s="1247"/>
      <c r="BT131" s="1247"/>
      <c r="BU131" s="1247"/>
      <c r="BV131" s="1247"/>
      <c r="BW131" s="1247"/>
      <c r="BX131" s="1247"/>
      <c r="BY131" s="1247"/>
      <c r="BZ131" s="1247"/>
      <c r="CA131" s="1247"/>
      <c r="CB131" s="1247"/>
      <c r="CC131" s="1247"/>
      <c r="CD131" s="1247"/>
      <c r="CE131" s="1247"/>
      <c r="CF131" s="1247"/>
      <c r="CG131" s="1247"/>
      <c r="CH131" s="1247"/>
      <c r="CI131" s="1247"/>
      <c r="CJ131" s="1247"/>
      <c r="CK131" s="1247"/>
      <c r="CL131" s="1247"/>
      <c r="CM131" s="1247"/>
      <c r="CN131" s="1247"/>
      <c r="CO131" s="1247"/>
      <c r="CP131" s="1247"/>
      <c r="CQ131" s="1247"/>
      <c r="CR131" s="1247"/>
      <c r="CS131" s="1247"/>
      <c r="CT131" s="1247"/>
      <c r="CU131" s="1247"/>
      <c r="CV131" s="1247"/>
      <c r="CW131" s="1562"/>
      <c r="CX131" s="1544"/>
      <c r="CY131" s="1544" t="str">
        <f t="shared" si="2"/>
        <v>Добавить централизованную систему для дифференциации</v>
      </c>
      <c r="CZ131" s="1544"/>
      <c r="DA131" s="1544"/>
    </row>
    <row r="132" spans="1:105" s="541" customFormat="1" ht="14.25" customHeight="1">
      <c r="A132" s="1265"/>
      <c r="B132" s="1265"/>
      <c r="C132" s="1265"/>
      <c r="D132" s="1265"/>
      <c r="E132" s="7689" t="s">
        <v>111</v>
      </c>
      <c r="F132" s="1265"/>
      <c r="G132" s="1265"/>
      <c r="H132" s="1265"/>
      <c r="I132" s="1265"/>
      <c r="J132" s="1265"/>
      <c r="K132" s="1265"/>
      <c r="L132" s="1466"/>
      <c r="M132" s="1244"/>
      <c r="N132" s="1244"/>
      <c r="O132" s="1562"/>
      <c r="P132" s="1239"/>
      <c r="Q132" s="1266"/>
      <c r="R132" s="1239"/>
      <c r="S132" s="1245"/>
      <c r="T132" s="1248" t="s">
        <v>326</v>
      </c>
      <c r="U132" s="1247"/>
      <c r="V132" s="1247"/>
      <c r="W132" s="1247"/>
      <c r="X132" s="1247"/>
      <c r="Y132" s="1247"/>
      <c r="Z132" s="1247"/>
      <c r="AA132" s="1247"/>
      <c r="AB132" s="1247"/>
      <c r="AC132" s="1247"/>
      <c r="AD132" s="1247"/>
      <c r="AE132" s="1247"/>
      <c r="AF132" s="1247"/>
      <c r="AG132" s="1247"/>
      <c r="AH132" s="1247"/>
      <c r="AI132" s="1247"/>
      <c r="AJ132" s="1247"/>
      <c r="AK132" s="1247"/>
      <c r="AL132" s="1247"/>
      <c r="AM132" s="1247"/>
      <c r="AN132" s="1247"/>
      <c r="AO132" s="1247"/>
      <c r="AP132" s="1247"/>
      <c r="AQ132" s="1247"/>
      <c r="AR132" s="1247"/>
      <c r="AS132" s="1247"/>
      <c r="AT132" s="1247"/>
      <c r="AU132" s="1247"/>
      <c r="AV132" s="1247"/>
      <c r="AW132" s="1247"/>
      <c r="AX132" s="1247"/>
      <c r="AY132" s="1247"/>
      <c r="AZ132" s="1247"/>
      <c r="BA132" s="1247"/>
      <c r="BB132" s="1247"/>
      <c r="BC132" s="1247"/>
      <c r="BD132" s="1247"/>
      <c r="BE132" s="1247"/>
      <c r="BF132" s="1247"/>
      <c r="BG132" s="1247"/>
      <c r="BH132" s="1247"/>
      <c r="BI132" s="1247"/>
      <c r="BJ132" s="1247"/>
      <c r="BK132" s="1247"/>
      <c r="BL132" s="1247"/>
      <c r="BM132" s="1247"/>
      <c r="BN132" s="1247"/>
      <c r="BO132" s="1247"/>
      <c r="BP132" s="1247"/>
      <c r="BQ132" s="1247"/>
      <c r="BR132" s="1247"/>
      <c r="BS132" s="1247"/>
      <c r="BT132" s="1247"/>
      <c r="BU132" s="1247"/>
      <c r="BV132" s="1247"/>
      <c r="BW132" s="1247"/>
      <c r="BX132" s="1247"/>
      <c r="BY132" s="1247"/>
      <c r="BZ132" s="1247"/>
      <c r="CA132" s="1247"/>
      <c r="CB132" s="1247"/>
      <c r="CC132" s="1247"/>
      <c r="CD132" s="1247"/>
      <c r="CE132" s="1247"/>
      <c r="CF132" s="1247"/>
      <c r="CG132" s="1247"/>
      <c r="CH132" s="1247"/>
      <c r="CI132" s="1247"/>
      <c r="CJ132" s="1247"/>
      <c r="CK132" s="1247"/>
      <c r="CL132" s="1247"/>
      <c r="CM132" s="1247"/>
      <c r="CN132" s="1247"/>
      <c r="CO132" s="1247"/>
      <c r="CP132" s="1247"/>
      <c r="CQ132" s="1247"/>
      <c r="CR132" s="1247"/>
      <c r="CS132" s="1247"/>
      <c r="CT132" s="1247"/>
      <c r="CU132" s="1247"/>
      <c r="CV132" s="1247"/>
      <c r="CW132" s="1562"/>
      <c r="CX132" s="1544"/>
      <c r="CY132" s="1544" t="str">
        <f t="shared" si="2"/>
        <v>Добавить территорию для дифференциации</v>
      </c>
      <c r="CZ132" s="1544"/>
      <c r="DA132" s="1544"/>
    </row>
    <row r="133" spans="1:105" s="1827" customFormat="1" ht="23.25" customHeight="1">
      <c r="A133" s="1284" t="s">
        <v>353</v>
      </c>
      <c r="B133" s="1284"/>
      <c r="C133" s="1284"/>
      <c r="D133" s="1284"/>
      <c r="E133" s="7689" t="s">
        <v>91</v>
      </c>
      <c r="F133" s="1284"/>
      <c r="G133" s="1284"/>
      <c r="H133" s="1284"/>
      <c r="I133" s="1284"/>
      <c r="J133" s="1284"/>
      <c r="K133" s="1284"/>
      <c r="L133" s="1290"/>
      <c r="M133" s="1286"/>
      <c r="N133" s="1286"/>
      <c r="O133" s="1286"/>
      <c r="P133" s="1817"/>
      <c r="Q133" s="1742"/>
      <c r="R133" s="276"/>
      <c r="S133" s="1813" t="str">
        <f>INDEX(PT_DIFFERENTIATION_NUM_NTAR,MATCH(A133,PT_DIFFERENTIATION_NTAR_ID,0))</f>
        <v>7</v>
      </c>
      <c r="T133" s="1440" t="s">
        <v>237</v>
      </c>
      <c r="U133" s="214"/>
      <c r="V133" s="7675"/>
      <c r="W133" s="7676"/>
      <c r="X133" s="7676"/>
      <c r="Y133" s="7676"/>
      <c r="Z133" s="7676"/>
      <c r="AA133" s="7676"/>
      <c r="AB133" s="7677"/>
      <c r="AC133" s="7675" t="str">
        <f>INDEX(PT_DIFFERENTIATION_NTAR,MATCH(A133,PT_DIFFERENTIATION_NTAR_ID,0))</f>
        <v xml:space="preserve">Тарифы на питьевую воду для потребителей, присоединенных к централизованным системам водоснабжения поселка Зункарь и аула Бейсей Нефтекумского муниципального округа </v>
      </c>
      <c r="AD133" s="7676"/>
      <c r="AE133" s="7676"/>
      <c r="AF133" s="7676"/>
      <c r="AG133" s="7676"/>
      <c r="AH133" s="7676"/>
      <c r="AI133" s="7676"/>
      <c r="AJ133" s="7675"/>
      <c r="AK133" s="7676"/>
      <c r="AL133" s="7676"/>
      <c r="AM133" s="7676"/>
      <c r="AN133" s="7676"/>
      <c r="AO133" s="7676"/>
      <c r="AP133" s="7677"/>
      <c r="AQ133" s="7675"/>
      <c r="AR133" s="7676"/>
      <c r="AS133" s="7676"/>
      <c r="AT133" s="7676"/>
      <c r="AU133" s="7676"/>
      <c r="AV133" s="7676"/>
      <c r="AW133" s="7677"/>
      <c r="AX133" s="7675"/>
      <c r="AY133" s="7676"/>
      <c r="AZ133" s="7676"/>
      <c r="BA133" s="7676"/>
      <c r="BB133" s="7676"/>
      <c r="BC133" s="7676"/>
      <c r="BD133" s="7677"/>
      <c r="BE133" s="7675"/>
      <c r="BF133" s="7676"/>
      <c r="BG133" s="7676"/>
      <c r="BH133" s="7676"/>
      <c r="BI133" s="7676"/>
      <c r="BJ133" s="7676"/>
      <c r="BK133" s="7677"/>
      <c r="BL133" s="7675"/>
      <c r="BM133" s="7676"/>
      <c r="BN133" s="7676"/>
      <c r="BO133" s="7676"/>
      <c r="BP133" s="7676"/>
      <c r="BQ133" s="7676"/>
      <c r="BR133" s="7677"/>
      <c r="BS133" s="7675"/>
      <c r="BT133" s="7676"/>
      <c r="BU133" s="7676"/>
      <c r="BV133" s="7676"/>
      <c r="BW133" s="7676"/>
      <c r="BX133" s="7676"/>
      <c r="BY133" s="7677"/>
      <c r="BZ133" s="7675"/>
      <c r="CA133" s="7676"/>
      <c r="CB133" s="7676"/>
      <c r="CC133" s="7676"/>
      <c r="CD133" s="7676"/>
      <c r="CE133" s="7676"/>
      <c r="CF133" s="7677"/>
      <c r="CG133" s="7675"/>
      <c r="CH133" s="7676"/>
      <c r="CI133" s="7676"/>
      <c r="CJ133" s="7676"/>
      <c r="CK133" s="7676"/>
      <c r="CL133" s="7676"/>
      <c r="CM133" s="7677"/>
      <c r="CN133" s="7675"/>
      <c r="CO133" s="7676"/>
      <c r="CP133" s="7676"/>
      <c r="CQ133" s="7676"/>
      <c r="CR133" s="7676"/>
      <c r="CS133" s="7676"/>
      <c r="CT133" s="7677"/>
      <c r="CU133" s="7677"/>
      <c r="CV13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133" s="1562"/>
      <c r="CX133" s="1544"/>
      <c r="CY133" s="1544" t="str">
        <f t="shared" si="2"/>
        <v>Наименование тарифа</v>
      </c>
      <c r="CZ133" s="1544"/>
      <c r="DA133" s="1544"/>
    </row>
    <row r="134" spans="1:105" s="1827" customFormat="1" ht="23.25" customHeight="1">
      <c r="A134" s="1284"/>
      <c r="B134" s="1284" t="s">
        <v>354</v>
      </c>
      <c r="C134" s="1284"/>
      <c r="D134" s="1284"/>
      <c r="E134" s="7690" t="s">
        <v>90</v>
      </c>
      <c r="F134" s="7689">
        <v>1</v>
      </c>
      <c r="G134" s="1284"/>
      <c r="H134" s="1284"/>
      <c r="I134" s="1284"/>
      <c r="J134" s="1284"/>
      <c r="K134" s="1284"/>
      <c r="L134" s="1290"/>
      <c r="M134" s="1286"/>
      <c r="N134" s="1286"/>
      <c r="O134" s="1286"/>
      <c r="P134" s="1807"/>
      <c r="Q134" s="273"/>
      <c r="R134" s="274"/>
      <c r="S134" s="1813" t="str">
        <f>INDEX(PT_DIFFERENTIATION_NUM_TER,MATCH(B134,PT_DIFFERENTIATION_TER_ID,0))</f>
        <v>7.1</v>
      </c>
      <c r="T134" s="1437" t="s">
        <v>573</v>
      </c>
      <c r="U134" s="214"/>
      <c r="V134" s="7675"/>
      <c r="W134" s="7676"/>
      <c r="X134" s="7676"/>
      <c r="Y134" s="7676"/>
      <c r="Z134" s="7676"/>
      <c r="AA134" s="7676"/>
      <c r="AB134" s="7677"/>
      <c r="AC134" s="7675" t="str">
        <f>INDEX(PT_DIFFERENTIATION_TER,MATCH(B134,PT_DIFFERENTIATION_TER_ID,0))</f>
        <v>Территория 5</v>
      </c>
      <c r="AD134" s="7676"/>
      <c r="AE134" s="7676"/>
      <c r="AF134" s="7676"/>
      <c r="AG134" s="7676"/>
      <c r="AH134" s="7676"/>
      <c r="AI134" s="7676"/>
      <c r="AJ134" s="7675"/>
      <c r="AK134" s="7676"/>
      <c r="AL134" s="7676"/>
      <c r="AM134" s="7676"/>
      <c r="AN134" s="7676"/>
      <c r="AO134" s="7676"/>
      <c r="AP134" s="7677"/>
      <c r="AQ134" s="7675"/>
      <c r="AR134" s="7676"/>
      <c r="AS134" s="7676"/>
      <c r="AT134" s="7676"/>
      <c r="AU134" s="7676"/>
      <c r="AV134" s="7676"/>
      <c r="AW134" s="7677"/>
      <c r="AX134" s="7675"/>
      <c r="AY134" s="7676"/>
      <c r="AZ134" s="7676"/>
      <c r="BA134" s="7676"/>
      <c r="BB134" s="7676"/>
      <c r="BC134" s="7676"/>
      <c r="BD134" s="7677"/>
      <c r="BE134" s="7675"/>
      <c r="BF134" s="7676"/>
      <c r="BG134" s="7676"/>
      <c r="BH134" s="7676"/>
      <c r="BI134" s="7676"/>
      <c r="BJ134" s="7676"/>
      <c r="BK134" s="7677"/>
      <c r="BL134" s="7675"/>
      <c r="BM134" s="7676"/>
      <c r="BN134" s="7676"/>
      <c r="BO134" s="7676"/>
      <c r="BP134" s="7676"/>
      <c r="BQ134" s="7676"/>
      <c r="BR134" s="7677"/>
      <c r="BS134" s="7675"/>
      <c r="BT134" s="7676"/>
      <c r="BU134" s="7676"/>
      <c r="BV134" s="7676"/>
      <c r="BW134" s="7676"/>
      <c r="BX134" s="7676"/>
      <c r="BY134" s="7677"/>
      <c r="BZ134" s="7675"/>
      <c r="CA134" s="7676"/>
      <c r="CB134" s="7676"/>
      <c r="CC134" s="7676"/>
      <c r="CD134" s="7676"/>
      <c r="CE134" s="7676"/>
      <c r="CF134" s="7677"/>
      <c r="CG134" s="7675"/>
      <c r="CH134" s="7676"/>
      <c r="CI134" s="7676"/>
      <c r="CJ134" s="7676"/>
      <c r="CK134" s="7676"/>
      <c r="CL134" s="7676"/>
      <c r="CM134" s="7677"/>
      <c r="CN134" s="7675"/>
      <c r="CO134" s="7676"/>
      <c r="CP134" s="7676"/>
      <c r="CQ134" s="7676"/>
      <c r="CR134" s="7676"/>
      <c r="CS134" s="7676"/>
      <c r="CT134" s="7677"/>
      <c r="CU134" s="7677"/>
      <c r="CV134" s="1182" t="s">
        <v>574</v>
      </c>
      <c r="CW134" s="1562"/>
      <c r="CX134" s="1544"/>
      <c r="CY134" s="1544" t="str">
        <f t="shared" si="2"/>
        <v>Территория действия тарифа</v>
      </c>
      <c r="CZ134" s="1544"/>
      <c r="DA134" s="1544"/>
    </row>
    <row r="135" spans="1:105" s="1827" customFormat="1" ht="23.25" customHeight="1">
      <c r="A135" s="1284"/>
      <c r="B135" s="1284"/>
      <c r="C135" s="1284" t="s">
        <v>355</v>
      </c>
      <c r="D135" s="1284"/>
      <c r="E135" s="7690" t="s">
        <v>90</v>
      </c>
      <c r="F135" s="7690"/>
      <c r="G135" s="7689">
        <v>1</v>
      </c>
      <c r="H135" s="1284"/>
      <c r="I135" s="1284"/>
      <c r="J135" s="1284"/>
      <c r="K135" s="1284"/>
      <c r="L135" s="1290"/>
      <c r="M135" s="1286"/>
      <c r="N135" s="1286"/>
      <c r="O135" s="1286"/>
      <c r="P135" s="275"/>
      <c r="Q135" s="273"/>
      <c r="R135" s="274"/>
      <c r="S135" s="1813" t="str">
        <f>INDEX(PT_DIFFERENTIATION_NUM_CS,MATCH(C135,PT_DIFFERENTIATION_CS_ID,0))</f>
        <v>7.1.1</v>
      </c>
      <c r="T135" s="225" t="s">
        <v>654</v>
      </c>
      <c r="U135" s="214"/>
      <c r="V135" s="7675"/>
      <c r="W135" s="7676"/>
      <c r="X135" s="7676"/>
      <c r="Y135" s="7676"/>
      <c r="Z135" s="7676"/>
      <c r="AA135" s="7676"/>
      <c r="AB135" s="7677"/>
      <c r="AC135" s="7675" t="str">
        <f>INDEX(PT_DIFFERENTIATION_CS,MATCH(C135,PT_DIFFERENTIATION_CS_ID,0))</f>
        <v>без дифференциации</v>
      </c>
      <c r="AD135" s="7676"/>
      <c r="AE135" s="7676"/>
      <c r="AF135" s="7676"/>
      <c r="AG135" s="7676"/>
      <c r="AH135" s="7676"/>
      <c r="AI135" s="7676"/>
      <c r="AJ135" s="7675"/>
      <c r="AK135" s="7676"/>
      <c r="AL135" s="7676"/>
      <c r="AM135" s="7676"/>
      <c r="AN135" s="7676"/>
      <c r="AO135" s="7676"/>
      <c r="AP135" s="7677"/>
      <c r="AQ135" s="7675"/>
      <c r="AR135" s="7676"/>
      <c r="AS135" s="7676"/>
      <c r="AT135" s="7676"/>
      <c r="AU135" s="7676"/>
      <c r="AV135" s="7676"/>
      <c r="AW135" s="7677"/>
      <c r="AX135" s="7675"/>
      <c r="AY135" s="7676"/>
      <c r="AZ135" s="7676"/>
      <c r="BA135" s="7676"/>
      <c r="BB135" s="7676"/>
      <c r="BC135" s="7676"/>
      <c r="BD135" s="7677"/>
      <c r="BE135" s="7675"/>
      <c r="BF135" s="7676"/>
      <c r="BG135" s="7676"/>
      <c r="BH135" s="7676"/>
      <c r="BI135" s="7676"/>
      <c r="BJ135" s="7676"/>
      <c r="BK135" s="7677"/>
      <c r="BL135" s="7675"/>
      <c r="BM135" s="7676"/>
      <c r="BN135" s="7676"/>
      <c r="BO135" s="7676"/>
      <c r="BP135" s="7676"/>
      <c r="BQ135" s="7676"/>
      <c r="BR135" s="7677"/>
      <c r="BS135" s="7675"/>
      <c r="BT135" s="7676"/>
      <c r="BU135" s="7676"/>
      <c r="BV135" s="7676"/>
      <c r="BW135" s="7676"/>
      <c r="BX135" s="7676"/>
      <c r="BY135" s="7677"/>
      <c r="BZ135" s="7675"/>
      <c r="CA135" s="7676"/>
      <c r="CB135" s="7676"/>
      <c r="CC135" s="7676"/>
      <c r="CD135" s="7676"/>
      <c r="CE135" s="7676"/>
      <c r="CF135" s="7677"/>
      <c r="CG135" s="7675"/>
      <c r="CH135" s="7676"/>
      <c r="CI135" s="7676"/>
      <c r="CJ135" s="7676"/>
      <c r="CK135" s="7676"/>
      <c r="CL135" s="7676"/>
      <c r="CM135" s="7677"/>
      <c r="CN135" s="7675"/>
      <c r="CO135" s="7676"/>
      <c r="CP135" s="7676"/>
      <c r="CQ135" s="7676"/>
      <c r="CR135" s="7676"/>
      <c r="CS135" s="7676"/>
      <c r="CT135" s="7677"/>
      <c r="CU135" s="7677"/>
      <c r="CV135" s="1182" t="s">
        <v>655</v>
      </c>
      <c r="CW135" s="1562"/>
      <c r="CX135" s="1544"/>
      <c r="CY135" s="1544" t="str">
        <f t="shared" si="2"/>
        <v>Наименование централизованной системы холодного водоснабжения</v>
      </c>
      <c r="CZ135" s="1544"/>
      <c r="DA135" s="1544"/>
    </row>
    <row r="136" spans="1:105" s="1827" customFormat="1" ht="23.25" customHeight="1">
      <c r="A136" s="1284"/>
      <c r="B136" s="1284"/>
      <c r="C136" s="1284"/>
      <c r="D136" s="1284"/>
      <c r="E136" s="7690" t="s">
        <v>90</v>
      </c>
      <c r="F136" s="7690"/>
      <c r="G136" s="7690"/>
      <c r="H136" s="7690"/>
      <c r="I136" s="7687" t="str">
        <f>S135&amp;".1"</f>
        <v>7.1.1.1</v>
      </c>
      <c r="J136" s="1284"/>
      <c r="K136" s="1284"/>
      <c r="L136" s="1290"/>
      <c r="M136" s="1696"/>
      <c r="N136" s="1696"/>
      <c r="O136" s="1696"/>
      <c r="P136" s="7688">
        <v>1</v>
      </c>
      <c r="Q136" s="1816"/>
      <c r="R136" s="277"/>
      <c r="S136" s="1813" t="str">
        <f>$I136</f>
        <v>7.1.1.1</v>
      </c>
      <c r="T136" s="200" t="s">
        <v>656</v>
      </c>
      <c r="U136" s="214"/>
      <c r="V136" s="7748"/>
      <c r="W136" s="7749"/>
      <c r="X136" s="7749"/>
      <c r="Y136" s="7749"/>
      <c r="Z136" s="7749"/>
      <c r="AA136" s="7749"/>
      <c r="AB136" s="7750"/>
      <c r="AC136" s="7751"/>
      <c r="AD136" s="7752"/>
      <c r="AE136" s="7752"/>
      <c r="AF136" s="7752"/>
      <c r="AG136" s="7752"/>
      <c r="AH136" s="7752"/>
      <c r="AI136" s="7752"/>
      <c r="AJ136" s="7748"/>
      <c r="AK136" s="7749"/>
      <c r="AL136" s="7749"/>
      <c r="AM136" s="7749"/>
      <c r="AN136" s="7749"/>
      <c r="AO136" s="7749"/>
      <c r="AP136" s="7750"/>
      <c r="AQ136" s="7748"/>
      <c r="AR136" s="7749"/>
      <c r="AS136" s="7749"/>
      <c r="AT136" s="7749"/>
      <c r="AU136" s="7749"/>
      <c r="AV136" s="7749"/>
      <c r="AW136" s="7750"/>
      <c r="AX136" s="7748"/>
      <c r="AY136" s="7749"/>
      <c r="AZ136" s="7749"/>
      <c r="BA136" s="7749"/>
      <c r="BB136" s="7749"/>
      <c r="BC136" s="7749"/>
      <c r="BD136" s="7750"/>
      <c r="BE136" s="7748"/>
      <c r="BF136" s="7749"/>
      <c r="BG136" s="7749"/>
      <c r="BH136" s="7749"/>
      <c r="BI136" s="7749"/>
      <c r="BJ136" s="7749"/>
      <c r="BK136" s="7750"/>
      <c r="BL136" s="7748"/>
      <c r="BM136" s="7749"/>
      <c r="BN136" s="7749"/>
      <c r="BO136" s="7749"/>
      <c r="BP136" s="7749"/>
      <c r="BQ136" s="7749"/>
      <c r="BR136" s="7750"/>
      <c r="BS136" s="7748"/>
      <c r="BT136" s="7749"/>
      <c r="BU136" s="7749"/>
      <c r="BV136" s="7749"/>
      <c r="BW136" s="7749"/>
      <c r="BX136" s="7749"/>
      <c r="BY136" s="7750"/>
      <c r="BZ136" s="7748"/>
      <c r="CA136" s="7749"/>
      <c r="CB136" s="7749"/>
      <c r="CC136" s="7749"/>
      <c r="CD136" s="7749"/>
      <c r="CE136" s="7749"/>
      <c r="CF136" s="7750"/>
      <c r="CG136" s="7748"/>
      <c r="CH136" s="7749"/>
      <c r="CI136" s="7749"/>
      <c r="CJ136" s="7749"/>
      <c r="CK136" s="7749"/>
      <c r="CL136" s="7749"/>
      <c r="CM136" s="7750"/>
      <c r="CN136" s="7748"/>
      <c r="CO136" s="7749"/>
      <c r="CP136" s="7749"/>
      <c r="CQ136" s="7749"/>
      <c r="CR136" s="7749"/>
      <c r="CS136" s="7749"/>
      <c r="CT136" s="7750"/>
      <c r="CU136" s="7753"/>
      <c r="CV136" s="1182" t="s">
        <v>657</v>
      </c>
      <c r="CW136" s="1562"/>
      <c r="CX136" s="1544"/>
      <c r="CY136" s="1544" t="str">
        <f t="shared" si="2"/>
        <v>Наименование признака дифференциации</v>
      </c>
      <c r="CZ136" s="1544"/>
      <c r="DA136" s="1544"/>
    </row>
    <row r="137" spans="1:105" s="1827" customFormat="1" ht="23.25" customHeight="1">
      <c r="A137" s="1284"/>
      <c r="B137" s="1284"/>
      <c r="C137" s="1284"/>
      <c r="D137" s="1284"/>
      <c r="E137" s="7690" t="s">
        <v>90</v>
      </c>
      <c r="F137" s="7690"/>
      <c r="G137" s="7690"/>
      <c r="H137" s="7690"/>
      <c r="I137" s="7710"/>
      <c r="J137" s="7687" t="str">
        <f>I136&amp;".1"</f>
        <v>7.1.1.1.1</v>
      </c>
      <c r="K137" s="1284"/>
      <c r="L137" s="1290" t="s">
        <v>582</v>
      </c>
      <c r="M137" s="1696"/>
      <c r="N137" s="1696"/>
      <c r="O137" s="1696"/>
      <c r="P137" s="7688"/>
      <c r="Q137" s="7688">
        <v>1</v>
      </c>
      <c r="R137" s="278"/>
      <c r="S137" s="1813" t="str">
        <f>$J137</f>
        <v>7.1.1.1.1</v>
      </c>
      <c r="T137" s="201" t="s">
        <v>583</v>
      </c>
      <c r="U137" s="214"/>
      <c r="V137" s="7678"/>
      <c r="W137" s="7679"/>
      <c r="X137" s="7679"/>
      <c r="Y137" s="7679"/>
      <c r="Z137" s="7679"/>
      <c r="AA137" s="7679"/>
      <c r="AB137" s="7680"/>
      <c r="AC137" s="7678" t="s">
        <v>671</v>
      </c>
      <c r="AD137" s="7679"/>
      <c r="AE137" s="7679"/>
      <c r="AF137" s="7679"/>
      <c r="AG137" s="7679"/>
      <c r="AH137" s="7679"/>
      <c r="AI137" s="7679"/>
      <c r="AJ137" s="7678"/>
      <c r="AK137" s="7679"/>
      <c r="AL137" s="7679"/>
      <c r="AM137" s="7679"/>
      <c r="AN137" s="7679"/>
      <c r="AO137" s="7679"/>
      <c r="AP137" s="7680"/>
      <c r="AQ137" s="7678"/>
      <c r="AR137" s="7679"/>
      <c r="AS137" s="7679"/>
      <c r="AT137" s="7679"/>
      <c r="AU137" s="7679"/>
      <c r="AV137" s="7679"/>
      <c r="AW137" s="7680"/>
      <c r="AX137" s="7678"/>
      <c r="AY137" s="7679"/>
      <c r="AZ137" s="7679"/>
      <c r="BA137" s="7679"/>
      <c r="BB137" s="7679"/>
      <c r="BC137" s="7679"/>
      <c r="BD137" s="7680"/>
      <c r="BE137" s="7678"/>
      <c r="BF137" s="7679"/>
      <c r="BG137" s="7679"/>
      <c r="BH137" s="7679"/>
      <c r="BI137" s="7679"/>
      <c r="BJ137" s="7679"/>
      <c r="BK137" s="7680"/>
      <c r="BL137" s="7678"/>
      <c r="BM137" s="7679"/>
      <c r="BN137" s="7679"/>
      <c r="BO137" s="7679"/>
      <c r="BP137" s="7679"/>
      <c r="BQ137" s="7679"/>
      <c r="BR137" s="7680"/>
      <c r="BS137" s="7678"/>
      <c r="BT137" s="7679"/>
      <c r="BU137" s="7679"/>
      <c r="BV137" s="7679"/>
      <c r="BW137" s="7679"/>
      <c r="BX137" s="7679"/>
      <c r="BY137" s="7680"/>
      <c r="BZ137" s="7678"/>
      <c r="CA137" s="7679"/>
      <c r="CB137" s="7679"/>
      <c r="CC137" s="7679"/>
      <c r="CD137" s="7679"/>
      <c r="CE137" s="7679"/>
      <c r="CF137" s="7680"/>
      <c r="CG137" s="7678"/>
      <c r="CH137" s="7679"/>
      <c r="CI137" s="7679"/>
      <c r="CJ137" s="7679"/>
      <c r="CK137" s="7679"/>
      <c r="CL137" s="7679"/>
      <c r="CM137" s="7680"/>
      <c r="CN137" s="7678"/>
      <c r="CO137" s="7679"/>
      <c r="CP137" s="7679"/>
      <c r="CQ137" s="7679"/>
      <c r="CR137" s="7679"/>
      <c r="CS137" s="7679"/>
      <c r="CT137" s="7680"/>
      <c r="CU137" s="7680"/>
      <c r="CV137" s="1231" t="s">
        <v>658</v>
      </c>
      <c r="CW137" s="1562"/>
      <c r="CX137" s="1544"/>
      <c r="CY137" s="1544" t="str">
        <f t="shared" si="2"/>
        <v>Группа потребителей</v>
      </c>
      <c r="CZ137" s="1544"/>
      <c r="DA137" s="1544"/>
    </row>
    <row r="138" spans="1:105" s="1827" customFormat="1" ht="23.25" customHeight="1">
      <c r="A138" s="1284"/>
      <c r="B138" s="1284"/>
      <c r="C138" s="1284"/>
      <c r="D138" s="1284"/>
      <c r="E138" s="7690" t="s">
        <v>90</v>
      </c>
      <c r="F138" s="7690"/>
      <c r="G138" s="7690"/>
      <c r="H138" s="7690"/>
      <c r="I138" s="7710"/>
      <c r="J138" s="7710"/>
      <c r="K138" s="7687" t="str">
        <f>J137&amp;".1"</f>
        <v>7.1.1.1.1.1</v>
      </c>
      <c r="L138" s="1290"/>
      <c r="M138" s="1696"/>
      <c r="N138" s="1696"/>
      <c r="O138" s="1696"/>
      <c r="P138" s="7688"/>
      <c r="Q138" s="7688"/>
      <c r="R138" s="278">
        <v>1</v>
      </c>
      <c r="S138" s="1813" t="str">
        <f>$K138</f>
        <v>7.1.1.1.1.1</v>
      </c>
      <c r="T138" s="1357" t="s">
        <v>672</v>
      </c>
      <c r="U138" s="214"/>
      <c r="V138" s="666"/>
      <c r="W138" s="666"/>
      <c r="X138" s="1181"/>
      <c r="Y138" s="7692"/>
      <c r="Z138" s="7540" t="s">
        <v>60</v>
      </c>
      <c r="AA138" s="7692"/>
      <c r="AB138" s="7540" t="s">
        <v>60</v>
      </c>
      <c r="AC138" s="666">
        <v>58.27</v>
      </c>
      <c r="AD138" s="666"/>
      <c r="AE138" s="1181"/>
      <c r="AF138" s="7692">
        <v>45292</v>
      </c>
      <c r="AG138" s="7540" t="s">
        <v>60</v>
      </c>
      <c r="AH138" s="7711">
        <v>45473</v>
      </c>
      <c r="AI138" s="7540" t="s">
        <v>60</v>
      </c>
      <c r="AJ138" s="666">
        <v>63.52</v>
      </c>
      <c r="AK138" s="666"/>
      <c r="AL138" s="1181"/>
      <c r="AM138" s="7692">
        <v>45474</v>
      </c>
      <c r="AN138" s="7540" t="s">
        <v>60</v>
      </c>
      <c r="AO138" s="7692">
        <v>45657</v>
      </c>
      <c r="AP138" s="7540" t="s">
        <v>60</v>
      </c>
      <c r="AQ138" s="666">
        <v>63.52</v>
      </c>
      <c r="AR138" s="666"/>
      <c r="AS138" s="1181"/>
      <c r="AT138" s="7692">
        <v>45658</v>
      </c>
      <c r="AU138" s="7540" t="s">
        <v>60</v>
      </c>
      <c r="AV138" s="7692">
        <v>45838</v>
      </c>
      <c r="AW138" s="7540" t="s">
        <v>60</v>
      </c>
      <c r="AX138" s="666">
        <v>67.14</v>
      </c>
      <c r="AY138" s="666"/>
      <c r="AZ138" s="1181"/>
      <c r="BA138" s="7692">
        <v>45839</v>
      </c>
      <c r="BB138" s="7540" t="s">
        <v>60</v>
      </c>
      <c r="BC138" s="7692">
        <v>46022</v>
      </c>
      <c r="BD138" s="7540" t="s">
        <v>60</v>
      </c>
      <c r="BE138" s="666">
        <v>67.14</v>
      </c>
      <c r="BF138" s="666"/>
      <c r="BG138" s="1181"/>
      <c r="BH138" s="7692">
        <v>46023</v>
      </c>
      <c r="BI138" s="7540" t="s">
        <v>60</v>
      </c>
      <c r="BJ138" s="7692">
        <v>46203</v>
      </c>
      <c r="BK138" s="7540" t="s">
        <v>60</v>
      </c>
      <c r="BL138" s="666">
        <v>69.83</v>
      </c>
      <c r="BM138" s="666"/>
      <c r="BN138" s="1181"/>
      <c r="BO138" s="7692">
        <v>46204</v>
      </c>
      <c r="BP138" s="7540" t="s">
        <v>60</v>
      </c>
      <c r="BQ138" s="7692">
        <v>46387</v>
      </c>
      <c r="BR138" s="7540" t="s">
        <v>60</v>
      </c>
      <c r="BS138" s="666">
        <v>69.83</v>
      </c>
      <c r="BT138" s="666"/>
      <c r="BU138" s="1181"/>
      <c r="BV138" s="7692">
        <v>46388</v>
      </c>
      <c r="BW138" s="7540" t="s">
        <v>60</v>
      </c>
      <c r="BX138" s="7692">
        <v>46568</v>
      </c>
      <c r="BY138" s="7540" t="s">
        <v>60</v>
      </c>
      <c r="BZ138" s="666">
        <v>72.62</v>
      </c>
      <c r="CA138" s="666"/>
      <c r="CB138" s="1181"/>
      <c r="CC138" s="7692">
        <v>46569</v>
      </c>
      <c r="CD138" s="7540" t="s">
        <v>60</v>
      </c>
      <c r="CE138" s="7692">
        <v>46752</v>
      </c>
      <c r="CF138" s="7540" t="s">
        <v>60</v>
      </c>
      <c r="CG138" s="666">
        <v>72.62</v>
      </c>
      <c r="CH138" s="666"/>
      <c r="CI138" s="1181"/>
      <c r="CJ138" s="7692">
        <v>46753</v>
      </c>
      <c r="CK138" s="7540" t="s">
        <v>60</v>
      </c>
      <c r="CL138" s="7692">
        <v>46934</v>
      </c>
      <c r="CM138" s="7540" t="s">
        <v>60</v>
      </c>
      <c r="CN138" s="666">
        <v>75.52</v>
      </c>
      <c r="CO138" s="666"/>
      <c r="CP138" s="1181"/>
      <c r="CQ138" s="7692">
        <v>46935</v>
      </c>
      <c r="CR138" s="7540" t="s">
        <v>60</v>
      </c>
      <c r="CS138" s="7692">
        <v>47118</v>
      </c>
      <c r="CT138" s="7540" t="s">
        <v>60</v>
      </c>
      <c r="CU138" s="1358"/>
      <c r="CV138"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38" s="1562" t="e">
        <f ca="1">STRCHECKDATE(V139:CU139)</f>
        <v>#NAME?</v>
      </c>
      <c r="CX138" s="1544"/>
      <c r="CY138" s="1544" t="str">
        <f t="shared" si="2"/>
        <v>Тариф для населения, руб. за 1 куб. метр с НДС</v>
      </c>
      <c r="CZ138" s="1544"/>
      <c r="DA138" s="1544"/>
    </row>
    <row r="139" spans="1:105" s="1827" customFormat="1" ht="14.25" customHeight="1">
      <c r="A139" s="1284"/>
      <c r="B139" s="1284"/>
      <c r="C139" s="1284"/>
      <c r="D139" s="1284"/>
      <c r="E139" s="7690" t="s">
        <v>90</v>
      </c>
      <c r="F139" s="7690"/>
      <c r="G139" s="7690"/>
      <c r="H139" s="7690"/>
      <c r="I139" s="7710"/>
      <c r="J139" s="7710"/>
      <c r="K139" s="7687"/>
      <c r="L139" s="1290"/>
      <c r="M139" s="1696"/>
      <c r="N139" s="1696"/>
      <c r="O139" s="1696"/>
      <c r="P139" s="7688"/>
      <c r="Q139" s="7688"/>
      <c r="R139" s="278"/>
      <c r="S139" s="1822"/>
      <c r="T139" s="214"/>
      <c r="U139" s="214"/>
      <c r="V139" s="246"/>
      <c r="W139" s="246"/>
      <c r="X139" s="250" t="str">
        <f>Y138&amp;"-"&amp;AA138</f>
        <v>-</v>
      </c>
      <c r="Y139" s="7693"/>
      <c r="Z139" s="7540"/>
      <c r="AA139" s="7693"/>
      <c r="AB139" s="7540"/>
      <c r="AC139" s="246"/>
      <c r="AD139" s="246"/>
      <c r="AE139" s="250" t="str">
        <f>AF138&amp;"-"&amp;AH138</f>
        <v>45292-45473</v>
      </c>
      <c r="AF139" s="7693"/>
      <c r="AG139" s="7540"/>
      <c r="AH139" s="7712"/>
      <c r="AI139" s="7540"/>
      <c r="AJ139" s="246"/>
      <c r="AK139" s="246"/>
      <c r="AL139" s="250" t="str">
        <f>AM138&amp;"-"&amp;AO138</f>
        <v>45474-45657</v>
      </c>
      <c r="AM139" s="7693"/>
      <c r="AN139" s="7540"/>
      <c r="AO139" s="7693"/>
      <c r="AP139" s="7540"/>
      <c r="AQ139" s="246"/>
      <c r="AR139" s="246"/>
      <c r="AS139" s="250" t="str">
        <f>AT138&amp;"-"&amp;AV138</f>
        <v>45658-45838</v>
      </c>
      <c r="AT139" s="7693"/>
      <c r="AU139" s="7540"/>
      <c r="AV139" s="7693"/>
      <c r="AW139" s="7540"/>
      <c r="AX139" s="246"/>
      <c r="AY139" s="246"/>
      <c r="AZ139" s="250" t="str">
        <f>BA138&amp;"-"&amp;BC138</f>
        <v>45839-46022</v>
      </c>
      <c r="BA139" s="7693"/>
      <c r="BB139" s="7540"/>
      <c r="BC139" s="7693"/>
      <c r="BD139" s="7540"/>
      <c r="BE139" s="246"/>
      <c r="BF139" s="246"/>
      <c r="BG139" s="250" t="str">
        <f>BH138&amp;"-"&amp;BJ138</f>
        <v>46023-46203</v>
      </c>
      <c r="BH139" s="7693"/>
      <c r="BI139" s="7540"/>
      <c r="BJ139" s="7693"/>
      <c r="BK139" s="7540"/>
      <c r="BL139" s="246"/>
      <c r="BM139" s="246"/>
      <c r="BN139" s="250" t="str">
        <f>BO138&amp;"-"&amp;BQ138</f>
        <v>46204-46387</v>
      </c>
      <c r="BO139" s="7693"/>
      <c r="BP139" s="7540"/>
      <c r="BQ139" s="7693"/>
      <c r="BR139" s="7540"/>
      <c r="BS139" s="246"/>
      <c r="BT139" s="246"/>
      <c r="BU139" s="250" t="str">
        <f>BV138&amp;"-"&amp;BX138</f>
        <v>46388-46568</v>
      </c>
      <c r="BV139" s="7693"/>
      <c r="BW139" s="7540"/>
      <c r="BX139" s="7693"/>
      <c r="BY139" s="7540"/>
      <c r="BZ139" s="246"/>
      <c r="CA139" s="246"/>
      <c r="CB139" s="250" t="str">
        <f>CC138&amp;"-"&amp;CE138</f>
        <v>46569-46752</v>
      </c>
      <c r="CC139" s="7693"/>
      <c r="CD139" s="7540"/>
      <c r="CE139" s="7693"/>
      <c r="CF139" s="7540"/>
      <c r="CG139" s="246"/>
      <c r="CH139" s="246"/>
      <c r="CI139" s="250" t="str">
        <f>CJ138&amp;"-"&amp;CL138</f>
        <v>46753-46934</v>
      </c>
      <c r="CJ139" s="7693"/>
      <c r="CK139" s="7540"/>
      <c r="CL139" s="7693"/>
      <c r="CM139" s="7540"/>
      <c r="CN139" s="246"/>
      <c r="CO139" s="246"/>
      <c r="CP139" s="250" t="str">
        <f>CQ138&amp;"-"&amp;CS138</f>
        <v>46935-47118</v>
      </c>
      <c r="CQ139" s="7693"/>
      <c r="CR139" s="7540"/>
      <c r="CS139" s="7693"/>
      <c r="CT139" s="7540"/>
      <c r="CU139" s="1359"/>
      <c r="CV139" s="7747"/>
      <c r="CW139" s="1562"/>
      <c r="CX139" s="1544"/>
      <c r="CY139" s="1544" t="str">
        <f t="shared" si="2"/>
        <v/>
      </c>
      <c r="CZ139" s="1544"/>
      <c r="DA139" s="1544"/>
    </row>
    <row r="140" spans="1:105" s="1827" customFormat="1" ht="21" customHeight="1">
      <c r="A140" s="1284"/>
      <c r="B140" s="1284"/>
      <c r="C140" s="1284"/>
      <c r="D140" s="1284"/>
      <c r="E140" s="7690" t="s">
        <v>90</v>
      </c>
      <c r="F140" s="7690"/>
      <c r="G140" s="7690"/>
      <c r="H140" s="7690"/>
      <c r="I140" s="7710"/>
      <c r="J140" s="7687"/>
      <c r="K140" s="1284"/>
      <c r="L140" s="1290"/>
      <c r="M140" s="1696"/>
      <c r="N140" s="1696"/>
      <c r="O140" s="1696"/>
      <c r="P140" s="7688"/>
      <c r="Q140" s="7688"/>
      <c r="R140" s="277"/>
      <c r="S140" s="3873"/>
      <c r="T140" s="3874" t="s">
        <v>659</v>
      </c>
      <c r="U140" s="3875"/>
      <c r="V140" s="3876"/>
      <c r="W140" s="3877"/>
      <c r="X140" s="3878"/>
      <c r="Y140" s="3879"/>
      <c r="Z140" s="3880"/>
      <c r="AA140" s="3881"/>
      <c r="AB140" s="3882"/>
      <c r="AC140" s="3883"/>
      <c r="AD140" s="3884"/>
      <c r="AE140" s="3885"/>
      <c r="AF140" s="3886"/>
      <c r="AG140" s="3887"/>
      <c r="AH140" s="3888"/>
      <c r="AI140" s="3889"/>
      <c r="AJ140" s="3890"/>
      <c r="AK140" s="3891"/>
      <c r="AL140" s="3892"/>
      <c r="AM140" s="3893"/>
      <c r="AN140" s="3894"/>
      <c r="AO140" s="3895"/>
      <c r="AP140" s="3896"/>
      <c r="AQ140" s="3897"/>
      <c r="AR140" s="3898"/>
      <c r="AS140" s="3899"/>
      <c r="AT140" s="3900"/>
      <c r="AU140" s="3901"/>
      <c r="AV140" s="3902"/>
      <c r="AW140" s="3903"/>
      <c r="AX140" s="3904"/>
      <c r="AY140" s="3905"/>
      <c r="AZ140" s="3906"/>
      <c r="BA140" s="3907"/>
      <c r="BB140" s="3908"/>
      <c r="BC140" s="3909"/>
      <c r="BD140" s="3910"/>
      <c r="BE140" s="3911"/>
      <c r="BF140" s="3912"/>
      <c r="BG140" s="3913"/>
      <c r="BH140" s="3914"/>
      <c r="BI140" s="3915"/>
      <c r="BJ140" s="3916"/>
      <c r="BK140" s="3917"/>
      <c r="BL140" s="3918"/>
      <c r="BM140" s="3919"/>
      <c r="BN140" s="3920"/>
      <c r="BO140" s="3921"/>
      <c r="BP140" s="3922"/>
      <c r="BQ140" s="3923"/>
      <c r="BR140" s="3924"/>
      <c r="BS140" s="3925"/>
      <c r="BT140" s="3926"/>
      <c r="BU140" s="3927"/>
      <c r="BV140" s="3928"/>
      <c r="BW140" s="3929"/>
      <c r="BX140" s="3930"/>
      <c r="BY140" s="3931"/>
      <c r="BZ140" s="3932"/>
      <c r="CA140" s="3933"/>
      <c r="CB140" s="3934"/>
      <c r="CC140" s="3935"/>
      <c r="CD140" s="3936"/>
      <c r="CE140" s="3937"/>
      <c r="CF140" s="3938"/>
      <c r="CG140" s="3939"/>
      <c r="CH140" s="3940"/>
      <c r="CI140" s="3941"/>
      <c r="CJ140" s="3942"/>
      <c r="CK140" s="3943"/>
      <c r="CL140" s="3944"/>
      <c r="CM140" s="3945"/>
      <c r="CN140" s="3946"/>
      <c r="CO140" s="3947"/>
      <c r="CP140" s="3948"/>
      <c r="CQ140" s="3949"/>
      <c r="CR140" s="3950"/>
      <c r="CS140" s="3951"/>
      <c r="CT140" s="3952"/>
      <c r="CU140" s="3953"/>
      <c r="CV140" s="1182" t="s">
        <v>660</v>
      </c>
      <c r="CW140" s="1562"/>
      <c r="CX140" s="1544"/>
      <c r="CY140" s="1544" t="str">
        <f t="shared" si="2"/>
        <v>Добавить значение признака дифференциации</v>
      </c>
      <c r="CZ140" s="1544"/>
      <c r="DA140" s="1544"/>
    </row>
    <row r="141" spans="1:105" s="1827" customFormat="1" ht="23.25" customHeight="1">
      <c r="A141" s="1284"/>
      <c r="B141" s="1284"/>
      <c r="C141" s="1284"/>
      <c r="D141" s="1284"/>
      <c r="E141" s="7690"/>
      <c r="F141" s="7690"/>
      <c r="G141" s="7690"/>
      <c r="H141" s="7690"/>
      <c r="I141" s="7710"/>
      <c r="J141" s="7687" t="str">
        <f>I136&amp;".2"</f>
        <v>7.1.1.1.2</v>
      </c>
      <c r="K141" s="1284"/>
      <c r="L141" s="1290" t="s">
        <v>582</v>
      </c>
      <c r="M141" s="1696"/>
      <c r="N141" s="1696"/>
      <c r="O141" s="1696"/>
      <c r="P141" s="7688"/>
      <c r="Q141" s="7754" t="s">
        <v>101</v>
      </c>
      <c r="R141" s="278"/>
      <c r="S141" s="1813" t="str">
        <f>$J141</f>
        <v>7.1.1.1.2</v>
      </c>
      <c r="T141" s="201" t="s">
        <v>583</v>
      </c>
      <c r="U141" s="214"/>
      <c r="V141" s="7678"/>
      <c r="W141" s="7679"/>
      <c r="X141" s="7679"/>
      <c r="Y141" s="7679"/>
      <c r="Z141" s="7679"/>
      <c r="AA141" s="7679"/>
      <c r="AB141" s="7680"/>
      <c r="AC141" s="7678" t="s">
        <v>669</v>
      </c>
      <c r="AD141" s="7679"/>
      <c r="AE141" s="7679"/>
      <c r="AF141" s="7679"/>
      <c r="AG141" s="7679"/>
      <c r="AH141" s="7679"/>
      <c r="AI141" s="7679"/>
      <c r="AJ141" s="7678"/>
      <c r="AK141" s="7679"/>
      <c r="AL141" s="7679"/>
      <c r="AM141" s="7679"/>
      <c r="AN141" s="7679"/>
      <c r="AO141" s="7679"/>
      <c r="AP141" s="7680"/>
      <c r="AQ141" s="7678"/>
      <c r="AR141" s="7679"/>
      <c r="AS141" s="7679"/>
      <c r="AT141" s="7679"/>
      <c r="AU141" s="7679"/>
      <c r="AV141" s="7679"/>
      <c r="AW141" s="7680"/>
      <c r="AX141" s="7678"/>
      <c r="AY141" s="7679"/>
      <c r="AZ141" s="7679"/>
      <c r="BA141" s="7679"/>
      <c r="BB141" s="7679"/>
      <c r="BC141" s="7679"/>
      <c r="BD141" s="7680"/>
      <c r="BE141" s="7678"/>
      <c r="BF141" s="7679"/>
      <c r="BG141" s="7679"/>
      <c r="BH141" s="7679"/>
      <c r="BI141" s="7679"/>
      <c r="BJ141" s="7679"/>
      <c r="BK141" s="7680"/>
      <c r="BL141" s="7678"/>
      <c r="BM141" s="7679"/>
      <c r="BN141" s="7679"/>
      <c r="BO141" s="7679"/>
      <c r="BP141" s="7679"/>
      <c r="BQ141" s="7679"/>
      <c r="BR141" s="7680"/>
      <c r="BS141" s="7678"/>
      <c r="BT141" s="7679"/>
      <c r="BU141" s="7679"/>
      <c r="BV141" s="7679"/>
      <c r="BW141" s="7679"/>
      <c r="BX141" s="7679"/>
      <c r="BY141" s="7680"/>
      <c r="BZ141" s="7678"/>
      <c r="CA141" s="7679"/>
      <c r="CB141" s="7679"/>
      <c r="CC141" s="7679"/>
      <c r="CD141" s="7679"/>
      <c r="CE141" s="7679"/>
      <c r="CF141" s="7680"/>
      <c r="CG141" s="7678"/>
      <c r="CH141" s="7679"/>
      <c r="CI141" s="7679"/>
      <c r="CJ141" s="7679"/>
      <c r="CK141" s="7679"/>
      <c r="CL141" s="7679"/>
      <c r="CM141" s="7680"/>
      <c r="CN141" s="7678"/>
      <c r="CO141" s="7679"/>
      <c r="CP141" s="7679"/>
      <c r="CQ141" s="7679"/>
      <c r="CR141" s="7679"/>
      <c r="CS141" s="7679"/>
      <c r="CT141" s="7680"/>
      <c r="CU141" s="7680"/>
      <c r="CV141" s="1231" t="s">
        <v>658</v>
      </c>
      <c r="CW141" s="1562"/>
      <c r="CX141" s="1544"/>
      <c r="CY141" s="1544" t="str">
        <f t="shared" si="2"/>
        <v>Группа потребителей</v>
      </c>
      <c r="CZ141" s="1544"/>
      <c r="DA141" s="1544"/>
    </row>
    <row r="142" spans="1:105" s="1827" customFormat="1" ht="23.25" customHeight="1">
      <c r="A142" s="1284"/>
      <c r="B142" s="1284"/>
      <c r="C142" s="1284"/>
      <c r="D142" s="1284"/>
      <c r="E142" s="7690"/>
      <c r="F142" s="7690"/>
      <c r="G142" s="7690"/>
      <c r="H142" s="7690"/>
      <c r="I142" s="7710"/>
      <c r="J142" s="7710" t="str">
        <f>I136&amp;".1"</f>
        <v>7.1.1.1.1</v>
      </c>
      <c r="K142" s="7687" t="str">
        <f>J141&amp;".1"</f>
        <v>7.1.1.1.2.1</v>
      </c>
      <c r="L142" s="1290"/>
      <c r="M142" s="1696"/>
      <c r="N142" s="1696"/>
      <c r="O142" s="1696"/>
      <c r="P142" s="7688"/>
      <c r="Q142" s="7688"/>
      <c r="R142" s="278">
        <v>1</v>
      </c>
      <c r="S142" s="1813" t="str">
        <f>$K142</f>
        <v>7.1.1.1.2.1</v>
      </c>
      <c r="T142" s="1357" t="s">
        <v>670</v>
      </c>
      <c r="U142" s="214"/>
      <c r="V142" s="666"/>
      <c r="W142" s="666"/>
      <c r="X142" s="1181"/>
      <c r="Y142" s="7692"/>
      <c r="Z142" s="7540" t="s">
        <v>60</v>
      </c>
      <c r="AA142" s="7692"/>
      <c r="AB142" s="7540" t="s">
        <v>60</v>
      </c>
      <c r="AC142" s="666">
        <v>61.08</v>
      </c>
      <c r="AD142" s="666"/>
      <c r="AE142" s="1181"/>
      <c r="AF142" s="7692">
        <v>45292</v>
      </c>
      <c r="AG142" s="7540" t="s">
        <v>60</v>
      </c>
      <c r="AH142" s="7711">
        <v>45473</v>
      </c>
      <c r="AI142" s="7540" t="s">
        <v>60</v>
      </c>
      <c r="AJ142" s="666">
        <v>84.09</v>
      </c>
      <c r="AK142" s="666"/>
      <c r="AL142" s="1181"/>
      <c r="AM142" s="7692">
        <v>45474</v>
      </c>
      <c r="AN142" s="7540" t="s">
        <v>60</v>
      </c>
      <c r="AO142" s="7692">
        <v>45657</v>
      </c>
      <c r="AP142" s="7540" t="s">
        <v>60</v>
      </c>
      <c r="AQ142" s="666">
        <v>77.19</v>
      </c>
      <c r="AR142" s="666"/>
      <c r="AS142" s="1181"/>
      <c r="AT142" s="7692">
        <v>45658</v>
      </c>
      <c r="AU142" s="7540" t="s">
        <v>60</v>
      </c>
      <c r="AV142" s="7692">
        <v>45838</v>
      </c>
      <c r="AW142" s="7540" t="s">
        <v>60</v>
      </c>
      <c r="AX142" s="666">
        <v>77.19</v>
      </c>
      <c r="AY142" s="666"/>
      <c r="AZ142" s="1181"/>
      <c r="BA142" s="7692">
        <v>45839</v>
      </c>
      <c r="BB142" s="7540" t="s">
        <v>60</v>
      </c>
      <c r="BC142" s="7692">
        <v>46022</v>
      </c>
      <c r="BD142" s="7540" t="s">
        <v>60</v>
      </c>
      <c r="BE142" s="666">
        <v>77.19</v>
      </c>
      <c r="BF142" s="666"/>
      <c r="BG142" s="1181"/>
      <c r="BH142" s="7692">
        <v>46023</v>
      </c>
      <c r="BI142" s="7540" t="s">
        <v>60</v>
      </c>
      <c r="BJ142" s="7692">
        <v>46203</v>
      </c>
      <c r="BK142" s="7540" t="s">
        <v>60</v>
      </c>
      <c r="BL142" s="666">
        <v>77.97</v>
      </c>
      <c r="BM142" s="666"/>
      <c r="BN142" s="1181"/>
      <c r="BO142" s="7692">
        <v>46204</v>
      </c>
      <c r="BP142" s="7540" t="s">
        <v>60</v>
      </c>
      <c r="BQ142" s="7692">
        <v>46387</v>
      </c>
      <c r="BR142" s="7540" t="s">
        <v>60</v>
      </c>
      <c r="BS142" s="666">
        <v>77.97</v>
      </c>
      <c r="BT142" s="666"/>
      <c r="BU142" s="1181"/>
      <c r="BV142" s="7692">
        <v>46388</v>
      </c>
      <c r="BW142" s="7540" t="s">
        <v>60</v>
      </c>
      <c r="BX142" s="7692">
        <v>46568</v>
      </c>
      <c r="BY142" s="7540" t="s">
        <v>60</v>
      </c>
      <c r="BZ142" s="666">
        <v>82.24</v>
      </c>
      <c r="CA142" s="666"/>
      <c r="CB142" s="1181"/>
      <c r="CC142" s="7692">
        <v>46569</v>
      </c>
      <c r="CD142" s="7540" t="s">
        <v>60</v>
      </c>
      <c r="CE142" s="7692">
        <v>46752</v>
      </c>
      <c r="CF142" s="7540" t="s">
        <v>60</v>
      </c>
      <c r="CG142" s="666">
        <v>82.24</v>
      </c>
      <c r="CH142" s="666"/>
      <c r="CI142" s="1181"/>
      <c r="CJ142" s="7692">
        <v>46753</v>
      </c>
      <c r="CK142" s="7540" t="s">
        <v>60</v>
      </c>
      <c r="CL142" s="7692">
        <v>46934</v>
      </c>
      <c r="CM142" s="7540" t="s">
        <v>60</v>
      </c>
      <c r="CN142" s="666">
        <v>84.74</v>
      </c>
      <c r="CO142" s="666"/>
      <c r="CP142" s="1181"/>
      <c r="CQ142" s="7692">
        <v>46935</v>
      </c>
      <c r="CR142" s="7540" t="s">
        <v>60</v>
      </c>
      <c r="CS142" s="7692">
        <v>47118</v>
      </c>
      <c r="CT142" s="7540" t="s">
        <v>60</v>
      </c>
      <c r="CU142" s="1358"/>
      <c r="CV142"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42" s="1562" t="e">
        <f ca="1">STRCHECKDATE(V143:CU143)</f>
        <v>#NAME?</v>
      </c>
      <c r="CX142" s="1544"/>
      <c r="CY142" s="1544" t="str">
        <f t="shared" si="2"/>
        <v>Тариф, руб. за 1 куб. метр без НДС</v>
      </c>
      <c r="CZ142" s="1544"/>
      <c r="DA142" s="1544"/>
    </row>
    <row r="143" spans="1:105" s="1827" customFormat="1" ht="14.25" customHeight="1">
      <c r="A143" s="1284"/>
      <c r="B143" s="1284"/>
      <c r="C143" s="1284"/>
      <c r="D143" s="1284"/>
      <c r="E143" s="7690"/>
      <c r="F143" s="7690"/>
      <c r="G143" s="7690"/>
      <c r="H143" s="7690"/>
      <c r="I143" s="7710"/>
      <c r="J143" s="7710" t="str">
        <f>I136&amp;".1"</f>
        <v>7.1.1.1.1</v>
      </c>
      <c r="K143" s="7687"/>
      <c r="L143" s="1290"/>
      <c r="M143" s="1696"/>
      <c r="N143" s="1696"/>
      <c r="O143" s="1696"/>
      <c r="P143" s="7688"/>
      <c r="Q143" s="7688"/>
      <c r="R143" s="278"/>
      <c r="S143" s="1822"/>
      <c r="T143" s="214"/>
      <c r="U143" s="214"/>
      <c r="V143" s="246"/>
      <c r="W143" s="246"/>
      <c r="X143" s="250" t="str">
        <f>Y142&amp;"-"&amp;AA142</f>
        <v>-</v>
      </c>
      <c r="Y143" s="7693"/>
      <c r="Z143" s="7540"/>
      <c r="AA143" s="7693"/>
      <c r="AB143" s="7540"/>
      <c r="AC143" s="246"/>
      <c r="AD143" s="246"/>
      <c r="AE143" s="250" t="str">
        <f>AF142&amp;"-"&amp;AH142</f>
        <v>45292-45473</v>
      </c>
      <c r="AF143" s="7693"/>
      <c r="AG143" s="7540"/>
      <c r="AH143" s="7712"/>
      <c r="AI143" s="7540"/>
      <c r="AJ143" s="246"/>
      <c r="AK143" s="246"/>
      <c r="AL143" s="250" t="str">
        <f>AM142&amp;"-"&amp;AO142</f>
        <v>45474-45657</v>
      </c>
      <c r="AM143" s="7693"/>
      <c r="AN143" s="7540"/>
      <c r="AO143" s="7693"/>
      <c r="AP143" s="7540"/>
      <c r="AQ143" s="246"/>
      <c r="AR143" s="246"/>
      <c r="AS143" s="250" t="str">
        <f>AT142&amp;"-"&amp;AV142</f>
        <v>45658-45838</v>
      </c>
      <c r="AT143" s="7693"/>
      <c r="AU143" s="7540"/>
      <c r="AV143" s="7693"/>
      <c r="AW143" s="7540"/>
      <c r="AX143" s="246"/>
      <c r="AY143" s="246"/>
      <c r="AZ143" s="250" t="str">
        <f>BA142&amp;"-"&amp;BC142</f>
        <v>45839-46022</v>
      </c>
      <c r="BA143" s="7693"/>
      <c r="BB143" s="7540"/>
      <c r="BC143" s="7693"/>
      <c r="BD143" s="7540"/>
      <c r="BE143" s="246"/>
      <c r="BF143" s="246"/>
      <c r="BG143" s="250" t="str">
        <f>BH142&amp;"-"&amp;BJ142</f>
        <v>46023-46203</v>
      </c>
      <c r="BH143" s="7693"/>
      <c r="BI143" s="7540"/>
      <c r="BJ143" s="7693"/>
      <c r="BK143" s="7540"/>
      <c r="BL143" s="246"/>
      <c r="BM143" s="246"/>
      <c r="BN143" s="250" t="str">
        <f>BO142&amp;"-"&amp;BQ142</f>
        <v>46204-46387</v>
      </c>
      <c r="BO143" s="7693"/>
      <c r="BP143" s="7540"/>
      <c r="BQ143" s="7693"/>
      <c r="BR143" s="7540"/>
      <c r="BS143" s="246"/>
      <c r="BT143" s="246"/>
      <c r="BU143" s="250" t="str">
        <f>BV142&amp;"-"&amp;BX142</f>
        <v>46388-46568</v>
      </c>
      <c r="BV143" s="7693"/>
      <c r="BW143" s="7540"/>
      <c r="BX143" s="7693"/>
      <c r="BY143" s="7540"/>
      <c r="BZ143" s="246"/>
      <c r="CA143" s="246"/>
      <c r="CB143" s="250" t="str">
        <f>CC142&amp;"-"&amp;CE142</f>
        <v>46569-46752</v>
      </c>
      <c r="CC143" s="7693"/>
      <c r="CD143" s="7540"/>
      <c r="CE143" s="7693"/>
      <c r="CF143" s="7540"/>
      <c r="CG143" s="246"/>
      <c r="CH143" s="246"/>
      <c r="CI143" s="250" t="str">
        <f>CJ142&amp;"-"&amp;CL142</f>
        <v>46753-46934</v>
      </c>
      <c r="CJ143" s="7693"/>
      <c r="CK143" s="7540"/>
      <c r="CL143" s="7693"/>
      <c r="CM143" s="7540"/>
      <c r="CN143" s="246"/>
      <c r="CO143" s="246"/>
      <c r="CP143" s="250" t="str">
        <f>CQ142&amp;"-"&amp;CS142</f>
        <v>46935-47118</v>
      </c>
      <c r="CQ143" s="7693"/>
      <c r="CR143" s="7540"/>
      <c r="CS143" s="7693"/>
      <c r="CT143" s="7540"/>
      <c r="CU143" s="1359"/>
      <c r="CV143" s="7747"/>
      <c r="CW143" s="1562"/>
      <c r="CX143" s="1544"/>
      <c r="CY143" s="1544" t="str">
        <f t="shared" si="2"/>
        <v/>
      </c>
      <c r="CZ143" s="1544"/>
      <c r="DA143" s="1544"/>
    </row>
    <row r="144" spans="1:105" s="1827" customFormat="1" ht="21" customHeight="1">
      <c r="A144" s="1284"/>
      <c r="B144" s="1284"/>
      <c r="C144" s="1284"/>
      <c r="D144" s="1284"/>
      <c r="E144" s="7690"/>
      <c r="F144" s="7690"/>
      <c r="G144" s="7690"/>
      <c r="H144" s="7690"/>
      <c r="I144" s="7710"/>
      <c r="J144" s="7687" t="str">
        <f>I136&amp;".1"</f>
        <v>7.1.1.1.1</v>
      </c>
      <c r="K144" s="1284"/>
      <c r="L144" s="1290"/>
      <c r="M144" s="1696"/>
      <c r="N144" s="1696"/>
      <c r="O144" s="1696"/>
      <c r="P144" s="7688"/>
      <c r="Q144" s="7688"/>
      <c r="R144" s="277"/>
      <c r="S144" s="3954"/>
      <c r="T144" s="3955" t="s">
        <v>659</v>
      </c>
      <c r="U144" s="3956"/>
      <c r="V144" s="3957"/>
      <c r="W144" s="3958"/>
      <c r="X144" s="3959"/>
      <c r="Y144" s="3960"/>
      <c r="Z144" s="3961"/>
      <c r="AA144" s="3962"/>
      <c r="AB144" s="3963"/>
      <c r="AC144" s="3964"/>
      <c r="AD144" s="3965"/>
      <c r="AE144" s="3966"/>
      <c r="AF144" s="3967"/>
      <c r="AG144" s="3968"/>
      <c r="AH144" s="3969"/>
      <c r="AI144" s="3970"/>
      <c r="AJ144" s="3971"/>
      <c r="AK144" s="3972"/>
      <c r="AL144" s="3973"/>
      <c r="AM144" s="3974"/>
      <c r="AN144" s="3975"/>
      <c r="AO144" s="3976"/>
      <c r="AP144" s="3977"/>
      <c r="AQ144" s="3978"/>
      <c r="AR144" s="3979"/>
      <c r="AS144" s="3980"/>
      <c r="AT144" s="3981"/>
      <c r="AU144" s="3982"/>
      <c r="AV144" s="3983"/>
      <c r="AW144" s="3984"/>
      <c r="AX144" s="3985"/>
      <c r="AY144" s="3986"/>
      <c r="AZ144" s="3987"/>
      <c r="BA144" s="3988"/>
      <c r="BB144" s="3989"/>
      <c r="BC144" s="3990"/>
      <c r="BD144" s="3991"/>
      <c r="BE144" s="3992"/>
      <c r="BF144" s="3993"/>
      <c r="BG144" s="3994"/>
      <c r="BH144" s="3995"/>
      <c r="BI144" s="3996"/>
      <c r="BJ144" s="3997"/>
      <c r="BK144" s="3998"/>
      <c r="BL144" s="3999"/>
      <c r="BM144" s="4000"/>
      <c r="BN144" s="4001"/>
      <c r="BO144" s="4002"/>
      <c r="BP144" s="4003"/>
      <c r="BQ144" s="4004"/>
      <c r="BR144" s="4005"/>
      <c r="BS144" s="4006"/>
      <c r="BT144" s="4007"/>
      <c r="BU144" s="4008"/>
      <c r="BV144" s="4009"/>
      <c r="BW144" s="4010"/>
      <c r="BX144" s="4011"/>
      <c r="BY144" s="4012"/>
      <c r="BZ144" s="4013"/>
      <c r="CA144" s="4014"/>
      <c r="CB144" s="4015"/>
      <c r="CC144" s="4016"/>
      <c r="CD144" s="4017"/>
      <c r="CE144" s="4018"/>
      <c r="CF144" s="4019"/>
      <c r="CG144" s="4020"/>
      <c r="CH144" s="4021"/>
      <c r="CI144" s="4022"/>
      <c r="CJ144" s="4023"/>
      <c r="CK144" s="4024"/>
      <c r="CL144" s="4025"/>
      <c r="CM144" s="4026"/>
      <c r="CN144" s="4027"/>
      <c r="CO144" s="4028"/>
      <c r="CP144" s="4029"/>
      <c r="CQ144" s="4030"/>
      <c r="CR144" s="4031"/>
      <c r="CS144" s="4032"/>
      <c r="CT144" s="4033"/>
      <c r="CU144" s="4034"/>
      <c r="CV144" s="1182" t="s">
        <v>660</v>
      </c>
      <c r="CW144" s="1562"/>
      <c r="CX144" s="1544"/>
      <c r="CY144" s="1544" t="str">
        <f t="shared" si="2"/>
        <v>Добавить значение признака дифференциации</v>
      </c>
      <c r="CZ144" s="1544"/>
      <c r="DA144" s="1544"/>
    </row>
    <row r="145" spans="1:105" s="1827" customFormat="1" ht="21" customHeight="1">
      <c r="A145" s="1284"/>
      <c r="B145" s="1284"/>
      <c r="C145" s="1284"/>
      <c r="D145" s="1284"/>
      <c r="E145" s="7690" t="s">
        <v>90</v>
      </c>
      <c r="F145" s="7690"/>
      <c r="G145" s="7690"/>
      <c r="H145" s="7690"/>
      <c r="I145" s="7687"/>
      <c r="J145" s="1284"/>
      <c r="K145" s="1284"/>
      <c r="L145" s="1290"/>
      <c r="M145" s="1696"/>
      <c r="N145" s="1696"/>
      <c r="O145" s="1696"/>
      <c r="P145" s="7688"/>
      <c r="Q145" s="1816"/>
      <c r="R145" s="277"/>
      <c r="S145" s="4035"/>
      <c r="T145" s="4036" t="s">
        <v>588</v>
      </c>
      <c r="U145" s="4037"/>
      <c r="V145" s="4038"/>
      <c r="W145" s="4039"/>
      <c r="X145" s="4040"/>
      <c r="Y145" s="4041"/>
      <c r="Z145" s="4042"/>
      <c r="AA145" s="4043"/>
      <c r="AB145" s="4044"/>
      <c r="AC145" s="4045"/>
      <c r="AD145" s="4046"/>
      <c r="AE145" s="4047"/>
      <c r="AF145" s="4048"/>
      <c r="AG145" s="4049"/>
      <c r="AH145" s="4050"/>
      <c r="AI145" s="4051"/>
      <c r="AJ145" s="4052"/>
      <c r="AK145" s="4053"/>
      <c r="AL145" s="4054"/>
      <c r="AM145" s="4055"/>
      <c r="AN145" s="4056"/>
      <c r="AO145" s="4057"/>
      <c r="AP145" s="4058"/>
      <c r="AQ145" s="4059"/>
      <c r="AR145" s="4060"/>
      <c r="AS145" s="4061"/>
      <c r="AT145" s="4062"/>
      <c r="AU145" s="4063"/>
      <c r="AV145" s="4064"/>
      <c r="AW145" s="4065"/>
      <c r="AX145" s="4066"/>
      <c r="AY145" s="4067"/>
      <c r="AZ145" s="4068"/>
      <c r="BA145" s="4069"/>
      <c r="BB145" s="4070"/>
      <c r="BC145" s="4071"/>
      <c r="BD145" s="4072"/>
      <c r="BE145" s="4073"/>
      <c r="BF145" s="4074"/>
      <c r="BG145" s="4075"/>
      <c r="BH145" s="4076"/>
      <c r="BI145" s="4077"/>
      <c r="BJ145" s="4078"/>
      <c r="BK145" s="4079"/>
      <c r="BL145" s="4080"/>
      <c r="BM145" s="4081"/>
      <c r="BN145" s="4082"/>
      <c r="BO145" s="4083"/>
      <c r="BP145" s="4084"/>
      <c r="BQ145" s="4085"/>
      <c r="BR145" s="4086"/>
      <c r="BS145" s="4087"/>
      <c r="BT145" s="4088"/>
      <c r="BU145" s="4089"/>
      <c r="BV145" s="4090"/>
      <c r="BW145" s="4091"/>
      <c r="BX145" s="4092"/>
      <c r="BY145" s="4093"/>
      <c r="BZ145" s="4094"/>
      <c r="CA145" s="4095"/>
      <c r="CB145" s="4096"/>
      <c r="CC145" s="4097"/>
      <c r="CD145" s="4098"/>
      <c r="CE145" s="4099"/>
      <c r="CF145" s="4100"/>
      <c r="CG145" s="4101"/>
      <c r="CH145" s="4102"/>
      <c r="CI145" s="4103"/>
      <c r="CJ145" s="4104"/>
      <c r="CK145" s="4105"/>
      <c r="CL145" s="4106"/>
      <c r="CM145" s="4107"/>
      <c r="CN145" s="4108"/>
      <c r="CO145" s="4109"/>
      <c r="CP145" s="4110"/>
      <c r="CQ145" s="4111"/>
      <c r="CR145" s="4112"/>
      <c r="CS145" s="4113"/>
      <c r="CT145" s="4114"/>
      <c r="CU145" s="4115"/>
      <c r="CV145" s="4116"/>
      <c r="CW145" s="1562"/>
      <c r="CX145" s="1544"/>
      <c r="CY145" s="1544" t="str">
        <f t="shared" si="2"/>
        <v>Добавить группу потребителей</v>
      </c>
      <c r="CZ145" s="1544"/>
      <c r="DA145" s="1544"/>
    </row>
    <row r="146" spans="1:105" s="1827" customFormat="1" ht="14.25" customHeight="1">
      <c r="A146" s="1284"/>
      <c r="B146" s="1284"/>
      <c r="C146" s="1284"/>
      <c r="D146" s="1284"/>
      <c r="E146" s="7690" t="s">
        <v>90</v>
      </c>
      <c r="F146" s="7690"/>
      <c r="G146" s="7690"/>
      <c r="H146" s="7689"/>
      <c r="I146" s="1284"/>
      <c r="J146" s="1284"/>
      <c r="K146" s="1284"/>
      <c r="L146" s="1290"/>
      <c r="M146" s="1286"/>
      <c r="N146" s="1286"/>
      <c r="O146" s="1287"/>
      <c r="P146" s="1742"/>
      <c r="Q146" s="299"/>
      <c r="R146" s="276"/>
      <c r="S146" s="4117"/>
      <c r="T146" s="4118" t="s">
        <v>661</v>
      </c>
      <c r="U146" s="4119"/>
      <c r="V146" s="4120"/>
      <c r="W146" s="4121"/>
      <c r="X146" s="4122"/>
      <c r="Y146" s="4123"/>
      <c r="Z146" s="4124"/>
      <c r="AA146" s="4125"/>
      <c r="AB146" s="4126"/>
      <c r="AC146" s="4127"/>
      <c r="AD146" s="4128"/>
      <c r="AE146" s="4129"/>
      <c r="AF146" s="4130"/>
      <c r="AG146" s="4131"/>
      <c r="AH146" s="4132"/>
      <c r="AI146" s="4133"/>
      <c r="AJ146" s="4134"/>
      <c r="AK146" s="4135"/>
      <c r="AL146" s="4136"/>
      <c r="AM146" s="4137"/>
      <c r="AN146" s="4138"/>
      <c r="AO146" s="4139"/>
      <c r="AP146" s="4140"/>
      <c r="AQ146" s="4141"/>
      <c r="AR146" s="4142"/>
      <c r="AS146" s="4143"/>
      <c r="AT146" s="4144"/>
      <c r="AU146" s="4145"/>
      <c r="AV146" s="4146"/>
      <c r="AW146" s="4147"/>
      <c r="AX146" s="4148"/>
      <c r="AY146" s="4149"/>
      <c r="AZ146" s="4150"/>
      <c r="BA146" s="4151"/>
      <c r="BB146" s="4152"/>
      <c r="BC146" s="4153"/>
      <c r="BD146" s="4154"/>
      <c r="BE146" s="4155"/>
      <c r="BF146" s="4156"/>
      <c r="BG146" s="4157"/>
      <c r="BH146" s="4158"/>
      <c r="BI146" s="4159"/>
      <c r="BJ146" s="4160"/>
      <c r="BK146" s="4161"/>
      <c r="BL146" s="4162"/>
      <c r="BM146" s="4163"/>
      <c r="BN146" s="4164"/>
      <c r="BO146" s="4165"/>
      <c r="BP146" s="4166"/>
      <c r="BQ146" s="4167"/>
      <c r="BR146" s="4168"/>
      <c r="BS146" s="4169"/>
      <c r="BT146" s="4170"/>
      <c r="BU146" s="4171"/>
      <c r="BV146" s="4172"/>
      <c r="BW146" s="4173"/>
      <c r="BX146" s="4174"/>
      <c r="BY146" s="4175"/>
      <c r="BZ146" s="4176"/>
      <c r="CA146" s="4177"/>
      <c r="CB146" s="4178"/>
      <c r="CC146" s="4179"/>
      <c r="CD146" s="4180"/>
      <c r="CE146" s="4181"/>
      <c r="CF146" s="4182"/>
      <c r="CG146" s="4183"/>
      <c r="CH146" s="4184"/>
      <c r="CI146" s="4185"/>
      <c r="CJ146" s="4186"/>
      <c r="CK146" s="4187"/>
      <c r="CL146" s="4188"/>
      <c r="CM146" s="4189"/>
      <c r="CN146" s="4190"/>
      <c r="CO146" s="4191"/>
      <c r="CP146" s="4192"/>
      <c r="CQ146" s="4193"/>
      <c r="CR146" s="4194"/>
      <c r="CS146" s="4195"/>
      <c r="CT146" s="4196"/>
      <c r="CU146" s="4197"/>
      <c r="CV146" s="4198"/>
      <c r="CW146" s="1562"/>
      <c r="CX146" s="1544"/>
      <c r="CY146" s="1544" t="str">
        <f t="shared" si="2"/>
        <v>Добавить наименование признака дифференциации</v>
      </c>
      <c r="CZ146" s="1544"/>
      <c r="DA146" s="1544"/>
    </row>
    <row r="147" spans="1:105" s="541" customFormat="1" ht="14.25" customHeight="1">
      <c r="A147" s="1265"/>
      <c r="B147" s="1265"/>
      <c r="C147" s="1265"/>
      <c r="D147" s="1265"/>
      <c r="E147" s="7690" t="s">
        <v>90</v>
      </c>
      <c r="F147" s="7689"/>
      <c r="G147" s="1265"/>
      <c r="H147" s="1265"/>
      <c r="I147" s="1265"/>
      <c r="J147" s="1265"/>
      <c r="K147" s="1265"/>
      <c r="L147" s="1466"/>
      <c r="M147" s="1244"/>
      <c r="N147" s="1244"/>
      <c r="O147" s="1562"/>
      <c r="P147" s="1239"/>
      <c r="Q147" s="1266"/>
      <c r="R147" s="1239"/>
      <c r="S147" s="1245"/>
      <c r="T147" s="1248" t="s">
        <v>325</v>
      </c>
      <c r="U147" s="1247"/>
      <c r="V147" s="1247"/>
      <c r="W147" s="1247"/>
      <c r="X147" s="1247"/>
      <c r="Y147" s="1247"/>
      <c r="Z147" s="1247"/>
      <c r="AA147" s="1247"/>
      <c r="AB147" s="1247"/>
      <c r="AC147" s="1247"/>
      <c r="AD147" s="1247"/>
      <c r="AE147" s="1247"/>
      <c r="AF147" s="1247"/>
      <c r="AG147" s="1247"/>
      <c r="AH147" s="1247"/>
      <c r="AI147" s="1247"/>
      <c r="AJ147" s="1247"/>
      <c r="AK147" s="1247"/>
      <c r="AL147" s="1247"/>
      <c r="AM147" s="1247"/>
      <c r="AN147" s="1247"/>
      <c r="AO147" s="1247"/>
      <c r="AP147" s="1247"/>
      <c r="AQ147" s="1247"/>
      <c r="AR147" s="1247"/>
      <c r="AS147" s="1247"/>
      <c r="AT147" s="1247"/>
      <c r="AU147" s="1247"/>
      <c r="AV147" s="1247"/>
      <c r="AW147" s="1247"/>
      <c r="AX147" s="1247"/>
      <c r="AY147" s="1247"/>
      <c r="AZ147" s="1247"/>
      <c r="BA147" s="1247"/>
      <c r="BB147" s="1247"/>
      <c r="BC147" s="1247"/>
      <c r="BD147" s="1247"/>
      <c r="BE147" s="1247"/>
      <c r="BF147" s="1247"/>
      <c r="BG147" s="1247"/>
      <c r="BH147" s="1247"/>
      <c r="BI147" s="1247"/>
      <c r="BJ147" s="1247"/>
      <c r="BK147" s="1247"/>
      <c r="BL147" s="1247"/>
      <c r="BM147" s="1247"/>
      <c r="BN147" s="1247"/>
      <c r="BO147" s="1247"/>
      <c r="BP147" s="1247"/>
      <c r="BQ147" s="1247"/>
      <c r="BR147" s="1247"/>
      <c r="BS147" s="1247"/>
      <c r="BT147" s="1247"/>
      <c r="BU147" s="1247"/>
      <c r="BV147" s="1247"/>
      <c r="BW147" s="1247"/>
      <c r="BX147" s="1247"/>
      <c r="BY147" s="1247"/>
      <c r="BZ147" s="1247"/>
      <c r="CA147" s="1247"/>
      <c r="CB147" s="1247"/>
      <c r="CC147" s="1247"/>
      <c r="CD147" s="1247"/>
      <c r="CE147" s="1247"/>
      <c r="CF147" s="1247"/>
      <c r="CG147" s="1247"/>
      <c r="CH147" s="1247"/>
      <c r="CI147" s="1247"/>
      <c r="CJ147" s="1247"/>
      <c r="CK147" s="1247"/>
      <c r="CL147" s="1247"/>
      <c r="CM147" s="1247"/>
      <c r="CN147" s="1247"/>
      <c r="CO147" s="1247"/>
      <c r="CP147" s="1247"/>
      <c r="CQ147" s="1247"/>
      <c r="CR147" s="1247"/>
      <c r="CS147" s="1247"/>
      <c r="CT147" s="1247"/>
      <c r="CU147" s="1247"/>
      <c r="CV147" s="1247"/>
      <c r="CW147" s="1562"/>
      <c r="CX147" s="1544"/>
      <c r="CY147" s="1544" t="str">
        <f t="shared" si="2"/>
        <v>Добавить централизованную систему для дифференциации</v>
      </c>
      <c r="CZ147" s="1544"/>
      <c r="DA147" s="1544"/>
    </row>
    <row r="148" spans="1:105" s="541" customFormat="1" ht="14.25" customHeight="1">
      <c r="A148" s="1265"/>
      <c r="B148" s="1265"/>
      <c r="C148" s="1265"/>
      <c r="D148" s="1265"/>
      <c r="E148" s="7689" t="s">
        <v>90</v>
      </c>
      <c r="F148" s="1265"/>
      <c r="G148" s="1265"/>
      <c r="H148" s="1265"/>
      <c r="I148" s="1265"/>
      <c r="J148" s="1265"/>
      <c r="K148" s="1265"/>
      <c r="L148" s="1466"/>
      <c r="M148" s="1244"/>
      <c r="N148" s="1244"/>
      <c r="O148" s="1562"/>
      <c r="P148" s="1239"/>
      <c r="Q148" s="1266"/>
      <c r="R148" s="1239"/>
      <c r="S148" s="1245"/>
      <c r="T148" s="1248" t="s">
        <v>326</v>
      </c>
      <c r="U148" s="1247"/>
      <c r="V148" s="1247"/>
      <c r="W148" s="1247"/>
      <c r="X148" s="1247"/>
      <c r="Y148" s="1247"/>
      <c r="Z148" s="1247"/>
      <c r="AA148" s="1247"/>
      <c r="AB148" s="1247"/>
      <c r="AC148" s="1247"/>
      <c r="AD148" s="1247"/>
      <c r="AE148" s="1247"/>
      <c r="AF148" s="1247"/>
      <c r="AG148" s="1247"/>
      <c r="AH148" s="1247"/>
      <c r="AI148" s="1247"/>
      <c r="AJ148" s="1247"/>
      <c r="AK148" s="1247"/>
      <c r="AL148" s="1247"/>
      <c r="AM148" s="1247"/>
      <c r="AN148" s="1247"/>
      <c r="AO148" s="1247"/>
      <c r="AP148" s="1247"/>
      <c r="AQ148" s="1247"/>
      <c r="AR148" s="1247"/>
      <c r="AS148" s="1247"/>
      <c r="AT148" s="1247"/>
      <c r="AU148" s="1247"/>
      <c r="AV148" s="1247"/>
      <c r="AW148" s="1247"/>
      <c r="AX148" s="1247"/>
      <c r="AY148" s="1247"/>
      <c r="AZ148" s="1247"/>
      <c r="BA148" s="1247"/>
      <c r="BB148" s="1247"/>
      <c r="BC148" s="1247"/>
      <c r="BD148" s="1247"/>
      <c r="BE148" s="1247"/>
      <c r="BF148" s="1247"/>
      <c r="BG148" s="1247"/>
      <c r="BH148" s="1247"/>
      <c r="BI148" s="1247"/>
      <c r="BJ148" s="1247"/>
      <c r="BK148" s="1247"/>
      <c r="BL148" s="1247"/>
      <c r="BM148" s="1247"/>
      <c r="BN148" s="1247"/>
      <c r="BO148" s="1247"/>
      <c r="BP148" s="1247"/>
      <c r="BQ148" s="1247"/>
      <c r="BR148" s="1247"/>
      <c r="BS148" s="1247"/>
      <c r="BT148" s="1247"/>
      <c r="BU148" s="1247"/>
      <c r="BV148" s="1247"/>
      <c r="BW148" s="1247"/>
      <c r="BX148" s="1247"/>
      <c r="BY148" s="1247"/>
      <c r="BZ148" s="1247"/>
      <c r="CA148" s="1247"/>
      <c r="CB148" s="1247"/>
      <c r="CC148" s="1247"/>
      <c r="CD148" s="1247"/>
      <c r="CE148" s="1247"/>
      <c r="CF148" s="1247"/>
      <c r="CG148" s="1247"/>
      <c r="CH148" s="1247"/>
      <c r="CI148" s="1247"/>
      <c r="CJ148" s="1247"/>
      <c r="CK148" s="1247"/>
      <c r="CL148" s="1247"/>
      <c r="CM148" s="1247"/>
      <c r="CN148" s="1247"/>
      <c r="CO148" s="1247"/>
      <c r="CP148" s="1247"/>
      <c r="CQ148" s="1247"/>
      <c r="CR148" s="1247"/>
      <c r="CS148" s="1247"/>
      <c r="CT148" s="1247"/>
      <c r="CU148" s="1247"/>
      <c r="CV148" s="1247"/>
      <c r="CW148" s="1562"/>
      <c r="CX148" s="1544"/>
      <c r="CY148" s="1544" t="str">
        <f t="shared" si="2"/>
        <v>Добавить территорию для дифференциации</v>
      </c>
      <c r="CZ148" s="1544"/>
      <c r="DA148" s="1544"/>
    </row>
    <row r="149" spans="1:105" s="1827" customFormat="1" ht="23.25" customHeight="1">
      <c r="A149" s="1284" t="s">
        <v>358</v>
      </c>
      <c r="B149" s="1284"/>
      <c r="C149" s="1284"/>
      <c r="D149" s="1284"/>
      <c r="E149" s="7689" t="s">
        <v>121</v>
      </c>
      <c r="F149" s="1284"/>
      <c r="G149" s="1284"/>
      <c r="H149" s="1284"/>
      <c r="I149" s="1284"/>
      <c r="J149" s="1284"/>
      <c r="K149" s="1284"/>
      <c r="L149" s="1290"/>
      <c r="M149" s="1286"/>
      <c r="N149" s="1286"/>
      <c r="O149" s="1286"/>
      <c r="P149" s="1817"/>
      <c r="Q149" s="1742"/>
      <c r="R149" s="276"/>
      <c r="S149" s="1813" t="str">
        <f>INDEX(PT_DIFFERENTIATION_NUM_NTAR,MATCH(A149,PT_DIFFERENTIATION_NTAR_ID,0))</f>
        <v>8</v>
      </c>
      <c r="T149" s="1440" t="s">
        <v>237</v>
      </c>
      <c r="U149" s="214"/>
      <c r="V149" s="7675"/>
      <c r="W149" s="7676"/>
      <c r="X149" s="7676"/>
      <c r="Y149" s="7676"/>
      <c r="Z149" s="7676"/>
      <c r="AA149" s="7676"/>
      <c r="AB149" s="7677"/>
      <c r="AC149" s="7675" t="str">
        <f>INDEX(PT_DIFFERENTIATION_NTAR,MATCH(A149,PT_DIFFERENTIATION_NTAR_ID,0))</f>
        <v xml:space="preserve">Тарифы на питьевую воду для потребителей, присоединенных к централизованным системам водоснабжения села Кара-Тюбе и аула Бияш Нефтекумского муниципального округа </v>
      </c>
      <c r="AD149" s="7676"/>
      <c r="AE149" s="7676"/>
      <c r="AF149" s="7676"/>
      <c r="AG149" s="7676"/>
      <c r="AH149" s="7676"/>
      <c r="AI149" s="7676"/>
      <c r="AJ149" s="7675"/>
      <c r="AK149" s="7676"/>
      <c r="AL149" s="7676"/>
      <c r="AM149" s="7676"/>
      <c r="AN149" s="7676"/>
      <c r="AO149" s="7676"/>
      <c r="AP149" s="7677"/>
      <c r="AQ149" s="7675"/>
      <c r="AR149" s="7676"/>
      <c r="AS149" s="7676"/>
      <c r="AT149" s="7676"/>
      <c r="AU149" s="7676"/>
      <c r="AV149" s="7676"/>
      <c r="AW149" s="7677"/>
      <c r="AX149" s="7675"/>
      <c r="AY149" s="7676"/>
      <c r="AZ149" s="7676"/>
      <c r="BA149" s="7676"/>
      <c r="BB149" s="7676"/>
      <c r="BC149" s="7676"/>
      <c r="BD149" s="7677"/>
      <c r="BE149" s="7675"/>
      <c r="BF149" s="7676"/>
      <c r="BG149" s="7676"/>
      <c r="BH149" s="7676"/>
      <c r="BI149" s="7676"/>
      <c r="BJ149" s="7676"/>
      <c r="BK149" s="7677"/>
      <c r="BL149" s="7675"/>
      <c r="BM149" s="7676"/>
      <c r="BN149" s="7676"/>
      <c r="BO149" s="7676"/>
      <c r="BP149" s="7676"/>
      <c r="BQ149" s="7676"/>
      <c r="BR149" s="7677"/>
      <c r="BS149" s="7675"/>
      <c r="BT149" s="7676"/>
      <c r="BU149" s="7676"/>
      <c r="BV149" s="7676"/>
      <c r="BW149" s="7676"/>
      <c r="BX149" s="7676"/>
      <c r="BY149" s="7677"/>
      <c r="BZ149" s="7675"/>
      <c r="CA149" s="7676"/>
      <c r="CB149" s="7676"/>
      <c r="CC149" s="7676"/>
      <c r="CD149" s="7676"/>
      <c r="CE149" s="7676"/>
      <c r="CF149" s="7677"/>
      <c r="CG149" s="7675"/>
      <c r="CH149" s="7676"/>
      <c r="CI149" s="7676"/>
      <c r="CJ149" s="7676"/>
      <c r="CK149" s="7676"/>
      <c r="CL149" s="7676"/>
      <c r="CM149" s="7677"/>
      <c r="CN149" s="7675"/>
      <c r="CO149" s="7676"/>
      <c r="CP149" s="7676"/>
      <c r="CQ149" s="7676"/>
      <c r="CR149" s="7676"/>
      <c r="CS149" s="7676"/>
      <c r="CT149" s="7677"/>
      <c r="CU149" s="7677"/>
      <c r="CV14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149" s="1562"/>
      <c r="CX149" s="1544"/>
      <c r="CY149" s="1544" t="str">
        <f t="shared" si="2"/>
        <v>Наименование тарифа</v>
      </c>
      <c r="CZ149" s="1544"/>
      <c r="DA149" s="1544"/>
    </row>
    <row r="150" spans="1:105" s="1827" customFormat="1" ht="23.25" customHeight="1">
      <c r="A150" s="1284"/>
      <c r="B150" s="1284" t="s">
        <v>359</v>
      </c>
      <c r="C150" s="1284"/>
      <c r="D150" s="1284"/>
      <c r="E150" s="7690" t="s">
        <v>91</v>
      </c>
      <c r="F150" s="7689">
        <v>1</v>
      </c>
      <c r="G150" s="1284"/>
      <c r="H150" s="1284"/>
      <c r="I150" s="1284"/>
      <c r="J150" s="1284"/>
      <c r="K150" s="1284"/>
      <c r="L150" s="1290"/>
      <c r="M150" s="1286"/>
      <c r="N150" s="1286"/>
      <c r="O150" s="1286"/>
      <c r="P150" s="1807"/>
      <c r="Q150" s="273"/>
      <c r="R150" s="274"/>
      <c r="S150" s="1813" t="str">
        <f>INDEX(PT_DIFFERENTIATION_NUM_TER,MATCH(B150,PT_DIFFERENTIATION_TER_ID,0))</f>
        <v>8.1</v>
      </c>
      <c r="T150" s="1437" t="s">
        <v>573</v>
      </c>
      <c r="U150" s="214"/>
      <c r="V150" s="7675"/>
      <c r="W150" s="7676"/>
      <c r="X150" s="7676"/>
      <c r="Y150" s="7676"/>
      <c r="Z150" s="7676"/>
      <c r="AA150" s="7676"/>
      <c r="AB150" s="7677"/>
      <c r="AC150" s="7675" t="str">
        <f>INDEX(PT_DIFFERENTIATION_TER,MATCH(B150,PT_DIFFERENTIATION_TER_ID,0))</f>
        <v>Территория 5</v>
      </c>
      <c r="AD150" s="7676"/>
      <c r="AE150" s="7676"/>
      <c r="AF150" s="7676"/>
      <c r="AG150" s="7676"/>
      <c r="AH150" s="7676"/>
      <c r="AI150" s="7676"/>
      <c r="AJ150" s="7675"/>
      <c r="AK150" s="7676"/>
      <c r="AL150" s="7676"/>
      <c r="AM150" s="7676"/>
      <c r="AN150" s="7676"/>
      <c r="AO150" s="7676"/>
      <c r="AP150" s="7677"/>
      <c r="AQ150" s="7675"/>
      <c r="AR150" s="7676"/>
      <c r="AS150" s="7676"/>
      <c r="AT150" s="7676"/>
      <c r="AU150" s="7676"/>
      <c r="AV150" s="7676"/>
      <c r="AW150" s="7677"/>
      <c r="AX150" s="7675"/>
      <c r="AY150" s="7676"/>
      <c r="AZ150" s="7676"/>
      <c r="BA150" s="7676"/>
      <c r="BB150" s="7676"/>
      <c r="BC150" s="7676"/>
      <c r="BD150" s="7677"/>
      <c r="BE150" s="7675"/>
      <c r="BF150" s="7676"/>
      <c r="BG150" s="7676"/>
      <c r="BH150" s="7676"/>
      <c r="BI150" s="7676"/>
      <c r="BJ150" s="7676"/>
      <c r="BK150" s="7677"/>
      <c r="BL150" s="7675"/>
      <c r="BM150" s="7676"/>
      <c r="BN150" s="7676"/>
      <c r="BO150" s="7676"/>
      <c r="BP150" s="7676"/>
      <c r="BQ150" s="7676"/>
      <c r="BR150" s="7677"/>
      <c r="BS150" s="7675"/>
      <c r="BT150" s="7676"/>
      <c r="BU150" s="7676"/>
      <c r="BV150" s="7676"/>
      <c r="BW150" s="7676"/>
      <c r="BX150" s="7676"/>
      <c r="BY150" s="7677"/>
      <c r="BZ150" s="7675"/>
      <c r="CA150" s="7676"/>
      <c r="CB150" s="7676"/>
      <c r="CC150" s="7676"/>
      <c r="CD150" s="7676"/>
      <c r="CE150" s="7676"/>
      <c r="CF150" s="7677"/>
      <c r="CG150" s="7675"/>
      <c r="CH150" s="7676"/>
      <c r="CI150" s="7676"/>
      <c r="CJ150" s="7676"/>
      <c r="CK150" s="7676"/>
      <c r="CL150" s="7676"/>
      <c r="CM150" s="7677"/>
      <c r="CN150" s="7675"/>
      <c r="CO150" s="7676"/>
      <c r="CP150" s="7676"/>
      <c r="CQ150" s="7676"/>
      <c r="CR150" s="7676"/>
      <c r="CS150" s="7676"/>
      <c r="CT150" s="7677"/>
      <c r="CU150" s="7677"/>
      <c r="CV150" s="1182" t="s">
        <v>574</v>
      </c>
      <c r="CW150" s="1562"/>
      <c r="CX150" s="1544"/>
      <c r="CY150" s="1544" t="str">
        <f t="shared" si="2"/>
        <v>Территория действия тарифа</v>
      </c>
      <c r="CZ150" s="1544"/>
      <c r="DA150" s="1544"/>
    </row>
    <row r="151" spans="1:105" s="1827" customFormat="1" ht="23.25" customHeight="1">
      <c r="A151" s="1284"/>
      <c r="B151" s="1284"/>
      <c r="C151" s="1284" t="s">
        <v>360</v>
      </c>
      <c r="D151" s="1284"/>
      <c r="E151" s="7690" t="s">
        <v>91</v>
      </c>
      <c r="F151" s="7690"/>
      <c r="G151" s="7689">
        <v>1</v>
      </c>
      <c r="H151" s="1284"/>
      <c r="I151" s="1284"/>
      <c r="J151" s="1284"/>
      <c r="K151" s="1284"/>
      <c r="L151" s="1290"/>
      <c r="M151" s="1286"/>
      <c r="N151" s="1286"/>
      <c r="O151" s="1286"/>
      <c r="P151" s="275"/>
      <c r="Q151" s="273"/>
      <c r="R151" s="274"/>
      <c r="S151" s="1813" t="str">
        <f>INDEX(PT_DIFFERENTIATION_NUM_CS,MATCH(C151,PT_DIFFERENTIATION_CS_ID,0))</f>
        <v>8.1.1</v>
      </c>
      <c r="T151" s="225" t="s">
        <v>654</v>
      </c>
      <c r="U151" s="214"/>
      <c r="V151" s="7675"/>
      <c r="W151" s="7676"/>
      <c r="X151" s="7676"/>
      <c r="Y151" s="7676"/>
      <c r="Z151" s="7676"/>
      <c r="AA151" s="7676"/>
      <c r="AB151" s="7677"/>
      <c r="AC151" s="7675" t="str">
        <f>INDEX(PT_DIFFERENTIATION_CS,MATCH(C151,PT_DIFFERENTIATION_CS_ID,0))</f>
        <v>без дифференциации</v>
      </c>
      <c r="AD151" s="7676"/>
      <c r="AE151" s="7676"/>
      <c r="AF151" s="7676"/>
      <c r="AG151" s="7676"/>
      <c r="AH151" s="7676"/>
      <c r="AI151" s="7676"/>
      <c r="AJ151" s="7675"/>
      <c r="AK151" s="7676"/>
      <c r="AL151" s="7676"/>
      <c r="AM151" s="7676"/>
      <c r="AN151" s="7676"/>
      <c r="AO151" s="7676"/>
      <c r="AP151" s="7677"/>
      <c r="AQ151" s="7675"/>
      <c r="AR151" s="7676"/>
      <c r="AS151" s="7676"/>
      <c r="AT151" s="7676"/>
      <c r="AU151" s="7676"/>
      <c r="AV151" s="7676"/>
      <c r="AW151" s="7677"/>
      <c r="AX151" s="7675"/>
      <c r="AY151" s="7676"/>
      <c r="AZ151" s="7676"/>
      <c r="BA151" s="7676"/>
      <c r="BB151" s="7676"/>
      <c r="BC151" s="7676"/>
      <c r="BD151" s="7677"/>
      <c r="BE151" s="7675"/>
      <c r="BF151" s="7676"/>
      <c r="BG151" s="7676"/>
      <c r="BH151" s="7676"/>
      <c r="BI151" s="7676"/>
      <c r="BJ151" s="7676"/>
      <c r="BK151" s="7677"/>
      <c r="BL151" s="7675"/>
      <c r="BM151" s="7676"/>
      <c r="BN151" s="7676"/>
      <c r="BO151" s="7676"/>
      <c r="BP151" s="7676"/>
      <c r="BQ151" s="7676"/>
      <c r="BR151" s="7677"/>
      <c r="BS151" s="7675"/>
      <c r="BT151" s="7676"/>
      <c r="BU151" s="7676"/>
      <c r="BV151" s="7676"/>
      <c r="BW151" s="7676"/>
      <c r="BX151" s="7676"/>
      <c r="BY151" s="7677"/>
      <c r="BZ151" s="7675"/>
      <c r="CA151" s="7676"/>
      <c r="CB151" s="7676"/>
      <c r="CC151" s="7676"/>
      <c r="CD151" s="7676"/>
      <c r="CE151" s="7676"/>
      <c r="CF151" s="7677"/>
      <c r="CG151" s="7675"/>
      <c r="CH151" s="7676"/>
      <c r="CI151" s="7676"/>
      <c r="CJ151" s="7676"/>
      <c r="CK151" s="7676"/>
      <c r="CL151" s="7676"/>
      <c r="CM151" s="7677"/>
      <c r="CN151" s="7675"/>
      <c r="CO151" s="7676"/>
      <c r="CP151" s="7676"/>
      <c r="CQ151" s="7676"/>
      <c r="CR151" s="7676"/>
      <c r="CS151" s="7676"/>
      <c r="CT151" s="7677"/>
      <c r="CU151" s="7677"/>
      <c r="CV151" s="1182" t="s">
        <v>655</v>
      </c>
      <c r="CW151" s="1562"/>
      <c r="CX151" s="1544"/>
      <c r="CY151" s="1544" t="str">
        <f t="shared" si="2"/>
        <v>Наименование централизованной системы холодного водоснабжения</v>
      </c>
      <c r="CZ151" s="1544"/>
      <c r="DA151" s="1544"/>
    </row>
    <row r="152" spans="1:105" s="1827" customFormat="1" ht="23.25" customHeight="1">
      <c r="A152" s="1284"/>
      <c r="B152" s="1284"/>
      <c r="C152" s="1284"/>
      <c r="D152" s="1284"/>
      <c r="E152" s="7690" t="s">
        <v>91</v>
      </c>
      <c r="F152" s="7690"/>
      <c r="G152" s="7690"/>
      <c r="H152" s="7690"/>
      <c r="I152" s="7687" t="str">
        <f>S151&amp;".1"</f>
        <v>8.1.1.1</v>
      </c>
      <c r="J152" s="1284"/>
      <c r="K152" s="1284"/>
      <c r="L152" s="1290"/>
      <c r="M152" s="1696"/>
      <c r="N152" s="1696"/>
      <c r="O152" s="1696"/>
      <c r="P152" s="7688">
        <v>1</v>
      </c>
      <c r="Q152" s="1816"/>
      <c r="R152" s="277"/>
      <c r="S152" s="1813" t="str">
        <f>$I152</f>
        <v>8.1.1.1</v>
      </c>
      <c r="T152" s="200" t="s">
        <v>656</v>
      </c>
      <c r="U152" s="214"/>
      <c r="V152" s="7748"/>
      <c r="W152" s="7749"/>
      <c r="X152" s="7749"/>
      <c r="Y152" s="7749"/>
      <c r="Z152" s="7749"/>
      <c r="AA152" s="7749"/>
      <c r="AB152" s="7750"/>
      <c r="AC152" s="7751"/>
      <c r="AD152" s="7752"/>
      <c r="AE152" s="7752"/>
      <c r="AF152" s="7752"/>
      <c r="AG152" s="7752"/>
      <c r="AH152" s="7752"/>
      <c r="AI152" s="7752"/>
      <c r="AJ152" s="7748"/>
      <c r="AK152" s="7749"/>
      <c r="AL152" s="7749"/>
      <c r="AM152" s="7749"/>
      <c r="AN152" s="7749"/>
      <c r="AO152" s="7749"/>
      <c r="AP152" s="7750"/>
      <c r="AQ152" s="7748"/>
      <c r="AR152" s="7749"/>
      <c r="AS152" s="7749"/>
      <c r="AT152" s="7749"/>
      <c r="AU152" s="7749"/>
      <c r="AV152" s="7749"/>
      <c r="AW152" s="7750"/>
      <c r="AX152" s="7748"/>
      <c r="AY152" s="7749"/>
      <c r="AZ152" s="7749"/>
      <c r="BA152" s="7749"/>
      <c r="BB152" s="7749"/>
      <c r="BC152" s="7749"/>
      <c r="BD152" s="7750"/>
      <c r="BE152" s="7748"/>
      <c r="BF152" s="7749"/>
      <c r="BG152" s="7749"/>
      <c r="BH152" s="7749"/>
      <c r="BI152" s="7749"/>
      <c r="BJ152" s="7749"/>
      <c r="BK152" s="7750"/>
      <c r="BL152" s="7748"/>
      <c r="BM152" s="7749"/>
      <c r="BN152" s="7749"/>
      <c r="BO152" s="7749"/>
      <c r="BP152" s="7749"/>
      <c r="BQ152" s="7749"/>
      <c r="BR152" s="7750"/>
      <c r="BS152" s="7748"/>
      <c r="BT152" s="7749"/>
      <c r="BU152" s="7749"/>
      <c r="BV152" s="7749"/>
      <c r="BW152" s="7749"/>
      <c r="BX152" s="7749"/>
      <c r="BY152" s="7750"/>
      <c r="BZ152" s="7748"/>
      <c r="CA152" s="7749"/>
      <c r="CB152" s="7749"/>
      <c r="CC152" s="7749"/>
      <c r="CD152" s="7749"/>
      <c r="CE152" s="7749"/>
      <c r="CF152" s="7750"/>
      <c r="CG152" s="7748"/>
      <c r="CH152" s="7749"/>
      <c r="CI152" s="7749"/>
      <c r="CJ152" s="7749"/>
      <c r="CK152" s="7749"/>
      <c r="CL152" s="7749"/>
      <c r="CM152" s="7750"/>
      <c r="CN152" s="7748"/>
      <c r="CO152" s="7749"/>
      <c r="CP152" s="7749"/>
      <c r="CQ152" s="7749"/>
      <c r="CR152" s="7749"/>
      <c r="CS152" s="7749"/>
      <c r="CT152" s="7750"/>
      <c r="CU152" s="7753"/>
      <c r="CV152" s="1182" t="s">
        <v>657</v>
      </c>
      <c r="CW152" s="1562"/>
      <c r="CX152" s="1544"/>
      <c r="CY152" s="1544" t="str">
        <f t="shared" si="2"/>
        <v>Наименование признака дифференциации</v>
      </c>
      <c r="CZ152" s="1544"/>
      <c r="DA152" s="1544"/>
    </row>
    <row r="153" spans="1:105" s="1827" customFormat="1" ht="23.25" customHeight="1">
      <c r="A153" s="1284"/>
      <c r="B153" s="1284"/>
      <c r="C153" s="1284"/>
      <c r="D153" s="1284"/>
      <c r="E153" s="7690" t="s">
        <v>91</v>
      </c>
      <c r="F153" s="7690"/>
      <c r="G153" s="7690"/>
      <c r="H153" s="7690"/>
      <c r="I153" s="7710"/>
      <c r="J153" s="7687" t="str">
        <f>I152&amp;".1"</f>
        <v>8.1.1.1.1</v>
      </c>
      <c r="K153" s="1284"/>
      <c r="L153" s="1290" t="s">
        <v>582</v>
      </c>
      <c r="M153" s="1696"/>
      <c r="N153" s="1696"/>
      <c r="O153" s="1696"/>
      <c r="P153" s="7688"/>
      <c r="Q153" s="7688">
        <v>1</v>
      </c>
      <c r="R153" s="278"/>
      <c r="S153" s="1813" t="str">
        <f>$J153</f>
        <v>8.1.1.1.1</v>
      </c>
      <c r="T153" s="201" t="s">
        <v>583</v>
      </c>
      <c r="U153" s="214"/>
      <c r="V153" s="7678"/>
      <c r="W153" s="7679"/>
      <c r="X153" s="7679"/>
      <c r="Y153" s="7679"/>
      <c r="Z153" s="7679"/>
      <c r="AA153" s="7679"/>
      <c r="AB153" s="7680"/>
      <c r="AC153" s="7678" t="s">
        <v>671</v>
      </c>
      <c r="AD153" s="7679"/>
      <c r="AE153" s="7679"/>
      <c r="AF153" s="7679"/>
      <c r="AG153" s="7679"/>
      <c r="AH153" s="7679"/>
      <c r="AI153" s="7679"/>
      <c r="AJ153" s="7678"/>
      <c r="AK153" s="7679"/>
      <c r="AL153" s="7679"/>
      <c r="AM153" s="7679"/>
      <c r="AN153" s="7679"/>
      <c r="AO153" s="7679"/>
      <c r="AP153" s="7680"/>
      <c r="AQ153" s="7678"/>
      <c r="AR153" s="7679"/>
      <c r="AS153" s="7679"/>
      <c r="AT153" s="7679"/>
      <c r="AU153" s="7679"/>
      <c r="AV153" s="7679"/>
      <c r="AW153" s="7680"/>
      <c r="AX153" s="7678"/>
      <c r="AY153" s="7679"/>
      <c r="AZ153" s="7679"/>
      <c r="BA153" s="7679"/>
      <c r="BB153" s="7679"/>
      <c r="BC153" s="7679"/>
      <c r="BD153" s="7680"/>
      <c r="BE153" s="7678"/>
      <c r="BF153" s="7679"/>
      <c r="BG153" s="7679"/>
      <c r="BH153" s="7679"/>
      <c r="BI153" s="7679"/>
      <c r="BJ153" s="7679"/>
      <c r="BK153" s="7680"/>
      <c r="BL153" s="7678"/>
      <c r="BM153" s="7679"/>
      <c r="BN153" s="7679"/>
      <c r="BO153" s="7679"/>
      <c r="BP153" s="7679"/>
      <c r="BQ153" s="7679"/>
      <c r="BR153" s="7680"/>
      <c r="BS153" s="7678"/>
      <c r="BT153" s="7679"/>
      <c r="BU153" s="7679"/>
      <c r="BV153" s="7679"/>
      <c r="BW153" s="7679"/>
      <c r="BX153" s="7679"/>
      <c r="BY153" s="7680"/>
      <c r="BZ153" s="7678"/>
      <c r="CA153" s="7679"/>
      <c r="CB153" s="7679"/>
      <c r="CC153" s="7679"/>
      <c r="CD153" s="7679"/>
      <c r="CE153" s="7679"/>
      <c r="CF153" s="7680"/>
      <c r="CG153" s="7678"/>
      <c r="CH153" s="7679"/>
      <c r="CI153" s="7679"/>
      <c r="CJ153" s="7679"/>
      <c r="CK153" s="7679"/>
      <c r="CL153" s="7679"/>
      <c r="CM153" s="7680"/>
      <c r="CN153" s="7678"/>
      <c r="CO153" s="7679"/>
      <c r="CP153" s="7679"/>
      <c r="CQ153" s="7679"/>
      <c r="CR153" s="7679"/>
      <c r="CS153" s="7679"/>
      <c r="CT153" s="7680"/>
      <c r="CU153" s="7680"/>
      <c r="CV153" s="1231" t="s">
        <v>658</v>
      </c>
      <c r="CW153" s="1562"/>
      <c r="CX153" s="1544"/>
      <c r="CY153" s="1544" t="str">
        <f t="shared" si="2"/>
        <v>Группа потребителей</v>
      </c>
      <c r="CZ153" s="1544"/>
      <c r="DA153" s="1544"/>
    </row>
    <row r="154" spans="1:105" s="1827" customFormat="1" ht="23.25" customHeight="1">
      <c r="A154" s="1284"/>
      <c r="B154" s="1284"/>
      <c r="C154" s="1284"/>
      <c r="D154" s="1284"/>
      <c r="E154" s="7690" t="s">
        <v>91</v>
      </c>
      <c r="F154" s="7690"/>
      <c r="G154" s="7690"/>
      <c r="H154" s="7690"/>
      <c r="I154" s="7710"/>
      <c r="J154" s="7710"/>
      <c r="K154" s="7687" t="str">
        <f>J153&amp;".1"</f>
        <v>8.1.1.1.1.1</v>
      </c>
      <c r="L154" s="1290"/>
      <c r="M154" s="1696"/>
      <c r="N154" s="1696"/>
      <c r="O154" s="1696"/>
      <c r="P154" s="7688"/>
      <c r="Q154" s="7688"/>
      <c r="R154" s="278">
        <v>1</v>
      </c>
      <c r="S154" s="1813" t="str">
        <f>$K154</f>
        <v>8.1.1.1.1.1</v>
      </c>
      <c r="T154" s="1357" t="s">
        <v>672</v>
      </c>
      <c r="U154" s="214"/>
      <c r="V154" s="666"/>
      <c r="W154" s="666"/>
      <c r="X154" s="1181"/>
      <c r="Y154" s="7692"/>
      <c r="Z154" s="7540" t="s">
        <v>60</v>
      </c>
      <c r="AA154" s="7692"/>
      <c r="AB154" s="7540" t="s">
        <v>60</v>
      </c>
      <c r="AC154" s="666">
        <v>55.8</v>
      </c>
      <c r="AD154" s="666"/>
      <c r="AE154" s="1181"/>
      <c r="AF154" s="7692">
        <v>45292</v>
      </c>
      <c r="AG154" s="7540" t="s">
        <v>60</v>
      </c>
      <c r="AH154" s="7711">
        <v>45473</v>
      </c>
      <c r="AI154" s="7540" t="s">
        <v>60</v>
      </c>
      <c r="AJ154" s="666">
        <v>60.82</v>
      </c>
      <c r="AK154" s="666"/>
      <c r="AL154" s="1181"/>
      <c r="AM154" s="7692">
        <v>45474</v>
      </c>
      <c r="AN154" s="7540" t="s">
        <v>60</v>
      </c>
      <c r="AO154" s="7692">
        <v>45657</v>
      </c>
      <c r="AP154" s="7540" t="s">
        <v>60</v>
      </c>
      <c r="AQ154" s="666">
        <v>60.82</v>
      </c>
      <c r="AR154" s="666"/>
      <c r="AS154" s="1181"/>
      <c r="AT154" s="7692">
        <v>45658</v>
      </c>
      <c r="AU154" s="7540" t="s">
        <v>60</v>
      </c>
      <c r="AV154" s="7692">
        <v>45838</v>
      </c>
      <c r="AW154" s="7540" t="s">
        <v>60</v>
      </c>
      <c r="AX154" s="666">
        <v>64.290000000000006</v>
      </c>
      <c r="AY154" s="666"/>
      <c r="AZ154" s="1181"/>
      <c r="BA154" s="7692">
        <v>45839</v>
      </c>
      <c r="BB154" s="7540" t="s">
        <v>60</v>
      </c>
      <c r="BC154" s="7692">
        <v>46022</v>
      </c>
      <c r="BD154" s="7540" t="s">
        <v>60</v>
      </c>
      <c r="BE154" s="666">
        <v>64.290000000000006</v>
      </c>
      <c r="BF154" s="666"/>
      <c r="BG154" s="1181"/>
      <c r="BH154" s="7692">
        <v>46023</v>
      </c>
      <c r="BI154" s="7540" t="s">
        <v>60</v>
      </c>
      <c r="BJ154" s="7692">
        <v>46203</v>
      </c>
      <c r="BK154" s="7540" t="s">
        <v>60</v>
      </c>
      <c r="BL154" s="666">
        <v>66.86</v>
      </c>
      <c r="BM154" s="666"/>
      <c r="BN154" s="1181"/>
      <c r="BO154" s="7692">
        <v>46204</v>
      </c>
      <c r="BP154" s="7540" t="s">
        <v>60</v>
      </c>
      <c r="BQ154" s="7692">
        <v>46387</v>
      </c>
      <c r="BR154" s="7540" t="s">
        <v>60</v>
      </c>
      <c r="BS154" s="666">
        <v>66.86</v>
      </c>
      <c r="BT154" s="666"/>
      <c r="BU154" s="1181"/>
      <c r="BV154" s="7692">
        <v>46388</v>
      </c>
      <c r="BW154" s="7540" t="s">
        <v>60</v>
      </c>
      <c r="BX154" s="7692">
        <v>46568</v>
      </c>
      <c r="BY154" s="7540" t="s">
        <v>60</v>
      </c>
      <c r="BZ154" s="666">
        <v>69.53</v>
      </c>
      <c r="CA154" s="666"/>
      <c r="CB154" s="1181"/>
      <c r="CC154" s="7692">
        <v>46569</v>
      </c>
      <c r="CD154" s="7540" t="s">
        <v>60</v>
      </c>
      <c r="CE154" s="7692">
        <v>46752</v>
      </c>
      <c r="CF154" s="7540" t="s">
        <v>60</v>
      </c>
      <c r="CG154" s="666">
        <v>69.53</v>
      </c>
      <c r="CH154" s="666"/>
      <c r="CI154" s="1181"/>
      <c r="CJ154" s="7692">
        <v>46753</v>
      </c>
      <c r="CK154" s="7540" t="s">
        <v>60</v>
      </c>
      <c r="CL154" s="7692">
        <v>46934</v>
      </c>
      <c r="CM154" s="7540" t="s">
        <v>60</v>
      </c>
      <c r="CN154" s="666">
        <v>72.31</v>
      </c>
      <c r="CO154" s="666"/>
      <c r="CP154" s="1181"/>
      <c r="CQ154" s="7692">
        <v>46935</v>
      </c>
      <c r="CR154" s="7540" t="s">
        <v>60</v>
      </c>
      <c r="CS154" s="7692">
        <v>47118</v>
      </c>
      <c r="CT154" s="7540" t="s">
        <v>60</v>
      </c>
      <c r="CU154" s="1358"/>
      <c r="CV154"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54" s="1562" t="e">
        <f ca="1">STRCHECKDATE(V155:CU155)</f>
        <v>#NAME?</v>
      </c>
      <c r="CX154" s="1544"/>
      <c r="CY154" s="1544" t="str">
        <f t="shared" si="2"/>
        <v>Тариф для населения, руб. за 1 куб. метр с НДС</v>
      </c>
      <c r="CZ154" s="1544"/>
      <c r="DA154" s="1544"/>
    </row>
    <row r="155" spans="1:105" s="1827" customFormat="1" ht="14.25" customHeight="1">
      <c r="A155" s="1284"/>
      <c r="B155" s="1284"/>
      <c r="C155" s="1284"/>
      <c r="D155" s="1284"/>
      <c r="E155" s="7690" t="s">
        <v>91</v>
      </c>
      <c r="F155" s="7690"/>
      <c r="G155" s="7690"/>
      <c r="H155" s="7690"/>
      <c r="I155" s="7710"/>
      <c r="J155" s="7710"/>
      <c r="K155" s="7687"/>
      <c r="L155" s="1290"/>
      <c r="M155" s="1696"/>
      <c r="N155" s="1696"/>
      <c r="O155" s="1696"/>
      <c r="P155" s="7688"/>
      <c r="Q155" s="7688"/>
      <c r="R155" s="278"/>
      <c r="S155" s="1822"/>
      <c r="T155" s="214"/>
      <c r="U155" s="214"/>
      <c r="V155" s="246"/>
      <c r="W155" s="246"/>
      <c r="X155" s="250" t="str">
        <f>Y154&amp;"-"&amp;AA154</f>
        <v>-</v>
      </c>
      <c r="Y155" s="7693"/>
      <c r="Z155" s="7540"/>
      <c r="AA155" s="7693"/>
      <c r="AB155" s="7540"/>
      <c r="AC155" s="246"/>
      <c r="AD155" s="246"/>
      <c r="AE155" s="250" t="str">
        <f>AF154&amp;"-"&amp;AH154</f>
        <v>45292-45473</v>
      </c>
      <c r="AF155" s="7693"/>
      <c r="AG155" s="7540"/>
      <c r="AH155" s="7712"/>
      <c r="AI155" s="7540"/>
      <c r="AJ155" s="246"/>
      <c r="AK155" s="246"/>
      <c r="AL155" s="250" t="str">
        <f>AM154&amp;"-"&amp;AO154</f>
        <v>45474-45657</v>
      </c>
      <c r="AM155" s="7693"/>
      <c r="AN155" s="7540"/>
      <c r="AO155" s="7693"/>
      <c r="AP155" s="7540"/>
      <c r="AQ155" s="246"/>
      <c r="AR155" s="246"/>
      <c r="AS155" s="250" t="str">
        <f>AT154&amp;"-"&amp;AV154</f>
        <v>45658-45838</v>
      </c>
      <c r="AT155" s="7693"/>
      <c r="AU155" s="7540"/>
      <c r="AV155" s="7693"/>
      <c r="AW155" s="7540"/>
      <c r="AX155" s="246"/>
      <c r="AY155" s="246"/>
      <c r="AZ155" s="250" t="str">
        <f>BA154&amp;"-"&amp;BC154</f>
        <v>45839-46022</v>
      </c>
      <c r="BA155" s="7693"/>
      <c r="BB155" s="7540"/>
      <c r="BC155" s="7693"/>
      <c r="BD155" s="7540"/>
      <c r="BE155" s="246"/>
      <c r="BF155" s="246"/>
      <c r="BG155" s="250" t="str">
        <f>BH154&amp;"-"&amp;BJ154</f>
        <v>46023-46203</v>
      </c>
      <c r="BH155" s="7693"/>
      <c r="BI155" s="7540"/>
      <c r="BJ155" s="7693"/>
      <c r="BK155" s="7540"/>
      <c r="BL155" s="246"/>
      <c r="BM155" s="246"/>
      <c r="BN155" s="250" t="str">
        <f>BO154&amp;"-"&amp;BQ154</f>
        <v>46204-46387</v>
      </c>
      <c r="BO155" s="7693"/>
      <c r="BP155" s="7540"/>
      <c r="BQ155" s="7693"/>
      <c r="BR155" s="7540"/>
      <c r="BS155" s="246"/>
      <c r="BT155" s="246"/>
      <c r="BU155" s="250" t="str">
        <f>BV154&amp;"-"&amp;BX154</f>
        <v>46388-46568</v>
      </c>
      <c r="BV155" s="7693"/>
      <c r="BW155" s="7540"/>
      <c r="BX155" s="7693"/>
      <c r="BY155" s="7540"/>
      <c r="BZ155" s="246"/>
      <c r="CA155" s="246"/>
      <c r="CB155" s="250" t="str">
        <f>CC154&amp;"-"&amp;CE154</f>
        <v>46569-46752</v>
      </c>
      <c r="CC155" s="7693"/>
      <c r="CD155" s="7540"/>
      <c r="CE155" s="7693"/>
      <c r="CF155" s="7540"/>
      <c r="CG155" s="246"/>
      <c r="CH155" s="246"/>
      <c r="CI155" s="250" t="str">
        <f>CJ154&amp;"-"&amp;CL154</f>
        <v>46753-46934</v>
      </c>
      <c r="CJ155" s="7693"/>
      <c r="CK155" s="7540"/>
      <c r="CL155" s="7693"/>
      <c r="CM155" s="7540"/>
      <c r="CN155" s="246"/>
      <c r="CO155" s="246"/>
      <c r="CP155" s="250" t="str">
        <f>CQ154&amp;"-"&amp;CS154</f>
        <v>46935-47118</v>
      </c>
      <c r="CQ155" s="7693"/>
      <c r="CR155" s="7540"/>
      <c r="CS155" s="7693"/>
      <c r="CT155" s="7540"/>
      <c r="CU155" s="1359"/>
      <c r="CV155" s="7747"/>
      <c r="CW155" s="1562"/>
      <c r="CX155" s="1544"/>
      <c r="CY155" s="1544" t="str">
        <f t="shared" si="2"/>
        <v/>
      </c>
      <c r="CZ155" s="1544"/>
      <c r="DA155" s="1544"/>
    </row>
    <row r="156" spans="1:105" s="1827" customFormat="1" ht="21" customHeight="1">
      <c r="A156" s="1284"/>
      <c r="B156" s="1284"/>
      <c r="C156" s="1284"/>
      <c r="D156" s="1284"/>
      <c r="E156" s="7690" t="s">
        <v>91</v>
      </c>
      <c r="F156" s="7690"/>
      <c r="G156" s="7690"/>
      <c r="H156" s="7690"/>
      <c r="I156" s="7710"/>
      <c r="J156" s="7687"/>
      <c r="K156" s="1284"/>
      <c r="L156" s="1290"/>
      <c r="M156" s="1696"/>
      <c r="N156" s="1696"/>
      <c r="O156" s="1696"/>
      <c r="P156" s="7688"/>
      <c r="Q156" s="7688"/>
      <c r="R156" s="277"/>
      <c r="S156" s="4199"/>
      <c r="T156" s="4200" t="s">
        <v>659</v>
      </c>
      <c r="U156" s="4201"/>
      <c r="V156" s="4202"/>
      <c r="W156" s="4203"/>
      <c r="X156" s="4204"/>
      <c r="Y156" s="4205"/>
      <c r="Z156" s="4206"/>
      <c r="AA156" s="4207"/>
      <c r="AB156" s="4208"/>
      <c r="AC156" s="4209"/>
      <c r="AD156" s="4210"/>
      <c r="AE156" s="4211"/>
      <c r="AF156" s="4212"/>
      <c r="AG156" s="4213"/>
      <c r="AH156" s="4214"/>
      <c r="AI156" s="4215"/>
      <c r="AJ156" s="4216"/>
      <c r="AK156" s="4217"/>
      <c r="AL156" s="4218"/>
      <c r="AM156" s="4219"/>
      <c r="AN156" s="4220"/>
      <c r="AO156" s="4221"/>
      <c r="AP156" s="4222"/>
      <c r="AQ156" s="4223"/>
      <c r="AR156" s="4224"/>
      <c r="AS156" s="4225"/>
      <c r="AT156" s="4226"/>
      <c r="AU156" s="4227"/>
      <c r="AV156" s="4228"/>
      <c r="AW156" s="4229"/>
      <c r="AX156" s="4230"/>
      <c r="AY156" s="4231"/>
      <c r="AZ156" s="4232"/>
      <c r="BA156" s="4233"/>
      <c r="BB156" s="4234"/>
      <c r="BC156" s="4235"/>
      <c r="BD156" s="4236"/>
      <c r="BE156" s="4237"/>
      <c r="BF156" s="4238"/>
      <c r="BG156" s="4239"/>
      <c r="BH156" s="4240"/>
      <c r="BI156" s="4241"/>
      <c r="BJ156" s="4242"/>
      <c r="BK156" s="4243"/>
      <c r="BL156" s="4244"/>
      <c r="BM156" s="4245"/>
      <c r="BN156" s="4246"/>
      <c r="BO156" s="4247"/>
      <c r="BP156" s="4248"/>
      <c r="BQ156" s="4249"/>
      <c r="BR156" s="4250"/>
      <c r="BS156" s="4251"/>
      <c r="BT156" s="4252"/>
      <c r="BU156" s="4253"/>
      <c r="BV156" s="4254"/>
      <c r="BW156" s="4255"/>
      <c r="BX156" s="4256"/>
      <c r="BY156" s="4257"/>
      <c r="BZ156" s="4258"/>
      <c r="CA156" s="4259"/>
      <c r="CB156" s="4260"/>
      <c r="CC156" s="4261"/>
      <c r="CD156" s="4262"/>
      <c r="CE156" s="4263"/>
      <c r="CF156" s="4264"/>
      <c r="CG156" s="4265"/>
      <c r="CH156" s="4266"/>
      <c r="CI156" s="4267"/>
      <c r="CJ156" s="4268"/>
      <c r="CK156" s="4269"/>
      <c r="CL156" s="4270"/>
      <c r="CM156" s="4271"/>
      <c r="CN156" s="4272"/>
      <c r="CO156" s="4273"/>
      <c r="CP156" s="4274"/>
      <c r="CQ156" s="4275"/>
      <c r="CR156" s="4276"/>
      <c r="CS156" s="4277"/>
      <c r="CT156" s="4278"/>
      <c r="CU156" s="4279"/>
      <c r="CV156" s="1182" t="s">
        <v>660</v>
      </c>
      <c r="CW156" s="1562"/>
      <c r="CX156" s="1544"/>
      <c r="CY156" s="1544" t="str">
        <f t="shared" si="2"/>
        <v>Добавить значение признака дифференциации</v>
      </c>
      <c r="CZ156" s="1544"/>
      <c r="DA156" s="1544"/>
    </row>
    <row r="157" spans="1:105" s="1827" customFormat="1" ht="23.25" customHeight="1">
      <c r="A157" s="1284"/>
      <c r="B157" s="1284"/>
      <c r="C157" s="1284"/>
      <c r="D157" s="1284"/>
      <c r="E157" s="7690"/>
      <c r="F157" s="7690"/>
      <c r="G157" s="7690"/>
      <c r="H157" s="7690"/>
      <c r="I157" s="7710"/>
      <c r="J157" s="7687" t="str">
        <f>I152&amp;".2"</f>
        <v>8.1.1.1.2</v>
      </c>
      <c r="K157" s="1284"/>
      <c r="L157" s="1290" t="s">
        <v>582</v>
      </c>
      <c r="M157" s="1696"/>
      <c r="N157" s="1696"/>
      <c r="O157" s="1696"/>
      <c r="P157" s="7688"/>
      <c r="Q157" s="7754" t="s">
        <v>101</v>
      </c>
      <c r="R157" s="278"/>
      <c r="S157" s="1813" t="str">
        <f>$J157</f>
        <v>8.1.1.1.2</v>
      </c>
      <c r="T157" s="201" t="s">
        <v>583</v>
      </c>
      <c r="U157" s="214"/>
      <c r="V157" s="7678"/>
      <c r="W157" s="7679"/>
      <c r="X157" s="7679"/>
      <c r="Y157" s="7679"/>
      <c r="Z157" s="7679"/>
      <c r="AA157" s="7679"/>
      <c r="AB157" s="7680"/>
      <c r="AC157" s="7678" t="s">
        <v>669</v>
      </c>
      <c r="AD157" s="7679"/>
      <c r="AE157" s="7679"/>
      <c r="AF157" s="7679"/>
      <c r="AG157" s="7679"/>
      <c r="AH157" s="7679"/>
      <c r="AI157" s="7679"/>
      <c r="AJ157" s="7678"/>
      <c r="AK157" s="7679"/>
      <c r="AL157" s="7679"/>
      <c r="AM157" s="7679"/>
      <c r="AN157" s="7679"/>
      <c r="AO157" s="7679"/>
      <c r="AP157" s="7680"/>
      <c r="AQ157" s="7678"/>
      <c r="AR157" s="7679"/>
      <c r="AS157" s="7679"/>
      <c r="AT157" s="7679"/>
      <c r="AU157" s="7679"/>
      <c r="AV157" s="7679"/>
      <c r="AW157" s="7680"/>
      <c r="AX157" s="7678"/>
      <c r="AY157" s="7679"/>
      <c r="AZ157" s="7679"/>
      <c r="BA157" s="7679"/>
      <c r="BB157" s="7679"/>
      <c r="BC157" s="7679"/>
      <c r="BD157" s="7680"/>
      <c r="BE157" s="7678"/>
      <c r="BF157" s="7679"/>
      <c r="BG157" s="7679"/>
      <c r="BH157" s="7679"/>
      <c r="BI157" s="7679"/>
      <c r="BJ157" s="7679"/>
      <c r="BK157" s="7680"/>
      <c r="BL157" s="7678"/>
      <c r="BM157" s="7679"/>
      <c r="BN157" s="7679"/>
      <c r="BO157" s="7679"/>
      <c r="BP157" s="7679"/>
      <c r="BQ157" s="7679"/>
      <c r="BR157" s="7680"/>
      <c r="BS157" s="7678"/>
      <c r="BT157" s="7679"/>
      <c r="BU157" s="7679"/>
      <c r="BV157" s="7679"/>
      <c r="BW157" s="7679"/>
      <c r="BX157" s="7679"/>
      <c r="BY157" s="7680"/>
      <c r="BZ157" s="7678"/>
      <c r="CA157" s="7679"/>
      <c r="CB157" s="7679"/>
      <c r="CC157" s="7679"/>
      <c r="CD157" s="7679"/>
      <c r="CE157" s="7679"/>
      <c r="CF157" s="7680"/>
      <c r="CG157" s="7678"/>
      <c r="CH157" s="7679"/>
      <c r="CI157" s="7679"/>
      <c r="CJ157" s="7679"/>
      <c r="CK157" s="7679"/>
      <c r="CL157" s="7679"/>
      <c r="CM157" s="7680"/>
      <c r="CN157" s="7678"/>
      <c r="CO157" s="7679"/>
      <c r="CP157" s="7679"/>
      <c r="CQ157" s="7679"/>
      <c r="CR157" s="7679"/>
      <c r="CS157" s="7679"/>
      <c r="CT157" s="7680"/>
      <c r="CU157" s="7680"/>
      <c r="CV157" s="1231" t="s">
        <v>658</v>
      </c>
      <c r="CW157" s="1562"/>
      <c r="CX157" s="1544"/>
      <c r="CY157" s="1544" t="str">
        <f t="shared" si="2"/>
        <v>Группа потребителей</v>
      </c>
      <c r="CZ157" s="1544"/>
      <c r="DA157" s="1544"/>
    </row>
    <row r="158" spans="1:105" s="1827" customFormat="1" ht="23.25" customHeight="1">
      <c r="A158" s="1284"/>
      <c r="B158" s="1284"/>
      <c r="C158" s="1284"/>
      <c r="D158" s="1284"/>
      <c r="E158" s="7690"/>
      <c r="F158" s="7690"/>
      <c r="G158" s="7690"/>
      <c r="H158" s="7690"/>
      <c r="I158" s="7710"/>
      <c r="J158" s="7710" t="str">
        <f>I152&amp;".1"</f>
        <v>8.1.1.1.1</v>
      </c>
      <c r="K158" s="7687" t="str">
        <f>J157&amp;".1"</f>
        <v>8.1.1.1.2.1</v>
      </c>
      <c r="L158" s="1290"/>
      <c r="M158" s="1696"/>
      <c r="N158" s="1696"/>
      <c r="O158" s="1696"/>
      <c r="P158" s="7688"/>
      <c r="Q158" s="7688"/>
      <c r="R158" s="278">
        <v>1</v>
      </c>
      <c r="S158" s="1813" t="str">
        <f>$K158</f>
        <v>8.1.1.1.2.1</v>
      </c>
      <c r="T158" s="1357" t="s">
        <v>670</v>
      </c>
      <c r="U158" s="214"/>
      <c r="V158" s="666"/>
      <c r="W158" s="666"/>
      <c r="X158" s="1181"/>
      <c r="Y158" s="7692"/>
      <c r="Z158" s="7540" t="s">
        <v>60</v>
      </c>
      <c r="AA158" s="7692"/>
      <c r="AB158" s="7540" t="s">
        <v>60</v>
      </c>
      <c r="AC158" s="666">
        <v>61.08</v>
      </c>
      <c r="AD158" s="666"/>
      <c r="AE158" s="1181"/>
      <c r="AF158" s="7692">
        <v>45292</v>
      </c>
      <c r="AG158" s="7540" t="s">
        <v>60</v>
      </c>
      <c r="AH158" s="7711">
        <v>45473</v>
      </c>
      <c r="AI158" s="7540" t="s">
        <v>60</v>
      </c>
      <c r="AJ158" s="666">
        <v>84.09</v>
      </c>
      <c r="AK158" s="666"/>
      <c r="AL158" s="1181"/>
      <c r="AM158" s="7692">
        <v>45474</v>
      </c>
      <c r="AN158" s="7540" t="s">
        <v>60</v>
      </c>
      <c r="AO158" s="7692">
        <v>45657</v>
      </c>
      <c r="AP158" s="7540" t="s">
        <v>60</v>
      </c>
      <c r="AQ158" s="666">
        <v>77.19</v>
      </c>
      <c r="AR158" s="666"/>
      <c r="AS158" s="1181"/>
      <c r="AT158" s="7692">
        <v>45658</v>
      </c>
      <c r="AU158" s="7540" t="s">
        <v>60</v>
      </c>
      <c r="AV158" s="7692">
        <v>45838</v>
      </c>
      <c r="AW158" s="7540" t="s">
        <v>60</v>
      </c>
      <c r="AX158" s="666">
        <v>77.19</v>
      </c>
      <c r="AY158" s="666"/>
      <c r="AZ158" s="1181"/>
      <c r="BA158" s="7692">
        <v>45839</v>
      </c>
      <c r="BB158" s="7540" t="s">
        <v>60</v>
      </c>
      <c r="BC158" s="7692">
        <v>46022</v>
      </c>
      <c r="BD158" s="7540" t="s">
        <v>60</v>
      </c>
      <c r="BE158" s="666">
        <v>77.19</v>
      </c>
      <c r="BF158" s="666"/>
      <c r="BG158" s="1181"/>
      <c r="BH158" s="7692">
        <v>46023</v>
      </c>
      <c r="BI158" s="7540" t="s">
        <v>60</v>
      </c>
      <c r="BJ158" s="7692">
        <v>46203</v>
      </c>
      <c r="BK158" s="7540" t="s">
        <v>60</v>
      </c>
      <c r="BL158" s="666">
        <v>77.97</v>
      </c>
      <c r="BM158" s="666"/>
      <c r="BN158" s="1181"/>
      <c r="BO158" s="7692">
        <v>46204</v>
      </c>
      <c r="BP158" s="7540" t="s">
        <v>60</v>
      </c>
      <c r="BQ158" s="7692">
        <v>46387</v>
      </c>
      <c r="BR158" s="7540" t="s">
        <v>60</v>
      </c>
      <c r="BS158" s="666">
        <v>77.97</v>
      </c>
      <c r="BT158" s="666"/>
      <c r="BU158" s="1181"/>
      <c r="BV158" s="7692">
        <v>46388</v>
      </c>
      <c r="BW158" s="7540" t="s">
        <v>60</v>
      </c>
      <c r="BX158" s="7692">
        <v>46568</v>
      </c>
      <c r="BY158" s="7540" t="s">
        <v>60</v>
      </c>
      <c r="BZ158" s="666">
        <v>82.24</v>
      </c>
      <c r="CA158" s="666"/>
      <c r="CB158" s="1181"/>
      <c r="CC158" s="7692">
        <v>46569</v>
      </c>
      <c r="CD158" s="7540" t="s">
        <v>60</v>
      </c>
      <c r="CE158" s="7692">
        <v>46752</v>
      </c>
      <c r="CF158" s="7540" t="s">
        <v>60</v>
      </c>
      <c r="CG158" s="666">
        <v>82.24</v>
      </c>
      <c r="CH158" s="666"/>
      <c r="CI158" s="1181"/>
      <c r="CJ158" s="7692">
        <v>46753</v>
      </c>
      <c r="CK158" s="7540" t="s">
        <v>60</v>
      </c>
      <c r="CL158" s="7692">
        <v>46934</v>
      </c>
      <c r="CM158" s="7540" t="s">
        <v>60</v>
      </c>
      <c r="CN158" s="666">
        <v>84.74</v>
      </c>
      <c r="CO158" s="666"/>
      <c r="CP158" s="1181"/>
      <c r="CQ158" s="7692">
        <v>46935</v>
      </c>
      <c r="CR158" s="7540" t="s">
        <v>60</v>
      </c>
      <c r="CS158" s="7692">
        <v>47118</v>
      </c>
      <c r="CT158" s="7540" t="s">
        <v>60</v>
      </c>
      <c r="CU158" s="1358"/>
      <c r="CV158"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58" s="1562" t="e">
        <f ca="1">STRCHECKDATE(V159:CU159)</f>
        <v>#NAME?</v>
      </c>
      <c r="CX158" s="1544"/>
      <c r="CY158" s="1544" t="str">
        <f t="shared" si="2"/>
        <v>Тариф, руб. за 1 куб. метр без НДС</v>
      </c>
      <c r="CZ158" s="1544"/>
      <c r="DA158" s="1544"/>
    </row>
    <row r="159" spans="1:105" s="1827" customFormat="1" ht="14.25" customHeight="1">
      <c r="A159" s="1284"/>
      <c r="B159" s="1284"/>
      <c r="C159" s="1284"/>
      <c r="D159" s="1284"/>
      <c r="E159" s="7690"/>
      <c r="F159" s="7690"/>
      <c r="G159" s="7690"/>
      <c r="H159" s="7690"/>
      <c r="I159" s="7710"/>
      <c r="J159" s="7710" t="str">
        <f>I152&amp;".1"</f>
        <v>8.1.1.1.1</v>
      </c>
      <c r="K159" s="7687"/>
      <c r="L159" s="1290"/>
      <c r="M159" s="1696"/>
      <c r="N159" s="1696"/>
      <c r="O159" s="1696"/>
      <c r="P159" s="7688"/>
      <c r="Q159" s="7688"/>
      <c r="R159" s="278"/>
      <c r="S159" s="1822"/>
      <c r="T159" s="214"/>
      <c r="U159" s="214"/>
      <c r="V159" s="246"/>
      <c r="W159" s="246"/>
      <c r="X159" s="250" t="str">
        <f>Y158&amp;"-"&amp;AA158</f>
        <v>-</v>
      </c>
      <c r="Y159" s="7693"/>
      <c r="Z159" s="7540"/>
      <c r="AA159" s="7693"/>
      <c r="AB159" s="7540"/>
      <c r="AC159" s="246"/>
      <c r="AD159" s="246"/>
      <c r="AE159" s="250" t="str">
        <f>AF158&amp;"-"&amp;AH158</f>
        <v>45292-45473</v>
      </c>
      <c r="AF159" s="7693"/>
      <c r="AG159" s="7540"/>
      <c r="AH159" s="7712"/>
      <c r="AI159" s="7540"/>
      <c r="AJ159" s="246"/>
      <c r="AK159" s="246"/>
      <c r="AL159" s="250" t="str">
        <f>AM158&amp;"-"&amp;AO158</f>
        <v>45474-45657</v>
      </c>
      <c r="AM159" s="7693"/>
      <c r="AN159" s="7540"/>
      <c r="AO159" s="7693"/>
      <c r="AP159" s="7540"/>
      <c r="AQ159" s="246"/>
      <c r="AR159" s="246"/>
      <c r="AS159" s="250" t="str">
        <f>AT158&amp;"-"&amp;AV158</f>
        <v>45658-45838</v>
      </c>
      <c r="AT159" s="7693"/>
      <c r="AU159" s="7540"/>
      <c r="AV159" s="7693"/>
      <c r="AW159" s="7540"/>
      <c r="AX159" s="246"/>
      <c r="AY159" s="246"/>
      <c r="AZ159" s="250" t="str">
        <f>BA158&amp;"-"&amp;BC158</f>
        <v>45839-46022</v>
      </c>
      <c r="BA159" s="7693"/>
      <c r="BB159" s="7540"/>
      <c r="BC159" s="7693"/>
      <c r="BD159" s="7540"/>
      <c r="BE159" s="246"/>
      <c r="BF159" s="246"/>
      <c r="BG159" s="250" t="str">
        <f>BH158&amp;"-"&amp;BJ158</f>
        <v>46023-46203</v>
      </c>
      <c r="BH159" s="7693"/>
      <c r="BI159" s="7540"/>
      <c r="BJ159" s="7693"/>
      <c r="BK159" s="7540"/>
      <c r="BL159" s="246"/>
      <c r="BM159" s="246"/>
      <c r="BN159" s="250" t="str">
        <f>BO158&amp;"-"&amp;BQ158</f>
        <v>46204-46387</v>
      </c>
      <c r="BO159" s="7693"/>
      <c r="BP159" s="7540"/>
      <c r="BQ159" s="7693"/>
      <c r="BR159" s="7540"/>
      <c r="BS159" s="246"/>
      <c r="BT159" s="246"/>
      <c r="BU159" s="250" t="str">
        <f>BV158&amp;"-"&amp;BX158</f>
        <v>46388-46568</v>
      </c>
      <c r="BV159" s="7693"/>
      <c r="BW159" s="7540"/>
      <c r="BX159" s="7693"/>
      <c r="BY159" s="7540"/>
      <c r="BZ159" s="246"/>
      <c r="CA159" s="246"/>
      <c r="CB159" s="250" t="str">
        <f>CC158&amp;"-"&amp;CE158</f>
        <v>46569-46752</v>
      </c>
      <c r="CC159" s="7693"/>
      <c r="CD159" s="7540"/>
      <c r="CE159" s="7693"/>
      <c r="CF159" s="7540"/>
      <c r="CG159" s="246"/>
      <c r="CH159" s="246"/>
      <c r="CI159" s="250" t="str">
        <f>CJ158&amp;"-"&amp;CL158</f>
        <v>46753-46934</v>
      </c>
      <c r="CJ159" s="7693"/>
      <c r="CK159" s="7540"/>
      <c r="CL159" s="7693"/>
      <c r="CM159" s="7540"/>
      <c r="CN159" s="246"/>
      <c r="CO159" s="246"/>
      <c r="CP159" s="250" t="str">
        <f>CQ158&amp;"-"&amp;CS158</f>
        <v>46935-47118</v>
      </c>
      <c r="CQ159" s="7693"/>
      <c r="CR159" s="7540"/>
      <c r="CS159" s="7693"/>
      <c r="CT159" s="7540"/>
      <c r="CU159" s="1359"/>
      <c r="CV159" s="7747"/>
      <c r="CW159" s="1562"/>
      <c r="CX159" s="1544"/>
      <c r="CY159" s="1544" t="str">
        <f t="shared" si="2"/>
        <v/>
      </c>
      <c r="CZ159" s="1544"/>
      <c r="DA159" s="1544"/>
    </row>
    <row r="160" spans="1:105" s="1827" customFormat="1" ht="21" customHeight="1">
      <c r="A160" s="1284"/>
      <c r="B160" s="1284"/>
      <c r="C160" s="1284"/>
      <c r="D160" s="1284"/>
      <c r="E160" s="7690"/>
      <c r="F160" s="7690"/>
      <c r="G160" s="7690"/>
      <c r="H160" s="7690"/>
      <c r="I160" s="7710"/>
      <c r="J160" s="7687" t="str">
        <f>I152&amp;".1"</f>
        <v>8.1.1.1.1</v>
      </c>
      <c r="K160" s="1284"/>
      <c r="L160" s="1290"/>
      <c r="M160" s="1696"/>
      <c r="N160" s="1696"/>
      <c r="O160" s="1696"/>
      <c r="P160" s="7688"/>
      <c r="Q160" s="7688"/>
      <c r="R160" s="277"/>
      <c r="S160" s="4280"/>
      <c r="T160" s="4281" t="s">
        <v>659</v>
      </c>
      <c r="U160" s="4282"/>
      <c r="V160" s="4283"/>
      <c r="W160" s="4284"/>
      <c r="X160" s="4285"/>
      <c r="Y160" s="4286"/>
      <c r="Z160" s="4287"/>
      <c r="AA160" s="4288"/>
      <c r="AB160" s="4289"/>
      <c r="AC160" s="4290"/>
      <c r="AD160" s="4291"/>
      <c r="AE160" s="4292"/>
      <c r="AF160" s="4293"/>
      <c r="AG160" s="4294"/>
      <c r="AH160" s="4295"/>
      <c r="AI160" s="4296"/>
      <c r="AJ160" s="4297"/>
      <c r="AK160" s="4298"/>
      <c r="AL160" s="4299"/>
      <c r="AM160" s="4300"/>
      <c r="AN160" s="4301"/>
      <c r="AO160" s="4302"/>
      <c r="AP160" s="4303"/>
      <c r="AQ160" s="4304"/>
      <c r="AR160" s="4305"/>
      <c r="AS160" s="4306"/>
      <c r="AT160" s="4307"/>
      <c r="AU160" s="4308"/>
      <c r="AV160" s="4309"/>
      <c r="AW160" s="4310"/>
      <c r="AX160" s="4311"/>
      <c r="AY160" s="4312"/>
      <c r="AZ160" s="4313"/>
      <c r="BA160" s="4314"/>
      <c r="BB160" s="4315"/>
      <c r="BC160" s="4316"/>
      <c r="BD160" s="4317"/>
      <c r="BE160" s="4318"/>
      <c r="BF160" s="4319"/>
      <c r="BG160" s="4320"/>
      <c r="BH160" s="4321"/>
      <c r="BI160" s="4322"/>
      <c r="BJ160" s="4323"/>
      <c r="BK160" s="4324"/>
      <c r="BL160" s="4325"/>
      <c r="BM160" s="4326"/>
      <c r="BN160" s="4327"/>
      <c r="BO160" s="4328"/>
      <c r="BP160" s="4329"/>
      <c r="BQ160" s="4330"/>
      <c r="BR160" s="4331"/>
      <c r="BS160" s="4332"/>
      <c r="BT160" s="4333"/>
      <c r="BU160" s="4334"/>
      <c r="BV160" s="4335"/>
      <c r="BW160" s="4336"/>
      <c r="BX160" s="4337"/>
      <c r="BY160" s="4338"/>
      <c r="BZ160" s="4339"/>
      <c r="CA160" s="4340"/>
      <c r="CB160" s="4341"/>
      <c r="CC160" s="4342"/>
      <c r="CD160" s="4343"/>
      <c r="CE160" s="4344"/>
      <c r="CF160" s="4345"/>
      <c r="CG160" s="4346"/>
      <c r="CH160" s="4347"/>
      <c r="CI160" s="4348"/>
      <c r="CJ160" s="4349"/>
      <c r="CK160" s="4350"/>
      <c r="CL160" s="4351"/>
      <c r="CM160" s="4352"/>
      <c r="CN160" s="4353"/>
      <c r="CO160" s="4354"/>
      <c r="CP160" s="4355"/>
      <c r="CQ160" s="4356"/>
      <c r="CR160" s="4357"/>
      <c r="CS160" s="4358"/>
      <c r="CT160" s="4359"/>
      <c r="CU160" s="4360"/>
      <c r="CV160" s="1182" t="s">
        <v>660</v>
      </c>
      <c r="CW160" s="1562"/>
      <c r="CX160" s="1544"/>
      <c r="CY160" s="1544" t="str">
        <f t="shared" si="2"/>
        <v>Добавить значение признака дифференциации</v>
      </c>
      <c r="CZ160" s="1544"/>
      <c r="DA160" s="1544"/>
    </row>
    <row r="161" spans="1:105" s="1827" customFormat="1" ht="21" customHeight="1">
      <c r="A161" s="1284"/>
      <c r="B161" s="1284"/>
      <c r="C161" s="1284"/>
      <c r="D161" s="1284"/>
      <c r="E161" s="7690" t="s">
        <v>91</v>
      </c>
      <c r="F161" s="7690"/>
      <c r="G161" s="7690"/>
      <c r="H161" s="7690"/>
      <c r="I161" s="7687"/>
      <c r="J161" s="1284"/>
      <c r="K161" s="1284"/>
      <c r="L161" s="1290"/>
      <c r="M161" s="1696"/>
      <c r="N161" s="1696"/>
      <c r="O161" s="1696"/>
      <c r="P161" s="7688"/>
      <c r="Q161" s="1816"/>
      <c r="R161" s="277"/>
      <c r="S161" s="4361"/>
      <c r="T161" s="4362" t="s">
        <v>588</v>
      </c>
      <c r="U161" s="4363"/>
      <c r="V161" s="4364"/>
      <c r="W161" s="4365"/>
      <c r="X161" s="4366"/>
      <c r="Y161" s="4367"/>
      <c r="Z161" s="4368"/>
      <c r="AA161" s="4369"/>
      <c r="AB161" s="4370"/>
      <c r="AC161" s="4371"/>
      <c r="AD161" s="4372"/>
      <c r="AE161" s="4373"/>
      <c r="AF161" s="4374"/>
      <c r="AG161" s="4375"/>
      <c r="AH161" s="4376"/>
      <c r="AI161" s="4377"/>
      <c r="AJ161" s="4378"/>
      <c r="AK161" s="4379"/>
      <c r="AL161" s="4380"/>
      <c r="AM161" s="4381"/>
      <c r="AN161" s="4382"/>
      <c r="AO161" s="4383"/>
      <c r="AP161" s="4384"/>
      <c r="AQ161" s="4385"/>
      <c r="AR161" s="4386"/>
      <c r="AS161" s="4387"/>
      <c r="AT161" s="4388"/>
      <c r="AU161" s="4389"/>
      <c r="AV161" s="4390"/>
      <c r="AW161" s="4391"/>
      <c r="AX161" s="4392"/>
      <c r="AY161" s="4393"/>
      <c r="AZ161" s="4394"/>
      <c r="BA161" s="4395"/>
      <c r="BB161" s="4396"/>
      <c r="BC161" s="4397"/>
      <c r="BD161" s="4398"/>
      <c r="BE161" s="4399"/>
      <c r="BF161" s="4400"/>
      <c r="BG161" s="4401"/>
      <c r="BH161" s="4402"/>
      <c r="BI161" s="4403"/>
      <c r="BJ161" s="4404"/>
      <c r="BK161" s="4405"/>
      <c r="BL161" s="4406"/>
      <c r="BM161" s="4407"/>
      <c r="BN161" s="4408"/>
      <c r="BO161" s="4409"/>
      <c r="BP161" s="4410"/>
      <c r="BQ161" s="4411"/>
      <c r="BR161" s="4412"/>
      <c r="BS161" s="4413"/>
      <c r="BT161" s="4414"/>
      <c r="BU161" s="4415"/>
      <c r="BV161" s="4416"/>
      <c r="BW161" s="4417"/>
      <c r="BX161" s="4418"/>
      <c r="BY161" s="4419"/>
      <c r="BZ161" s="4420"/>
      <c r="CA161" s="4421"/>
      <c r="CB161" s="4422"/>
      <c r="CC161" s="4423"/>
      <c r="CD161" s="4424"/>
      <c r="CE161" s="4425"/>
      <c r="CF161" s="4426"/>
      <c r="CG161" s="4427"/>
      <c r="CH161" s="4428"/>
      <c r="CI161" s="4429"/>
      <c r="CJ161" s="4430"/>
      <c r="CK161" s="4431"/>
      <c r="CL161" s="4432"/>
      <c r="CM161" s="4433"/>
      <c r="CN161" s="4434"/>
      <c r="CO161" s="4435"/>
      <c r="CP161" s="4436"/>
      <c r="CQ161" s="4437"/>
      <c r="CR161" s="4438"/>
      <c r="CS161" s="4439"/>
      <c r="CT161" s="4440"/>
      <c r="CU161" s="4441"/>
      <c r="CV161" s="4442"/>
      <c r="CW161" s="1562"/>
      <c r="CX161" s="1544"/>
      <c r="CY161" s="1544" t="str">
        <f t="shared" si="2"/>
        <v>Добавить группу потребителей</v>
      </c>
      <c r="CZ161" s="1544"/>
      <c r="DA161" s="1544"/>
    </row>
    <row r="162" spans="1:105" s="1827" customFormat="1" ht="14.25" customHeight="1">
      <c r="A162" s="1284"/>
      <c r="B162" s="1284"/>
      <c r="C162" s="1284"/>
      <c r="D162" s="1284"/>
      <c r="E162" s="7690" t="s">
        <v>91</v>
      </c>
      <c r="F162" s="7690"/>
      <c r="G162" s="7690"/>
      <c r="H162" s="7689"/>
      <c r="I162" s="1284"/>
      <c r="J162" s="1284"/>
      <c r="K162" s="1284"/>
      <c r="L162" s="1290"/>
      <c r="M162" s="1286"/>
      <c r="N162" s="1286"/>
      <c r="O162" s="1287"/>
      <c r="P162" s="1742"/>
      <c r="Q162" s="299"/>
      <c r="R162" s="276"/>
      <c r="S162" s="4443"/>
      <c r="T162" s="4444" t="s">
        <v>661</v>
      </c>
      <c r="U162" s="4445"/>
      <c r="V162" s="4446"/>
      <c r="W162" s="4447"/>
      <c r="X162" s="4448"/>
      <c r="Y162" s="4449"/>
      <c r="Z162" s="4450"/>
      <c r="AA162" s="4451"/>
      <c r="AB162" s="4452"/>
      <c r="AC162" s="4453"/>
      <c r="AD162" s="4454"/>
      <c r="AE162" s="4455"/>
      <c r="AF162" s="4456"/>
      <c r="AG162" s="4457"/>
      <c r="AH162" s="4458"/>
      <c r="AI162" s="4459"/>
      <c r="AJ162" s="4460"/>
      <c r="AK162" s="4461"/>
      <c r="AL162" s="4462"/>
      <c r="AM162" s="4463"/>
      <c r="AN162" s="4464"/>
      <c r="AO162" s="4465"/>
      <c r="AP162" s="4466"/>
      <c r="AQ162" s="4467"/>
      <c r="AR162" s="4468"/>
      <c r="AS162" s="4469"/>
      <c r="AT162" s="4470"/>
      <c r="AU162" s="4471"/>
      <c r="AV162" s="4472"/>
      <c r="AW162" s="4473"/>
      <c r="AX162" s="4474"/>
      <c r="AY162" s="4475"/>
      <c r="AZ162" s="4476"/>
      <c r="BA162" s="4477"/>
      <c r="BB162" s="4478"/>
      <c r="BC162" s="4479"/>
      <c r="BD162" s="4480"/>
      <c r="BE162" s="4481"/>
      <c r="BF162" s="4482"/>
      <c r="BG162" s="4483"/>
      <c r="BH162" s="4484"/>
      <c r="BI162" s="4485"/>
      <c r="BJ162" s="4486"/>
      <c r="BK162" s="4487"/>
      <c r="BL162" s="4488"/>
      <c r="BM162" s="4489"/>
      <c r="BN162" s="4490"/>
      <c r="BO162" s="4491"/>
      <c r="BP162" s="4492"/>
      <c r="BQ162" s="4493"/>
      <c r="BR162" s="4494"/>
      <c r="BS162" s="4495"/>
      <c r="BT162" s="4496"/>
      <c r="BU162" s="4497"/>
      <c r="BV162" s="4498"/>
      <c r="BW162" s="4499"/>
      <c r="BX162" s="4500"/>
      <c r="BY162" s="4501"/>
      <c r="BZ162" s="4502"/>
      <c r="CA162" s="4503"/>
      <c r="CB162" s="4504"/>
      <c r="CC162" s="4505"/>
      <c r="CD162" s="4506"/>
      <c r="CE162" s="4507"/>
      <c r="CF162" s="4508"/>
      <c r="CG162" s="4509"/>
      <c r="CH162" s="4510"/>
      <c r="CI162" s="4511"/>
      <c r="CJ162" s="4512"/>
      <c r="CK162" s="4513"/>
      <c r="CL162" s="4514"/>
      <c r="CM162" s="4515"/>
      <c r="CN162" s="4516"/>
      <c r="CO162" s="4517"/>
      <c r="CP162" s="4518"/>
      <c r="CQ162" s="4519"/>
      <c r="CR162" s="4520"/>
      <c r="CS162" s="4521"/>
      <c r="CT162" s="4522"/>
      <c r="CU162" s="4523"/>
      <c r="CV162" s="4524"/>
      <c r="CW162" s="1562"/>
      <c r="CX162" s="1544"/>
      <c r="CY162" s="1544" t="str">
        <f t="shared" si="2"/>
        <v>Добавить наименование признака дифференциации</v>
      </c>
      <c r="CZ162" s="1544"/>
      <c r="DA162" s="1544"/>
    </row>
    <row r="163" spans="1:105" s="541" customFormat="1" ht="14.25" customHeight="1">
      <c r="A163" s="1265"/>
      <c r="B163" s="1265"/>
      <c r="C163" s="1265"/>
      <c r="D163" s="1265"/>
      <c r="E163" s="7690" t="s">
        <v>91</v>
      </c>
      <c r="F163" s="7689"/>
      <c r="G163" s="1265"/>
      <c r="H163" s="1265"/>
      <c r="I163" s="1265"/>
      <c r="J163" s="1265"/>
      <c r="K163" s="1265"/>
      <c r="L163" s="1466"/>
      <c r="M163" s="1244"/>
      <c r="N163" s="1244"/>
      <c r="O163" s="1562"/>
      <c r="P163" s="1239"/>
      <c r="Q163" s="1266"/>
      <c r="R163" s="1239"/>
      <c r="S163" s="1245"/>
      <c r="T163" s="1248" t="s">
        <v>325</v>
      </c>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c r="CB163" s="1247"/>
      <c r="CC163" s="1247"/>
      <c r="CD163" s="1247"/>
      <c r="CE163" s="1247"/>
      <c r="CF163" s="1247"/>
      <c r="CG163" s="1247"/>
      <c r="CH163" s="1247"/>
      <c r="CI163" s="1247"/>
      <c r="CJ163" s="1247"/>
      <c r="CK163" s="1247"/>
      <c r="CL163" s="1247"/>
      <c r="CM163" s="1247"/>
      <c r="CN163" s="1247"/>
      <c r="CO163" s="1247"/>
      <c r="CP163" s="1247"/>
      <c r="CQ163" s="1247"/>
      <c r="CR163" s="1247"/>
      <c r="CS163" s="1247"/>
      <c r="CT163" s="1247"/>
      <c r="CU163" s="1247"/>
      <c r="CV163" s="1247"/>
      <c r="CW163" s="1562"/>
      <c r="CX163" s="1544"/>
      <c r="CY163" s="1544" t="str">
        <f t="shared" si="2"/>
        <v>Добавить централизованную систему для дифференциации</v>
      </c>
      <c r="CZ163" s="1544"/>
      <c r="DA163" s="1544"/>
    </row>
    <row r="164" spans="1:105" s="541" customFormat="1" ht="14.25" customHeight="1">
      <c r="A164" s="1265"/>
      <c r="B164" s="1265"/>
      <c r="C164" s="1265"/>
      <c r="D164" s="1265"/>
      <c r="E164" s="7689" t="s">
        <v>91</v>
      </c>
      <c r="F164" s="1265"/>
      <c r="G164" s="1265"/>
      <c r="H164" s="1265"/>
      <c r="I164" s="1265"/>
      <c r="J164" s="1265"/>
      <c r="K164" s="1265"/>
      <c r="L164" s="1466"/>
      <c r="M164" s="1244"/>
      <c r="N164" s="1244"/>
      <c r="O164" s="1562"/>
      <c r="P164" s="1239"/>
      <c r="Q164" s="1266"/>
      <c r="R164" s="1239"/>
      <c r="S164" s="1245"/>
      <c r="T164" s="1248" t="s">
        <v>326</v>
      </c>
      <c r="U164" s="1247"/>
      <c r="V164" s="1247"/>
      <c r="W164" s="1247"/>
      <c r="X164" s="1247"/>
      <c r="Y164" s="1247"/>
      <c r="Z164" s="1247"/>
      <c r="AA164" s="1247"/>
      <c r="AB164" s="1247"/>
      <c r="AC164" s="1247"/>
      <c r="AD164" s="1247"/>
      <c r="AE164" s="1247"/>
      <c r="AF164" s="1247"/>
      <c r="AG164" s="1247"/>
      <c r="AH164" s="1247"/>
      <c r="AI164" s="1247"/>
      <c r="AJ164" s="1247"/>
      <c r="AK164" s="1247"/>
      <c r="AL164" s="1247"/>
      <c r="AM164" s="1247"/>
      <c r="AN164" s="1247"/>
      <c r="AO164" s="1247"/>
      <c r="AP164" s="1247"/>
      <c r="AQ164" s="1247"/>
      <c r="AR164" s="1247"/>
      <c r="AS164" s="1247"/>
      <c r="AT164" s="1247"/>
      <c r="AU164" s="1247"/>
      <c r="AV164" s="1247"/>
      <c r="AW164" s="1247"/>
      <c r="AX164" s="1247"/>
      <c r="AY164" s="1247"/>
      <c r="AZ164" s="1247"/>
      <c r="BA164" s="1247"/>
      <c r="BB164" s="1247"/>
      <c r="BC164" s="1247"/>
      <c r="BD164" s="1247"/>
      <c r="BE164" s="1247"/>
      <c r="BF164" s="1247"/>
      <c r="BG164" s="1247"/>
      <c r="BH164" s="1247"/>
      <c r="BI164" s="1247"/>
      <c r="BJ164" s="1247"/>
      <c r="BK164" s="1247"/>
      <c r="BL164" s="1247"/>
      <c r="BM164" s="1247"/>
      <c r="BN164" s="1247"/>
      <c r="BO164" s="1247"/>
      <c r="BP164" s="1247"/>
      <c r="BQ164" s="1247"/>
      <c r="BR164" s="1247"/>
      <c r="BS164" s="1247"/>
      <c r="BT164" s="1247"/>
      <c r="BU164" s="1247"/>
      <c r="BV164" s="1247"/>
      <c r="BW164" s="1247"/>
      <c r="BX164" s="1247"/>
      <c r="BY164" s="1247"/>
      <c r="BZ164" s="1247"/>
      <c r="CA164" s="1247"/>
      <c r="CB164" s="1247"/>
      <c r="CC164" s="1247"/>
      <c r="CD164" s="1247"/>
      <c r="CE164" s="1247"/>
      <c r="CF164" s="1247"/>
      <c r="CG164" s="1247"/>
      <c r="CH164" s="1247"/>
      <c r="CI164" s="1247"/>
      <c r="CJ164" s="1247"/>
      <c r="CK164" s="1247"/>
      <c r="CL164" s="1247"/>
      <c r="CM164" s="1247"/>
      <c r="CN164" s="1247"/>
      <c r="CO164" s="1247"/>
      <c r="CP164" s="1247"/>
      <c r="CQ164" s="1247"/>
      <c r="CR164" s="1247"/>
      <c r="CS164" s="1247"/>
      <c r="CT164" s="1247"/>
      <c r="CU164" s="1247"/>
      <c r="CV164" s="1247"/>
      <c r="CW164" s="1562"/>
      <c r="CX164" s="1544"/>
      <c r="CY164" s="1544" t="str">
        <f t="shared" si="2"/>
        <v>Добавить территорию для дифференциации</v>
      </c>
      <c r="CZ164" s="1544"/>
      <c r="DA164" s="1544"/>
    </row>
    <row r="165" spans="1:105" s="1827" customFormat="1" ht="23.25" customHeight="1">
      <c r="A165" s="1284" t="s">
        <v>363</v>
      </c>
      <c r="B165" s="1284"/>
      <c r="C165" s="1284"/>
      <c r="D165" s="1284"/>
      <c r="E165" s="7689" t="s">
        <v>125</v>
      </c>
      <c r="F165" s="1284"/>
      <c r="G165" s="1284"/>
      <c r="H165" s="1284"/>
      <c r="I165" s="1284"/>
      <c r="J165" s="1284"/>
      <c r="K165" s="1284"/>
      <c r="L165" s="1290"/>
      <c r="M165" s="1286"/>
      <c r="N165" s="1286"/>
      <c r="O165" s="1286"/>
      <c r="P165" s="1817"/>
      <c r="Q165" s="1742"/>
      <c r="R165" s="276"/>
      <c r="S165" s="1813" t="str">
        <f>INDEX(PT_DIFFERENTIATION_NUM_NTAR,MATCH(A165,PT_DIFFERENTIATION_NTAR_ID,0))</f>
        <v>9</v>
      </c>
      <c r="T165" s="1440" t="s">
        <v>237</v>
      </c>
      <c r="U165" s="214"/>
      <c r="V165" s="7675"/>
      <c r="W165" s="7676"/>
      <c r="X165" s="7676"/>
      <c r="Y165" s="7676"/>
      <c r="Z165" s="7676"/>
      <c r="AA165" s="7676"/>
      <c r="AB165" s="7677"/>
      <c r="AC165" s="7675" t="str">
        <f>INDEX(PT_DIFFERENTIATION_NTAR,MATCH(A165,PT_DIFFERENTIATION_NTAR_ID,0))</f>
        <v>Тарифы на питьевую воду для потребителей, присоединенных к централизованным системам водоснабжения поселка Горьковского, поселка Дружба, поселка Заречного и поселка Рассвет Новоалександровского муниципального округа</v>
      </c>
      <c r="AD165" s="7676"/>
      <c r="AE165" s="7676"/>
      <c r="AF165" s="7676"/>
      <c r="AG165" s="7676"/>
      <c r="AH165" s="7676"/>
      <c r="AI165" s="7676"/>
      <c r="AJ165" s="7675"/>
      <c r="AK165" s="7676"/>
      <c r="AL165" s="7676"/>
      <c r="AM165" s="7676"/>
      <c r="AN165" s="7676"/>
      <c r="AO165" s="7676"/>
      <c r="AP165" s="7677"/>
      <c r="AQ165" s="7675"/>
      <c r="AR165" s="7676"/>
      <c r="AS165" s="7676"/>
      <c r="AT165" s="7676"/>
      <c r="AU165" s="7676"/>
      <c r="AV165" s="7676"/>
      <c r="AW165" s="7677"/>
      <c r="AX165" s="7675"/>
      <c r="AY165" s="7676"/>
      <c r="AZ165" s="7676"/>
      <c r="BA165" s="7676"/>
      <c r="BB165" s="7676"/>
      <c r="BC165" s="7676"/>
      <c r="BD165" s="7677"/>
      <c r="BE165" s="7675"/>
      <c r="BF165" s="7676"/>
      <c r="BG165" s="7676"/>
      <c r="BH165" s="7676"/>
      <c r="BI165" s="7676"/>
      <c r="BJ165" s="7676"/>
      <c r="BK165" s="7677"/>
      <c r="BL165" s="7675"/>
      <c r="BM165" s="7676"/>
      <c r="BN165" s="7676"/>
      <c r="BO165" s="7676"/>
      <c r="BP165" s="7676"/>
      <c r="BQ165" s="7676"/>
      <c r="BR165" s="7677"/>
      <c r="BS165" s="7675"/>
      <c r="BT165" s="7676"/>
      <c r="BU165" s="7676"/>
      <c r="BV165" s="7676"/>
      <c r="BW165" s="7676"/>
      <c r="BX165" s="7676"/>
      <c r="BY165" s="7677"/>
      <c r="BZ165" s="7675"/>
      <c r="CA165" s="7676"/>
      <c r="CB165" s="7676"/>
      <c r="CC165" s="7676"/>
      <c r="CD165" s="7676"/>
      <c r="CE165" s="7676"/>
      <c r="CF165" s="7677"/>
      <c r="CG165" s="7675"/>
      <c r="CH165" s="7676"/>
      <c r="CI165" s="7676"/>
      <c r="CJ165" s="7676"/>
      <c r="CK165" s="7676"/>
      <c r="CL165" s="7676"/>
      <c r="CM165" s="7677"/>
      <c r="CN165" s="7675"/>
      <c r="CO165" s="7676"/>
      <c r="CP165" s="7676"/>
      <c r="CQ165" s="7676"/>
      <c r="CR165" s="7676"/>
      <c r="CS165" s="7676"/>
      <c r="CT165" s="7677"/>
      <c r="CU165" s="7677"/>
      <c r="CV16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165" s="1562"/>
      <c r="CX165" s="1544"/>
      <c r="CY165" s="1544" t="str">
        <f t="shared" si="2"/>
        <v>Наименование тарифа</v>
      </c>
      <c r="CZ165" s="1544"/>
      <c r="DA165" s="1544"/>
    </row>
    <row r="166" spans="1:105" s="1827" customFormat="1" ht="23.25" customHeight="1">
      <c r="A166" s="1284"/>
      <c r="B166" s="1284" t="s">
        <v>364</v>
      </c>
      <c r="C166" s="1284"/>
      <c r="D166" s="1284"/>
      <c r="E166" s="7690" t="s">
        <v>121</v>
      </c>
      <c r="F166" s="7689">
        <v>1</v>
      </c>
      <c r="G166" s="1284"/>
      <c r="H166" s="1284"/>
      <c r="I166" s="1284"/>
      <c r="J166" s="1284"/>
      <c r="K166" s="1284"/>
      <c r="L166" s="1290"/>
      <c r="M166" s="1286"/>
      <c r="N166" s="1286"/>
      <c r="O166" s="1286"/>
      <c r="P166" s="1807"/>
      <c r="Q166" s="273"/>
      <c r="R166" s="274"/>
      <c r="S166" s="1813" t="str">
        <f>INDEX(PT_DIFFERENTIATION_NUM_TER,MATCH(B166,PT_DIFFERENTIATION_TER_ID,0))</f>
        <v>9.1</v>
      </c>
      <c r="T166" s="1437" t="s">
        <v>573</v>
      </c>
      <c r="U166" s="214"/>
      <c r="V166" s="7675"/>
      <c r="W166" s="7676"/>
      <c r="X166" s="7676"/>
      <c r="Y166" s="7676"/>
      <c r="Z166" s="7676"/>
      <c r="AA166" s="7676"/>
      <c r="AB166" s="7677"/>
      <c r="AC166" s="7675" t="str">
        <f>INDEX(PT_DIFFERENTIATION_TER,MATCH(B166,PT_DIFFERENTIATION_TER_ID,0))</f>
        <v>Территория 6</v>
      </c>
      <c r="AD166" s="7676"/>
      <c r="AE166" s="7676"/>
      <c r="AF166" s="7676"/>
      <c r="AG166" s="7676"/>
      <c r="AH166" s="7676"/>
      <c r="AI166" s="7676"/>
      <c r="AJ166" s="7675"/>
      <c r="AK166" s="7676"/>
      <c r="AL166" s="7676"/>
      <c r="AM166" s="7676"/>
      <c r="AN166" s="7676"/>
      <c r="AO166" s="7676"/>
      <c r="AP166" s="7677"/>
      <c r="AQ166" s="7675"/>
      <c r="AR166" s="7676"/>
      <c r="AS166" s="7676"/>
      <c r="AT166" s="7676"/>
      <c r="AU166" s="7676"/>
      <c r="AV166" s="7676"/>
      <c r="AW166" s="7677"/>
      <c r="AX166" s="7675"/>
      <c r="AY166" s="7676"/>
      <c r="AZ166" s="7676"/>
      <c r="BA166" s="7676"/>
      <c r="BB166" s="7676"/>
      <c r="BC166" s="7676"/>
      <c r="BD166" s="7677"/>
      <c r="BE166" s="7675"/>
      <c r="BF166" s="7676"/>
      <c r="BG166" s="7676"/>
      <c r="BH166" s="7676"/>
      <c r="BI166" s="7676"/>
      <c r="BJ166" s="7676"/>
      <c r="BK166" s="7677"/>
      <c r="BL166" s="7675"/>
      <c r="BM166" s="7676"/>
      <c r="BN166" s="7676"/>
      <c r="BO166" s="7676"/>
      <c r="BP166" s="7676"/>
      <c r="BQ166" s="7676"/>
      <c r="BR166" s="7677"/>
      <c r="BS166" s="7675"/>
      <c r="BT166" s="7676"/>
      <c r="BU166" s="7676"/>
      <c r="BV166" s="7676"/>
      <c r="BW166" s="7676"/>
      <c r="BX166" s="7676"/>
      <c r="BY166" s="7677"/>
      <c r="BZ166" s="7675"/>
      <c r="CA166" s="7676"/>
      <c r="CB166" s="7676"/>
      <c r="CC166" s="7676"/>
      <c r="CD166" s="7676"/>
      <c r="CE166" s="7676"/>
      <c r="CF166" s="7677"/>
      <c r="CG166" s="7675"/>
      <c r="CH166" s="7676"/>
      <c r="CI166" s="7676"/>
      <c r="CJ166" s="7676"/>
      <c r="CK166" s="7676"/>
      <c r="CL166" s="7676"/>
      <c r="CM166" s="7677"/>
      <c r="CN166" s="7675"/>
      <c r="CO166" s="7676"/>
      <c r="CP166" s="7676"/>
      <c r="CQ166" s="7676"/>
      <c r="CR166" s="7676"/>
      <c r="CS166" s="7676"/>
      <c r="CT166" s="7677"/>
      <c r="CU166" s="7677"/>
      <c r="CV166" s="1182" t="s">
        <v>574</v>
      </c>
      <c r="CW166" s="1562"/>
      <c r="CX166" s="1544"/>
      <c r="CY166" s="1544" t="str">
        <f t="shared" si="2"/>
        <v>Территория действия тарифа</v>
      </c>
      <c r="CZ166" s="1544"/>
      <c r="DA166" s="1544"/>
    </row>
    <row r="167" spans="1:105" s="1827" customFormat="1" ht="23.25" customHeight="1">
      <c r="A167" s="1284"/>
      <c r="B167" s="1284"/>
      <c r="C167" s="1284" t="s">
        <v>365</v>
      </c>
      <c r="D167" s="1284"/>
      <c r="E167" s="7690" t="s">
        <v>121</v>
      </c>
      <c r="F167" s="7690"/>
      <c r="G167" s="7689">
        <v>1</v>
      </c>
      <c r="H167" s="1284"/>
      <c r="I167" s="1284"/>
      <c r="J167" s="1284"/>
      <c r="K167" s="1284"/>
      <c r="L167" s="1290"/>
      <c r="M167" s="1286"/>
      <c r="N167" s="1286"/>
      <c r="O167" s="1286"/>
      <c r="P167" s="275"/>
      <c r="Q167" s="273"/>
      <c r="R167" s="274"/>
      <c r="S167" s="1813" t="str">
        <f>INDEX(PT_DIFFERENTIATION_NUM_CS,MATCH(C167,PT_DIFFERENTIATION_CS_ID,0))</f>
        <v>9.1.1</v>
      </c>
      <c r="T167" s="225" t="s">
        <v>654</v>
      </c>
      <c r="U167" s="214"/>
      <c r="V167" s="7675"/>
      <c r="W167" s="7676"/>
      <c r="X167" s="7676"/>
      <c r="Y167" s="7676"/>
      <c r="Z167" s="7676"/>
      <c r="AA167" s="7676"/>
      <c r="AB167" s="7677"/>
      <c r="AC167" s="7675" t="str">
        <f>INDEX(PT_DIFFERENTIATION_CS,MATCH(C167,PT_DIFFERENTIATION_CS_ID,0))</f>
        <v>без дифференциации</v>
      </c>
      <c r="AD167" s="7676"/>
      <c r="AE167" s="7676"/>
      <c r="AF167" s="7676"/>
      <c r="AG167" s="7676"/>
      <c r="AH167" s="7676"/>
      <c r="AI167" s="7676"/>
      <c r="AJ167" s="7675"/>
      <c r="AK167" s="7676"/>
      <c r="AL167" s="7676"/>
      <c r="AM167" s="7676"/>
      <c r="AN167" s="7676"/>
      <c r="AO167" s="7676"/>
      <c r="AP167" s="7677"/>
      <c r="AQ167" s="7675"/>
      <c r="AR167" s="7676"/>
      <c r="AS167" s="7676"/>
      <c r="AT167" s="7676"/>
      <c r="AU167" s="7676"/>
      <c r="AV167" s="7676"/>
      <c r="AW167" s="7677"/>
      <c r="AX167" s="7675"/>
      <c r="AY167" s="7676"/>
      <c r="AZ167" s="7676"/>
      <c r="BA167" s="7676"/>
      <c r="BB167" s="7676"/>
      <c r="BC167" s="7676"/>
      <c r="BD167" s="7677"/>
      <c r="BE167" s="7675"/>
      <c r="BF167" s="7676"/>
      <c r="BG167" s="7676"/>
      <c r="BH167" s="7676"/>
      <c r="BI167" s="7676"/>
      <c r="BJ167" s="7676"/>
      <c r="BK167" s="7677"/>
      <c r="BL167" s="7675"/>
      <c r="BM167" s="7676"/>
      <c r="BN167" s="7676"/>
      <c r="BO167" s="7676"/>
      <c r="BP167" s="7676"/>
      <c r="BQ167" s="7676"/>
      <c r="BR167" s="7677"/>
      <c r="BS167" s="7675"/>
      <c r="BT167" s="7676"/>
      <c r="BU167" s="7676"/>
      <c r="BV167" s="7676"/>
      <c r="BW167" s="7676"/>
      <c r="BX167" s="7676"/>
      <c r="BY167" s="7677"/>
      <c r="BZ167" s="7675"/>
      <c r="CA167" s="7676"/>
      <c r="CB167" s="7676"/>
      <c r="CC167" s="7676"/>
      <c r="CD167" s="7676"/>
      <c r="CE167" s="7676"/>
      <c r="CF167" s="7677"/>
      <c r="CG167" s="7675"/>
      <c r="CH167" s="7676"/>
      <c r="CI167" s="7676"/>
      <c r="CJ167" s="7676"/>
      <c r="CK167" s="7676"/>
      <c r="CL167" s="7676"/>
      <c r="CM167" s="7677"/>
      <c r="CN167" s="7675"/>
      <c r="CO167" s="7676"/>
      <c r="CP167" s="7676"/>
      <c r="CQ167" s="7676"/>
      <c r="CR167" s="7676"/>
      <c r="CS167" s="7676"/>
      <c r="CT167" s="7677"/>
      <c r="CU167" s="7677"/>
      <c r="CV167" s="1182" t="s">
        <v>655</v>
      </c>
      <c r="CW167" s="1562"/>
      <c r="CX167" s="1544"/>
      <c r="CY167" s="1544" t="str">
        <f t="shared" si="2"/>
        <v>Наименование централизованной системы холодного водоснабжения</v>
      </c>
      <c r="CZ167" s="1544"/>
      <c r="DA167" s="1544"/>
    </row>
    <row r="168" spans="1:105" s="1827" customFormat="1" ht="23.25" customHeight="1">
      <c r="A168" s="1284"/>
      <c r="B168" s="1284"/>
      <c r="C168" s="1284"/>
      <c r="D168" s="1284"/>
      <c r="E168" s="7690" t="s">
        <v>121</v>
      </c>
      <c r="F168" s="7690"/>
      <c r="G168" s="7690"/>
      <c r="H168" s="7690"/>
      <c r="I168" s="7687" t="str">
        <f>S167&amp;".1"</f>
        <v>9.1.1.1</v>
      </c>
      <c r="J168" s="1284"/>
      <c r="K168" s="1284"/>
      <c r="L168" s="1290"/>
      <c r="M168" s="1696"/>
      <c r="N168" s="1696"/>
      <c r="O168" s="1696"/>
      <c r="P168" s="7688">
        <v>1</v>
      </c>
      <c r="Q168" s="1816"/>
      <c r="R168" s="277"/>
      <c r="S168" s="1813" t="str">
        <f>$I168</f>
        <v>9.1.1.1</v>
      </c>
      <c r="T168" s="200" t="s">
        <v>656</v>
      </c>
      <c r="U168" s="214"/>
      <c r="V168" s="7748"/>
      <c r="W168" s="7749"/>
      <c r="X168" s="7749"/>
      <c r="Y168" s="7749"/>
      <c r="Z168" s="7749"/>
      <c r="AA168" s="7749"/>
      <c r="AB168" s="7750"/>
      <c r="AC168" s="7751"/>
      <c r="AD168" s="7752"/>
      <c r="AE168" s="7752"/>
      <c r="AF168" s="7752"/>
      <c r="AG168" s="7752"/>
      <c r="AH168" s="7752"/>
      <c r="AI168" s="7752"/>
      <c r="AJ168" s="7748"/>
      <c r="AK168" s="7749"/>
      <c r="AL168" s="7749"/>
      <c r="AM168" s="7749"/>
      <c r="AN168" s="7749"/>
      <c r="AO168" s="7749"/>
      <c r="AP168" s="7750"/>
      <c r="AQ168" s="7748"/>
      <c r="AR168" s="7749"/>
      <c r="AS168" s="7749"/>
      <c r="AT168" s="7749"/>
      <c r="AU168" s="7749"/>
      <c r="AV168" s="7749"/>
      <c r="AW168" s="7750"/>
      <c r="AX168" s="7748"/>
      <c r="AY168" s="7749"/>
      <c r="AZ168" s="7749"/>
      <c r="BA168" s="7749"/>
      <c r="BB168" s="7749"/>
      <c r="BC168" s="7749"/>
      <c r="BD168" s="7750"/>
      <c r="BE168" s="7748"/>
      <c r="BF168" s="7749"/>
      <c r="BG168" s="7749"/>
      <c r="BH168" s="7749"/>
      <c r="BI168" s="7749"/>
      <c r="BJ168" s="7749"/>
      <c r="BK168" s="7750"/>
      <c r="BL168" s="7748"/>
      <c r="BM168" s="7749"/>
      <c r="BN168" s="7749"/>
      <c r="BO168" s="7749"/>
      <c r="BP168" s="7749"/>
      <c r="BQ168" s="7749"/>
      <c r="BR168" s="7750"/>
      <c r="BS168" s="7748"/>
      <c r="BT168" s="7749"/>
      <c r="BU168" s="7749"/>
      <c r="BV168" s="7749"/>
      <c r="BW168" s="7749"/>
      <c r="BX168" s="7749"/>
      <c r="BY168" s="7750"/>
      <c r="BZ168" s="7748"/>
      <c r="CA168" s="7749"/>
      <c r="CB168" s="7749"/>
      <c r="CC168" s="7749"/>
      <c r="CD168" s="7749"/>
      <c r="CE168" s="7749"/>
      <c r="CF168" s="7750"/>
      <c r="CG168" s="7748"/>
      <c r="CH168" s="7749"/>
      <c r="CI168" s="7749"/>
      <c r="CJ168" s="7749"/>
      <c r="CK168" s="7749"/>
      <c r="CL168" s="7749"/>
      <c r="CM168" s="7750"/>
      <c r="CN168" s="7748"/>
      <c r="CO168" s="7749"/>
      <c r="CP168" s="7749"/>
      <c r="CQ168" s="7749"/>
      <c r="CR168" s="7749"/>
      <c r="CS168" s="7749"/>
      <c r="CT168" s="7750"/>
      <c r="CU168" s="7753"/>
      <c r="CV168" s="1182" t="s">
        <v>657</v>
      </c>
      <c r="CW168" s="1562"/>
      <c r="CX168" s="1544"/>
      <c r="CY168" s="1544" t="str">
        <f t="shared" si="2"/>
        <v>Наименование признака дифференциации</v>
      </c>
      <c r="CZ168" s="1544"/>
      <c r="DA168" s="1544"/>
    </row>
    <row r="169" spans="1:105" s="1827" customFormat="1" ht="23.25" customHeight="1">
      <c r="A169" s="1284"/>
      <c r="B169" s="1284"/>
      <c r="C169" s="1284"/>
      <c r="D169" s="1284"/>
      <c r="E169" s="7690" t="s">
        <v>121</v>
      </c>
      <c r="F169" s="7690"/>
      <c r="G169" s="7690"/>
      <c r="H169" s="7690"/>
      <c r="I169" s="7710"/>
      <c r="J169" s="7687" t="str">
        <f>I168&amp;".1"</f>
        <v>9.1.1.1.1</v>
      </c>
      <c r="K169" s="1284"/>
      <c r="L169" s="1290" t="s">
        <v>582</v>
      </c>
      <c r="M169" s="1696"/>
      <c r="N169" s="1696"/>
      <c r="O169" s="1696"/>
      <c r="P169" s="7688"/>
      <c r="Q169" s="7688">
        <v>1</v>
      </c>
      <c r="R169" s="278"/>
      <c r="S169" s="1813" t="str">
        <f>$J169</f>
        <v>9.1.1.1.1</v>
      </c>
      <c r="T169" s="201" t="s">
        <v>583</v>
      </c>
      <c r="U169" s="214"/>
      <c r="V169" s="7678"/>
      <c r="W169" s="7679"/>
      <c r="X169" s="7679"/>
      <c r="Y169" s="7679"/>
      <c r="Z169" s="7679"/>
      <c r="AA169" s="7679"/>
      <c r="AB169" s="7680"/>
      <c r="AC169" s="7678" t="s">
        <v>671</v>
      </c>
      <c r="AD169" s="7679"/>
      <c r="AE169" s="7679"/>
      <c r="AF169" s="7679"/>
      <c r="AG169" s="7679"/>
      <c r="AH169" s="7679"/>
      <c r="AI169" s="7679"/>
      <c r="AJ169" s="7678"/>
      <c r="AK169" s="7679"/>
      <c r="AL169" s="7679"/>
      <c r="AM169" s="7679"/>
      <c r="AN169" s="7679"/>
      <c r="AO169" s="7679"/>
      <c r="AP169" s="7680"/>
      <c r="AQ169" s="7678"/>
      <c r="AR169" s="7679"/>
      <c r="AS169" s="7679"/>
      <c r="AT169" s="7679"/>
      <c r="AU169" s="7679"/>
      <c r="AV169" s="7679"/>
      <c r="AW169" s="7680"/>
      <c r="AX169" s="7678"/>
      <c r="AY169" s="7679"/>
      <c r="AZ169" s="7679"/>
      <c r="BA169" s="7679"/>
      <c r="BB169" s="7679"/>
      <c r="BC169" s="7679"/>
      <c r="BD169" s="7680"/>
      <c r="BE169" s="7678"/>
      <c r="BF169" s="7679"/>
      <c r="BG169" s="7679"/>
      <c r="BH169" s="7679"/>
      <c r="BI169" s="7679"/>
      <c r="BJ169" s="7679"/>
      <c r="BK169" s="7680"/>
      <c r="BL169" s="7678"/>
      <c r="BM169" s="7679"/>
      <c r="BN169" s="7679"/>
      <c r="BO169" s="7679"/>
      <c r="BP169" s="7679"/>
      <c r="BQ169" s="7679"/>
      <c r="BR169" s="7680"/>
      <c r="BS169" s="7678"/>
      <c r="BT169" s="7679"/>
      <c r="BU169" s="7679"/>
      <c r="BV169" s="7679"/>
      <c r="BW169" s="7679"/>
      <c r="BX169" s="7679"/>
      <c r="BY169" s="7680"/>
      <c r="BZ169" s="7678"/>
      <c r="CA169" s="7679"/>
      <c r="CB169" s="7679"/>
      <c r="CC169" s="7679"/>
      <c r="CD169" s="7679"/>
      <c r="CE169" s="7679"/>
      <c r="CF169" s="7680"/>
      <c r="CG169" s="7678"/>
      <c r="CH169" s="7679"/>
      <c r="CI169" s="7679"/>
      <c r="CJ169" s="7679"/>
      <c r="CK169" s="7679"/>
      <c r="CL169" s="7679"/>
      <c r="CM169" s="7680"/>
      <c r="CN169" s="7678"/>
      <c r="CO169" s="7679"/>
      <c r="CP169" s="7679"/>
      <c r="CQ169" s="7679"/>
      <c r="CR169" s="7679"/>
      <c r="CS169" s="7679"/>
      <c r="CT169" s="7680"/>
      <c r="CU169" s="7680"/>
      <c r="CV169" s="1231" t="s">
        <v>658</v>
      </c>
      <c r="CW169" s="1562"/>
      <c r="CX169" s="1544"/>
      <c r="CY169" s="1544" t="str">
        <f t="shared" ref="CY169:CY232" si="3">IF(T169="","",T169)</f>
        <v>Группа потребителей</v>
      </c>
      <c r="CZ169" s="1544"/>
      <c r="DA169" s="1544"/>
    </row>
    <row r="170" spans="1:105" s="1827" customFormat="1" ht="23.25" customHeight="1">
      <c r="A170" s="1284"/>
      <c r="B170" s="1284"/>
      <c r="C170" s="1284"/>
      <c r="D170" s="1284"/>
      <c r="E170" s="7690" t="s">
        <v>121</v>
      </c>
      <c r="F170" s="7690"/>
      <c r="G170" s="7690"/>
      <c r="H170" s="7690"/>
      <c r="I170" s="7710"/>
      <c r="J170" s="7710"/>
      <c r="K170" s="7687" t="str">
        <f>J169&amp;".1"</f>
        <v>9.1.1.1.1.1</v>
      </c>
      <c r="L170" s="1290"/>
      <c r="M170" s="1696"/>
      <c r="N170" s="1696"/>
      <c r="O170" s="1696"/>
      <c r="P170" s="7688"/>
      <c r="Q170" s="7688"/>
      <c r="R170" s="278">
        <v>1</v>
      </c>
      <c r="S170" s="1813" t="str">
        <f>$K170</f>
        <v>9.1.1.1.1.1</v>
      </c>
      <c r="T170" s="1357" t="s">
        <v>672</v>
      </c>
      <c r="U170" s="214"/>
      <c r="V170" s="666"/>
      <c r="W170" s="666"/>
      <c r="X170" s="1181"/>
      <c r="Y170" s="7692"/>
      <c r="Z170" s="7540" t="s">
        <v>60</v>
      </c>
      <c r="AA170" s="7692"/>
      <c r="AB170" s="7540" t="s">
        <v>60</v>
      </c>
      <c r="AC170" s="666">
        <v>56.42</v>
      </c>
      <c r="AD170" s="666"/>
      <c r="AE170" s="1181"/>
      <c r="AF170" s="7692">
        <v>45292</v>
      </c>
      <c r="AG170" s="7540" t="s">
        <v>60</v>
      </c>
      <c r="AH170" s="7711">
        <v>45473</v>
      </c>
      <c r="AI170" s="7540" t="s">
        <v>60</v>
      </c>
      <c r="AJ170" s="666">
        <v>61.5</v>
      </c>
      <c r="AK170" s="666"/>
      <c r="AL170" s="1181"/>
      <c r="AM170" s="7692">
        <v>45474</v>
      </c>
      <c r="AN170" s="7540" t="s">
        <v>60</v>
      </c>
      <c r="AO170" s="7692">
        <v>45657</v>
      </c>
      <c r="AP170" s="7540" t="s">
        <v>60</v>
      </c>
      <c r="AQ170" s="666">
        <v>61.5</v>
      </c>
      <c r="AR170" s="666"/>
      <c r="AS170" s="1181"/>
      <c r="AT170" s="7692">
        <v>45658</v>
      </c>
      <c r="AU170" s="7540" t="s">
        <v>60</v>
      </c>
      <c r="AV170" s="7692">
        <v>45838</v>
      </c>
      <c r="AW170" s="7540" t="s">
        <v>60</v>
      </c>
      <c r="AX170" s="666">
        <v>65.010000000000005</v>
      </c>
      <c r="AY170" s="666"/>
      <c r="AZ170" s="1181"/>
      <c r="BA170" s="7692">
        <v>45839</v>
      </c>
      <c r="BB170" s="7540" t="s">
        <v>60</v>
      </c>
      <c r="BC170" s="7692">
        <v>46022</v>
      </c>
      <c r="BD170" s="7540" t="s">
        <v>60</v>
      </c>
      <c r="BE170" s="666">
        <v>65.010000000000005</v>
      </c>
      <c r="BF170" s="666"/>
      <c r="BG170" s="1181"/>
      <c r="BH170" s="7692">
        <v>46023</v>
      </c>
      <c r="BI170" s="7540" t="s">
        <v>60</v>
      </c>
      <c r="BJ170" s="7692">
        <v>46203</v>
      </c>
      <c r="BK170" s="7540" t="s">
        <v>60</v>
      </c>
      <c r="BL170" s="666">
        <v>67.61</v>
      </c>
      <c r="BM170" s="666"/>
      <c r="BN170" s="1181"/>
      <c r="BO170" s="7692">
        <v>46204</v>
      </c>
      <c r="BP170" s="7540" t="s">
        <v>60</v>
      </c>
      <c r="BQ170" s="7692">
        <v>46387</v>
      </c>
      <c r="BR170" s="7540" t="s">
        <v>60</v>
      </c>
      <c r="BS170" s="666">
        <v>67.61</v>
      </c>
      <c r="BT170" s="666"/>
      <c r="BU170" s="1181"/>
      <c r="BV170" s="7692">
        <v>46388</v>
      </c>
      <c r="BW170" s="7540" t="s">
        <v>60</v>
      </c>
      <c r="BX170" s="7692">
        <v>46568</v>
      </c>
      <c r="BY170" s="7540" t="s">
        <v>60</v>
      </c>
      <c r="BZ170" s="666">
        <v>70.31</v>
      </c>
      <c r="CA170" s="666"/>
      <c r="CB170" s="1181"/>
      <c r="CC170" s="7692">
        <v>46569</v>
      </c>
      <c r="CD170" s="7540" t="s">
        <v>60</v>
      </c>
      <c r="CE170" s="7692">
        <v>46752</v>
      </c>
      <c r="CF170" s="7540" t="s">
        <v>60</v>
      </c>
      <c r="CG170" s="666">
        <v>70.31</v>
      </c>
      <c r="CH170" s="666"/>
      <c r="CI170" s="1181"/>
      <c r="CJ170" s="7692">
        <v>46753</v>
      </c>
      <c r="CK170" s="7540" t="s">
        <v>60</v>
      </c>
      <c r="CL170" s="7692">
        <v>46934</v>
      </c>
      <c r="CM170" s="7540" t="s">
        <v>60</v>
      </c>
      <c r="CN170" s="666">
        <v>73.12</v>
      </c>
      <c r="CO170" s="666"/>
      <c r="CP170" s="1181"/>
      <c r="CQ170" s="7692">
        <v>46935</v>
      </c>
      <c r="CR170" s="7540" t="s">
        <v>60</v>
      </c>
      <c r="CS170" s="7692">
        <v>47118</v>
      </c>
      <c r="CT170" s="7540" t="s">
        <v>60</v>
      </c>
      <c r="CU170" s="1358"/>
      <c r="CV170"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70" s="1562" t="e">
        <f ca="1">STRCHECKDATE(V171:CU171)</f>
        <v>#NAME?</v>
      </c>
      <c r="CX170" s="1544"/>
      <c r="CY170" s="1544" t="str">
        <f t="shared" si="3"/>
        <v>Тариф для населения, руб. за 1 куб. метр с НДС</v>
      </c>
      <c r="CZ170" s="1544"/>
      <c r="DA170" s="1544"/>
    </row>
    <row r="171" spans="1:105" s="1827" customFormat="1" ht="14.25" customHeight="1">
      <c r="A171" s="1284"/>
      <c r="B171" s="1284"/>
      <c r="C171" s="1284"/>
      <c r="D171" s="1284"/>
      <c r="E171" s="7690" t="s">
        <v>121</v>
      </c>
      <c r="F171" s="7690"/>
      <c r="G171" s="7690"/>
      <c r="H171" s="7690"/>
      <c r="I171" s="7710"/>
      <c r="J171" s="7710"/>
      <c r="K171" s="7687"/>
      <c r="L171" s="1290"/>
      <c r="M171" s="1696"/>
      <c r="N171" s="1696"/>
      <c r="O171" s="1696"/>
      <c r="P171" s="7688"/>
      <c r="Q171" s="7688"/>
      <c r="R171" s="278"/>
      <c r="S171" s="1822"/>
      <c r="T171" s="214"/>
      <c r="U171" s="214"/>
      <c r="V171" s="246"/>
      <c r="W171" s="246"/>
      <c r="X171" s="250" t="str">
        <f>Y170&amp;"-"&amp;AA170</f>
        <v>-</v>
      </c>
      <c r="Y171" s="7693"/>
      <c r="Z171" s="7540"/>
      <c r="AA171" s="7693"/>
      <c r="AB171" s="7540"/>
      <c r="AC171" s="246"/>
      <c r="AD171" s="246"/>
      <c r="AE171" s="250" t="str">
        <f>AF170&amp;"-"&amp;AH170</f>
        <v>45292-45473</v>
      </c>
      <c r="AF171" s="7693"/>
      <c r="AG171" s="7540"/>
      <c r="AH171" s="7712"/>
      <c r="AI171" s="7540"/>
      <c r="AJ171" s="246"/>
      <c r="AK171" s="246"/>
      <c r="AL171" s="250" t="str">
        <f>AM170&amp;"-"&amp;AO170</f>
        <v>45474-45657</v>
      </c>
      <c r="AM171" s="7693"/>
      <c r="AN171" s="7540"/>
      <c r="AO171" s="7693"/>
      <c r="AP171" s="7540"/>
      <c r="AQ171" s="246"/>
      <c r="AR171" s="246"/>
      <c r="AS171" s="250" t="str">
        <f>AT170&amp;"-"&amp;AV170</f>
        <v>45658-45838</v>
      </c>
      <c r="AT171" s="7693"/>
      <c r="AU171" s="7540"/>
      <c r="AV171" s="7693"/>
      <c r="AW171" s="7540"/>
      <c r="AX171" s="246"/>
      <c r="AY171" s="246"/>
      <c r="AZ171" s="250" t="str">
        <f>BA170&amp;"-"&amp;BC170</f>
        <v>45839-46022</v>
      </c>
      <c r="BA171" s="7693"/>
      <c r="BB171" s="7540"/>
      <c r="BC171" s="7693"/>
      <c r="BD171" s="7540"/>
      <c r="BE171" s="246"/>
      <c r="BF171" s="246"/>
      <c r="BG171" s="250" t="str">
        <f>BH170&amp;"-"&amp;BJ170</f>
        <v>46023-46203</v>
      </c>
      <c r="BH171" s="7693"/>
      <c r="BI171" s="7540"/>
      <c r="BJ171" s="7693"/>
      <c r="BK171" s="7540"/>
      <c r="BL171" s="246"/>
      <c r="BM171" s="246"/>
      <c r="BN171" s="250" t="str">
        <f>BO170&amp;"-"&amp;BQ170</f>
        <v>46204-46387</v>
      </c>
      <c r="BO171" s="7693"/>
      <c r="BP171" s="7540"/>
      <c r="BQ171" s="7693"/>
      <c r="BR171" s="7540"/>
      <c r="BS171" s="246"/>
      <c r="BT171" s="246"/>
      <c r="BU171" s="250" t="str">
        <f>BV170&amp;"-"&amp;BX170</f>
        <v>46388-46568</v>
      </c>
      <c r="BV171" s="7693"/>
      <c r="BW171" s="7540"/>
      <c r="BX171" s="7693"/>
      <c r="BY171" s="7540"/>
      <c r="BZ171" s="246"/>
      <c r="CA171" s="246"/>
      <c r="CB171" s="250" t="str">
        <f>CC170&amp;"-"&amp;CE170</f>
        <v>46569-46752</v>
      </c>
      <c r="CC171" s="7693"/>
      <c r="CD171" s="7540"/>
      <c r="CE171" s="7693"/>
      <c r="CF171" s="7540"/>
      <c r="CG171" s="246"/>
      <c r="CH171" s="246"/>
      <c r="CI171" s="250" t="str">
        <f>CJ170&amp;"-"&amp;CL170</f>
        <v>46753-46934</v>
      </c>
      <c r="CJ171" s="7693"/>
      <c r="CK171" s="7540"/>
      <c r="CL171" s="7693"/>
      <c r="CM171" s="7540"/>
      <c r="CN171" s="246"/>
      <c r="CO171" s="246"/>
      <c r="CP171" s="250" t="str">
        <f>CQ170&amp;"-"&amp;CS170</f>
        <v>46935-47118</v>
      </c>
      <c r="CQ171" s="7693"/>
      <c r="CR171" s="7540"/>
      <c r="CS171" s="7693"/>
      <c r="CT171" s="7540"/>
      <c r="CU171" s="1359"/>
      <c r="CV171" s="7747"/>
      <c r="CW171" s="1562"/>
      <c r="CX171" s="1544"/>
      <c r="CY171" s="1544" t="str">
        <f t="shared" si="3"/>
        <v/>
      </c>
      <c r="CZ171" s="1544"/>
      <c r="DA171" s="1544"/>
    </row>
    <row r="172" spans="1:105" s="1827" customFormat="1" ht="21" customHeight="1">
      <c r="A172" s="1284"/>
      <c r="B172" s="1284"/>
      <c r="C172" s="1284"/>
      <c r="D172" s="1284"/>
      <c r="E172" s="7690" t="s">
        <v>121</v>
      </c>
      <c r="F172" s="7690"/>
      <c r="G172" s="7690"/>
      <c r="H172" s="7690"/>
      <c r="I172" s="7710"/>
      <c r="J172" s="7687"/>
      <c r="K172" s="1284"/>
      <c r="L172" s="1290"/>
      <c r="M172" s="1696"/>
      <c r="N172" s="1696"/>
      <c r="O172" s="1696"/>
      <c r="P172" s="7688"/>
      <c r="Q172" s="7688"/>
      <c r="R172" s="277"/>
      <c r="S172" s="4525"/>
      <c r="T172" s="4526" t="s">
        <v>659</v>
      </c>
      <c r="U172" s="4527"/>
      <c r="V172" s="4528"/>
      <c r="W172" s="4529"/>
      <c r="X172" s="4530"/>
      <c r="Y172" s="4531"/>
      <c r="Z172" s="4532"/>
      <c r="AA172" s="4533"/>
      <c r="AB172" s="4534"/>
      <c r="AC172" s="4535"/>
      <c r="AD172" s="4536"/>
      <c r="AE172" s="4537"/>
      <c r="AF172" s="4538"/>
      <c r="AG172" s="4539"/>
      <c r="AH172" s="4540"/>
      <c r="AI172" s="4541"/>
      <c r="AJ172" s="4542"/>
      <c r="AK172" s="4543"/>
      <c r="AL172" s="4544"/>
      <c r="AM172" s="4545"/>
      <c r="AN172" s="4546"/>
      <c r="AO172" s="4547"/>
      <c r="AP172" s="4548"/>
      <c r="AQ172" s="4549"/>
      <c r="AR172" s="4550"/>
      <c r="AS172" s="4551"/>
      <c r="AT172" s="4552"/>
      <c r="AU172" s="4553"/>
      <c r="AV172" s="4554"/>
      <c r="AW172" s="4555"/>
      <c r="AX172" s="4556"/>
      <c r="AY172" s="4557"/>
      <c r="AZ172" s="4558"/>
      <c r="BA172" s="4559"/>
      <c r="BB172" s="4560"/>
      <c r="BC172" s="4561"/>
      <c r="BD172" s="4562"/>
      <c r="BE172" s="4563"/>
      <c r="BF172" s="4564"/>
      <c r="BG172" s="4565"/>
      <c r="BH172" s="4566"/>
      <c r="BI172" s="4567"/>
      <c r="BJ172" s="4568"/>
      <c r="BK172" s="4569"/>
      <c r="BL172" s="4570"/>
      <c r="BM172" s="4571"/>
      <c r="BN172" s="4572"/>
      <c r="BO172" s="4573"/>
      <c r="BP172" s="4574"/>
      <c r="BQ172" s="4575"/>
      <c r="BR172" s="4576"/>
      <c r="BS172" s="4577"/>
      <c r="BT172" s="4578"/>
      <c r="BU172" s="4579"/>
      <c r="BV172" s="4580"/>
      <c r="BW172" s="4581"/>
      <c r="BX172" s="4582"/>
      <c r="BY172" s="4583"/>
      <c r="BZ172" s="4584"/>
      <c r="CA172" s="4585"/>
      <c r="CB172" s="4586"/>
      <c r="CC172" s="4587"/>
      <c r="CD172" s="4588"/>
      <c r="CE172" s="4589"/>
      <c r="CF172" s="4590"/>
      <c r="CG172" s="4591"/>
      <c r="CH172" s="4592"/>
      <c r="CI172" s="4593"/>
      <c r="CJ172" s="4594"/>
      <c r="CK172" s="4595"/>
      <c r="CL172" s="4596"/>
      <c r="CM172" s="4597"/>
      <c r="CN172" s="4598"/>
      <c r="CO172" s="4599"/>
      <c r="CP172" s="4600"/>
      <c r="CQ172" s="4601"/>
      <c r="CR172" s="4602"/>
      <c r="CS172" s="4603"/>
      <c r="CT172" s="4604"/>
      <c r="CU172" s="4605"/>
      <c r="CV172" s="1182" t="s">
        <v>660</v>
      </c>
      <c r="CW172" s="1562"/>
      <c r="CX172" s="1544"/>
      <c r="CY172" s="1544" t="str">
        <f t="shared" si="3"/>
        <v>Добавить значение признака дифференциации</v>
      </c>
      <c r="CZ172" s="1544"/>
      <c r="DA172" s="1544"/>
    </row>
    <row r="173" spans="1:105" s="1827" customFormat="1" ht="23.25" customHeight="1">
      <c r="A173" s="1284"/>
      <c r="B173" s="1284"/>
      <c r="C173" s="1284"/>
      <c r="D173" s="1284"/>
      <c r="E173" s="7690"/>
      <c r="F173" s="7690"/>
      <c r="G173" s="7690"/>
      <c r="H173" s="7690"/>
      <c r="I173" s="7710"/>
      <c r="J173" s="7687" t="str">
        <f>I168&amp;".2"</f>
        <v>9.1.1.1.2</v>
      </c>
      <c r="K173" s="1284"/>
      <c r="L173" s="1290" t="s">
        <v>582</v>
      </c>
      <c r="M173" s="1696"/>
      <c r="N173" s="1696"/>
      <c r="O173" s="1696"/>
      <c r="P173" s="7688"/>
      <c r="Q173" s="7754" t="s">
        <v>101</v>
      </c>
      <c r="R173" s="278"/>
      <c r="S173" s="1813" t="str">
        <f>$J173</f>
        <v>9.1.1.1.2</v>
      </c>
      <c r="T173" s="201" t="s">
        <v>583</v>
      </c>
      <c r="U173" s="214"/>
      <c r="V173" s="7678"/>
      <c r="W173" s="7679"/>
      <c r="X173" s="7679"/>
      <c r="Y173" s="7679"/>
      <c r="Z173" s="7679"/>
      <c r="AA173" s="7679"/>
      <c r="AB173" s="7680"/>
      <c r="AC173" s="7678" t="s">
        <v>669</v>
      </c>
      <c r="AD173" s="7679"/>
      <c r="AE173" s="7679"/>
      <c r="AF173" s="7679"/>
      <c r="AG173" s="7679"/>
      <c r="AH173" s="7679"/>
      <c r="AI173" s="7679"/>
      <c r="AJ173" s="7678"/>
      <c r="AK173" s="7679"/>
      <c r="AL173" s="7679"/>
      <c r="AM173" s="7679"/>
      <c r="AN173" s="7679"/>
      <c r="AO173" s="7679"/>
      <c r="AP173" s="7680"/>
      <c r="AQ173" s="7678"/>
      <c r="AR173" s="7679"/>
      <c r="AS173" s="7679"/>
      <c r="AT173" s="7679"/>
      <c r="AU173" s="7679"/>
      <c r="AV173" s="7679"/>
      <c r="AW173" s="7680"/>
      <c r="AX173" s="7678"/>
      <c r="AY173" s="7679"/>
      <c r="AZ173" s="7679"/>
      <c r="BA173" s="7679"/>
      <c r="BB173" s="7679"/>
      <c r="BC173" s="7679"/>
      <c r="BD173" s="7680"/>
      <c r="BE173" s="7678"/>
      <c r="BF173" s="7679"/>
      <c r="BG173" s="7679"/>
      <c r="BH173" s="7679"/>
      <c r="BI173" s="7679"/>
      <c r="BJ173" s="7679"/>
      <c r="BK173" s="7680"/>
      <c r="BL173" s="7678"/>
      <c r="BM173" s="7679"/>
      <c r="BN173" s="7679"/>
      <c r="BO173" s="7679"/>
      <c r="BP173" s="7679"/>
      <c r="BQ173" s="7679"/>
      <c r="BR173" s="7680"/>
      <c r="BS173" s="7678"/>
      <c r="BT173" s="7679"/>
      <c r="BU173" s="7679"/>
      <c r="BV173" s="7679"/>
      <c r="BW173" s="7679"/>
      <c r="BX173" s="7679"/>
      <c r="BY173" s="7680"/>
      <c r="BZ173" s="7678"/>
      <c r="CA173" s="7679"/>
      <c r="CB173" s="7679"/>
      <c r="CC173" s="7679"/>
      <c r="CD173" s="7679"/>
      <c r="CE173" s="7679"/>
      <c r="CF173" s="7680"/>
      <c r="CG173" s="7678"/>
      <c r="CH173" s="7679"/>
      <c r="CI173" s="7679"/>
      <c r="CJ173" s="7679"/>
      <c r="CK173" s="7679"/>
      <c r="CL173" s="7679"/>
      <c r="CM173" s="7680"/>
      <c r="CN173" s="7678"/>
      <c r="CO173" s="7679"/>
      <c r="CP173" s="7679"/>
      <c r="CQ173" s="7679"/>
      <c r="CR173" s="7679"/>
      <c r="CS173" s="7679"/>
      <c r="CT173" s="7680"/>
      <c r="CU173" s="7680"/>
      <c r="CV173" s="1231" t="s">
        <v>658</v>
      </c>
      <c r="CW173" s="1562"/>
      <c r="CX173" s="1544"/>
      <c r="CY173" s="1544" t="str">
        <f t="shared" si="3"/>
        <v>Группа потребителей</v>
      </c>
      <c r="CZ173" s="1544"/>
      <c r="DA173" s="1544"/>
    </row>
    <row r="174" spans="1:105" s="1827" customFormat="1" ht="23.25" customHeight="1">
      <c r="A174" s="1284"/>
      <c r="B174" s="1284"/>
      <c r="C174" s="1284"/>
      <c r="D174" s="1284"/>
      <c r="E174" s="7690"/>
      <c r="F174" s="7690"/>
      <c r="G174" s="7690"/>
      <c r="H174" s="7690"/>
      <c r="I174" s="7710"/>
      <c r="J174" s="7710" t="str">
        <f>I168&amp;".1"</f>
        <v>9.1.1.1.1</v>
      </c>
      <c r="K174" s="7687" t="str">
        <f>J173&amp;".1"</f>
        <v>9.1.1.1.2.1</v>
      </c>
      <c r="L174" s="1290"/>
      <c r="M174" s="1696"/>
      <c r="N174" s="1696"/>
      <c r="O174" s="1696"/>
      <c r="P174" s="7688"/>
      <c r="Q174" s="7688"/>
      <c r="R174" s="278">
        <v>1</v>
      </c>
      <c r="S174" s="1813" t="str">
        <f>$K174</f>
        <v>9.1.1.1.2.1</v>
      </c>
      <c r="T174" s="1357" t="s">
        <v>670</v>
      </c>
      <c r="U174" s="214"/>
      <c r="V174" s="666"/>
      <c r="W174" s="666"/>
      <c r="X174" s="1181"/>
      <c r="Y174" s="7692"/>
      <c r="Z174" s="7540" t="s">
        <v>60</v>
      </c>
      <c r="AA174" s="7692"/>
      <c r="AB174" s="7540" t="s">
        <v>60</v>
      </c>
      <c r="AC174" s="666">
        <v>61.08</v>
      </c>
      <c r="AD174" s="666"/>
      <c r="AE174" s="1181"/>
      <c r="AF174" s="7692">
        <v>45292</v>
      </c>
      <c r="AG174" s="7540" t="s">
        <v>60</v>
      </c>
      <c r="AH174" s="7711">
        <v>45473</v>
      </c>
      <c r="AI174" s="7540" t="s">
        <v>60</v>
      </c>
      <c r="AJ174" s="666">
        <v>84.09</v>
      </c>
      <c r="AK174" s="666"/>
      <c r="AL174" s="1181"/>
      <c r="AM174" s="7692">
        <v>45474</v>
      </c>
      <c r="AN174" s="7540" t="s">
        <v>60</v>
      </c>
      <c r="AO174" s="7692">
        <v>45657</v>
      </c>
      <c r="AP174" s="7540" t="s">
        <v>60</v>
      </c>
      <c r="AQ174" s="666">
        <v>77.19</v>
      </c>
      <c r="AR174" s="666"/>
      <c r="AS174" s="1181"/>
      <c r="AT174" s="7692">
        <v>45658</v>
      </c>
      <c r="AU174" s="7540" t="s">
        <v>60</v>
      </c>
      <c r="AV174" s="7692">
        <v>45838</v>
      </c>
      <c r="AW174" s="7540" t="s">
        <v>60</v>
      </c>
      <c r="AX174" s="666">
        <v>77.19</v>
      </c>
      <c r="AY174" s="666"/>
      <c r="AZ174" s="1181"/>
      <c r="BA174" s="7692">
        <v>45839</v>
      </c>
      <c r="BB174" s="7540" t="s">
        <v>60</v>
      </c>
      <c r="BC174" s="7692">
        <v>46022</v>
      </c>
      <c r="BD174" s="7540" t="s">
        <v>60</v>
      </c>
      <c r="BE174" s="666">
        <v>77.19</v>
      </c>
      <c r="BF174" s="666"/>
      <c r="BG174" s="1181"/>
      <c r="BH174" s="7692">
        <v>46023</v>
      </c>
      <c r="BI174" s="7540" t="s">
        <v>60</v>
      </c>
      <c r="BJ174" s="7692">
        <v>46203</v>
      </c>
      <c r="BK174" s="7540" t="s">
        <v>60</v>
      </c>
      <c r="BL174" s="666">
        <v>77.97</v>
      </c>
      <c r="BM174" s="666"/>
      <c r="BN174" s="1181"/>
      <c r="BO174" s="7692">
        <v>46204</v>
      </c>
      <c r="BP174" s="7540" t="s">
        <v>60</v>
      </c>
      <c r="BQ174" s="7692">
        <v>46387</v>
      </c>
      <c r="BR174" s="7540" t="s">
        <v>60</v>
      </c>
      <c r="BS174" s="666">
        <v>77.97</v>
      </c>
      <c r="BT174" s="666"/>
      <c r="BU174" s="1181"/>
      <c r="BV174" s="7692">
        <v>46388</v>
      </c>
      <c r="BW174" s="7540" t="s">
        <v>60</v>
      </c>
      <c r="BX174" s="7692">
        <v>46568</v>
      </c>
      <c r="BY174" s="7540" t="s">
        <v>60</v>
      </c>
      <c r="BZ174" s="666">
        <v>82.24</v>
      </c>
      <c r="CA174" s="666"/>
      <c r="CB174" s="1181"/>
      <c r="CC174" s="7692">
        <v>46569</v>
      </c>
      <c r="CD174" s="7540" t="s">
        <v>60</v>
      </c>
      <c r="CE174" s="7692">
        <v>46752</v>
      </c>
      <c r="CF174" s="7540" t="s">
        <v>60</v>
      </c>
      <c r="CG174" s="666">
        <v>82.24</v>
      </c>
      <c r="CH174" s="666"/>
      <c r="CI174" s="1181"/>
      <c r="CJ174" s="7692">
        <v>46753</v>
      </c>
      <c r="CK174" s="7540" t="s">
        <v>60</v>
      </c>
      <c r="CL174" s="7692">
        <v>46934</v>
      </c>
      <c r="CM174" s="7540" t="s">
        <v>60</v>
      </c>
      <c r="CN174" s="666">
        <v>84.74</v>
      </c>
      <c r="CO174" s="666"/>
      <c r="CP174" s="1181"/>
      <c r="CQ174" s="7692">
        <v>46935</v>
      </c>
      <c r="CR174" s="7540" t="s">
        <v>60</v>
      </c>
      <c r="CS174" s="7692">
        <v>47118</v>
      </c>
      <c r="CT174" s="7540" t="s">
        <v>60</v>
      </c>
      <c r="CU174" s="1358"/>
      <c r="CV174"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74" s="1562" t="e">
        <f ca="1">STRCHECKDATE(V175:CU175)</f>
        <v>#NAME?</v>
      </c>
      <c r="CX174" s="1544"/>
      <c r="CY174" s="1544" t="str">
        <f t="shared" si="3"/>
        <v>Тариф, руб. за 1 куб. метр без НДС</v>
      </c>
      <c r="CZ174" s="1544"/>
      <c r="DA174" s="1544"/>
    </row>
    <row r="175" spans="1:105" s="1827" customFormat="1" ht="14.25" customHeight="1">
      <c r="A175" s="1284"/>
      <c r="B175" s="1284"/>
      <c r="C175" s="1284"/>
      <c r="D175" s="1284"/>
      <c r="E175" s="7690"/>
      <c r="F175" s="7690"/>
      <c r="G175" s="7690"/>
      <c r="H175" s="7690"/>
      <c r="I175" s="7710"/>
      <c r="J175" s="7710" t="str">
        <f>I168&amp;".1"</f>
        <v>9.1.1.1.1</v>
      </c>
      <c r="K175" s="7687"/>
      <c r="L175" s="1290"/>
      <c r="M175" s="1696"/>
      <c r="N175" s="1696"/>
      <c r="O175" s="1696"/>
      <c r="P175" s="7688"/>
      <c r="Q175" s="7688"/>
      <c r="R175" s="278"/>
      <c r="S175" s="1822"/>
      <c r="T175" s="214"/>
      <c r="U175" s="214"/>
      <c r="V175" s="246"/>
      <c r="W175" s="246"/>
      <c r="X175" s="250" t="str">
        <f>Y174&amp;"-"&amp;AA174</f>
        <v>-</v>
      </c>
      <c r="Y175" s="7693"/>
      <c r="Z175" s="7540"/>
      <c r="AA175" s="7693"/>
      <c r="AB175" s="7540"/>
      <c r="AC175" s="246"/>
      <c r="AD175" s="246"/>
      <c r="AE175" s="250" t="str">
        <f>AF174&amp;"-"&amp;AH174</f>
        <v>45292-45473</v>
      </c>
      <c r="AF175" s="7693"/>
      <c r="AG175" s="7540"/>
      <c r="AH175" s="7712"/>
      <c r="AI175" s="7540"/>
      <c r="AJ175" s="246"/>
      <c r="AK175" s="246"/>
      <c r="AL175" s="250" t="str">
        <f>AM174&amp;"-"&amp;AO174</f>
        <v>45474-45657</v>
      </c>
      <c r="AM175" s="7693"/>
      <c r="AN175" s="7540"/>
      <c r="AO175" s="7693"/>
      <c r="AP175" s="7540"/>
      <c r="AQ175" s="246"/>
      <c r="AR175" s="246"/>
      <c r="AS175" s="250" t="str">
        <f>AT174&amp;"-"&amp;AV174</f>
        <v>45658-45838</v>
      </c>
      <c r="AT175" s="7693"/>
      <c r="AU175" s="7540"/>
      <c r="AV175" s="7693"/>
      <c r="AW175" s="7540"/>
      <c r="AX175" s="246"/>
      <c r="AY175" s="246"/>
      <c r="AZ175" s="250" t="str">
        <f>BA174&amp;"-"&amp;BC174</f>
        <v>45839-46022</v>
      </c>
      <c r="BA175" s="7693"/>
      <c r="BB175" s="7540"/>
      <c r="BC175" s="7693"/>
      <c r="BD175" s="7540"/>
      <c r="BE175" s="246"/>
      <c r="BF175" s="246"/>
      <c r="BG175" s="250" t="str">
        <f>BH174&amp;"-"&amp;BJ174</f>
        <v>46023-46203</v>
      </c>
      <c r="BH175" s="7693"/>
      <c r="BI175" s="7540"/>
      <c r="BJ175" s="7693"/>
      <c r="BK175" s="7540"/>
      <c r="BL175" s="246"/>
      <c r="BM175" s="246"/>
      <c r="BN175" s="250" t="str">
        <f>BO174&amp;"-"&amp;BQ174</f>
        <v>46204-46387</v>
      </c>
      <c r="BO175" s="7693"/>
      <c r="BP175" s="7540"/>
      <c r="BQ175" s="7693"/>
      <c r="BR175" s="7540"/>
      <c r="BS175" s="246"/>
      <c r="BT175" s="246"/>
      <c r="BU175" s="250" t="str">
        <f>BV174&amp;"-"&amp;BX174</f>
        <v>46388-46568</v>
      </c>
      <c r="BV175" s="7693"/>
      <c r="BW175" s="7540"/>
      <c r="BX175" s="7693"/>
      <c r="BY175" s="7540"/>
      <c r="BZ175" s="246"/>
      <c r="CA175" s="246"/>
      <c r="CB175" s="250" t="str">
        <f>CC174&amp;"-"&amp;CE174</f>
        <v>46569-46752</v>
      </c>
      <c r="CC175" s="7693"/>
      <c r="CD175" s="7540"/>
      <c r="CE175" s="7693"/>
      <c r="CF175" s="7540"/>
      <c r="CG175" s="246"/>
      <c r="CH175" s="246"/>
      <c r="CI175" s="250" t="str">
        <f>CJ174&amp;"-"&amp;CL174</f>
        <v>46753-46934</v>
      </c>
      <c r="CJ175" s="7693"/>
      <c r="CK175" s="7540"/>
      <c r="CL175" s="7693"/>
      <c r="CM175" s="7540"/>
      <c r="CN175" s="246"/>
      <c r="CO175" s="246"/>
      <c r="CP175" s="250" t="str">
        <f>CQ174&amp;"-"&amp;CS174</f>
        <v>46935-47118</v>
      </c>
      <c r="CQ175" s="7693"/>
      <c r="CR175" s="7540"/>
      <c r="CS175" s="7693"/>
      <c r="CT175" s="7540"/>
      <c r="CU175" s="1359"/>
      <c r="CV175" s="7747"/>
      <c r="CW175" s="1562"/>
      <c r="CX175" s="1544"/>
      <c r="CY175" s="1544" t="str">
        <f t="shared" si="3"/>
        <v/>
      </c>
      <c r="CZ175" s="1544"/>
      <c r="DA175" s="1544"/>
    </row>
    <row r="176" spans="1:105" s="1827" customFormat="1" ht="21" customHeight="1">
      <c r="A176" s="1284"/>
      <c r="B176" s="1284"/>
      <c r="C176" s="1284"/>
      <c r="D176" s="1284"/>
      <c r="E176" s="7690"/>
      <c r="F176" s="7690"/>
      <c r="G176" s="7690"/>
      <c r="H176" s="7690"/>
      <c r="I176" s="7710"/>
      <c r="J176" s="7687" t="str">
        <f>I168&amp;".1"</f>
        <v>9.1.1.1.1</v>
      </c>
      <c r="K176" s="1284"/>
      <c r="L176" s="1290"/>
      <c r="M176" s="1696"/>
      <c r="N176" s="1696"/>
      <c r="O176" s="1696"/>
      <c r="P176" s="7688"/>
      <c r="Q176" s="7688"/>
      <c r="R176" s="277"/>
      <c r="S176" s="4606"/>
      <c r="T176" s="4607" t="s">
        <v>659</v>
      </c>
      <c r="U176" s="4608"/>
      <c r="V176" s="4609"/>
      <c r="W176" s="4610"/>
      <c r="X176" s="4611"/>
      <c r="Y176" s="4612"/>
      <c r="Z176" s="4613"/>
      <c r="AA176" s="4614"/>
      <c r="AB176" s="4615"/>
      <c r="AC176" s="4616"/>
      <c r="AD176" s="4617"/>
      <c r="AE176" s="4618"/>
      <c r="AF176" s="4619"/>
      <c r="AG176" s="4620"/>
      <c r="AH176" s="4621"/>
      <c r="AI176" s="4622"/>
      <c r="AJ176" s="4623"/>
      <c r="AK176" s="4624"/>
      <c r="AL176" s="4625"/>
      <c r="AM176" s="4626"/>
      <c r="AN176" s="4627"/>
      <c r="AO176" s="4628"/>
      <c r="AP176" s="4629"/>
      <c r="AQ176" s="4630"/>
      <c r="AR176" s="4631"/>
      <c r="AS176" s="4632"/>
      <c r="AT176" s="4633"/>
      <c r="AU176" s="4634"/>
      <c r="AV176" s="4635"/>
      <c r="AW176" s="4636"/>
      <c r="AX176" s="4637"/>
      <c r="AY176" s="4638"/>
      <c r="AZ176" s="4639"/>
      <c r="BA176" s="4640"/>
      <c r="BB176" s="4641"/>
      <c r="BC176" s="4642"/>
      <c r="BD176" s="4643"/>
      <c r="BE176" s="4644"/>
      <c r="BF176" s="4645"/>
      <c r="BG176" s="4646"/>
      <c r="BH176" s="4647"/>
      <c r="BI176" s="4648"/>
      <c r="BJ176" s="4649"/>
      <c r="BK176" s="4650"/>
      <c r="BL176" s="4651"/>
      <c r="BM176" s="4652"/>
      <c r="BN176" s="4653"/>
      <c r="BO176" s="4654"/>
      <c r="BP176" s="4655"/>
      <c r="BQ176" s="4656"/>
      <c r="BR176" s="4657"/>
      <c r="BS176" s="4658"/>
      <c r="BT176" s="4659"/>
      <c r="BU176" s="4660"/>
      <c r="BV176" s="4661"/>
      <c r="BW176" s="4662"/>
      <c r="BX176" s="4663"/>
      <c r="BY176" s="4664"/>
      <c r="BZ176" s="4665"/>
      <c r="CA176" s="4666"/>
      <c r="CB176" s="4667"/>
      <c r="CC176" s="4668"/>
      <c r="CD176" s="4669"/>
      <c r="CE176" s="4670"/>
      <c r="CF176" s="4671"/>
      <c r="CG176" s="4672"/>
      <c r="CH176" s="4673"/>
      <c r="CI176" s="4674"/>
      <c r="CJ176" s="4675"/>
      <c r="CK176" s="4676"/>
      <c r="CL176" s="4677"/>
      <c r="CM176" s="4678"/>
      <c r="CN176" s="4679"/>
      <c r="CO176" s="4680"/>
      <c r="CP176" s="4681"/>
      <c r="CQ176" s="4682"/>
      <c r="CR176" s="4683"/>
      <c r="CS176" s="4684"/>
      <c r="CT176" s="4685"/>
      <c r="CU176" s="4686"/>
      <c r="CV176" s="1182" t="s">
        <v>660</v>
      </c>
      <c r="CW176" s="1562"/>
      <c r="CX176" s="1544"/>
      <c r="CY176" s="1544" t="str">
        <f t="shared" si="3"/>
        <v>Добавить значение признака дифференциации</v>
      </c>
      <c r="CZ176" s="1544"/>
      <c r="DA176" s="1544"/>
    </row>
    <row r="177" spans="1:105" s="1827" customFormat="1" ht="21" customHeight="1">
      <c r="A177" s="1284"/>
      <c r="B177" s="1284"/>
      <c r="C177" s="1284"/>
      <c r="D177" s="1284"/>
      <c r="E177" s="7690" t="s">
        <v>121</v>
      </c>
      <c r="F177" s="7690"/>
      <c r="G177" s="7690"/>
      <c r="H177" s="7690"/>
      <c r="I177" s="7687"/>
      <c r="J177" s="1284"/>
      <c r="K177" s="1284"/>
      <c r="L177" s="1290"/>
      <c r="M177" s="1696"/>
      <c r="N177" s="1696"/>
      <c r="O177" s="1696"/>
      <c r="P177" s="7688"/>
      <c r="Q177" s="1816"/>
      <c r="R177" s="277"/>
      <c r="S177" s="4687"/>
      <c r="T177" s="4688" t="s">
        <v>588</v>
      </c>
      <c r="U177" s="4689"/>
      <c r="V177" s="4690"/>
      <c r="W177" s="4691"/>
      <c r="X177" s="4692"/>
      <c r="Y177" s="4693"/>
      <c r="Z177" s="4694"/>
      <c r="AA177" s="4695"/>
      <c r="AB177" s="4696"/>
      <c r="AC177" s="4697"/>
      <c r="AD177" s="4698"/>
      <c r="AE177" s="4699"/>
      <c r="AF177" s="4700"/>
      <c r="AG177" s="4701"/>
      <c r="AH177" s="4702"/>
      <c r="AI177" s="4703"/>
      <c r="AJ177" s="4704"/>
      <c r="AK177" s="4705"/>
      <c r="AL177" s="4706"/>
      <c r="AM177" s="4707"/>
      <c r="AN177" s="4708"/>
      <c r="AO177" s="4709"/>
      <c r="AP177" s="4710"/>
      <c r="AQ177" s="4711"/>
      <c r="AR177" s="4712"/>
      <c r="AS177" s="4713"/>
      <c r="AT177" s="4714"/>
      <c r="AU177" s="4715"/>
      <c r="AV177" s="4716"/>
      <c r="AW177" s="4717"/>
      <c r="AX177" s="4718"/>
      <c r="AY177" s="4719"/>
      <c r="AZ177" s="4720"/>
      <c r="BA177" s="4721"/>
      <c r="BB177" s="4722"/>
      <c r="BC177" s="4723"/>
      <c r="BD177" s="4724"/>
      <c r="BE177" s="4725"/>
      <c r="BF177" s="4726"/>
      <c r="BG177" s="4727"/>
      <c r="BH177" s="4728"/>
      <c r="BI177" s="4729"/>
      <c r="BJ177" s="4730"/>
      <c r="BK177" s="4731"/>
      <c r="BL177" s="4732"/>
      <c r="BM177" s="4733"/>
      <c r="BN177" s="4734"/>
      <c r="BO177" s="4735"/>
      <c r="BP177" s="4736"/>
      <c r="BQ177" s="4737"/>
      <c r="BR177" s="4738"/>
      <c r="BS177" s="4739"/>
      <c r="BT177" s="4740"/>
      <c r="BU177" s="4741"/>
      <c r="BV177" s="4742"/>
      <c r="BW177" s="4743"/>
      <c r="BX177" s="4744"/>
      <c r="BY177" s="4745"/>
      <c r="BZ177" s="4746"/>
      <c r="CA177" s="4747"/>
      <c r="CB177" s="4748"/>
      <c r="CC177" s="4749"/>
      <c r="CD177" s="4750"/>
      <c r="CE177" s="4751"/>
      <c r="CF177" s="4752"/>
      <c r="CG177" s="4753"/>
      <c r="CH177" s="4754"/>
      <c r="CI177" s="4755"/>
      <c r="CJ177" s="4756"/>
      <c r="CK177" s="4757"/>
      <c r="CL177" s="4758"/>
      <c r="CM177" s="4759"/>
      <c r="CN177" s="4760"/>
      <c r="CO177" s="4761"/>
      <c r="CP177" s="4762"/>
      <c r="CQ177" s="4763"/>
      <c r="CR177" s="4764"/>
      <c r="CS177" s="4765"/>
      <c r="CT177" s="4766"/>
      <c r="CU177" s="4767"/>
      <c r="CV177" s="4768"/>
      <c r="CW177" s="1562"/>
      <c r="CX177" s="1544"/>
      <c r="CY177" s="1544" t="str">
        <f t="shared" si="3"/>
        <v>Добавить группу потребителей</v>
      </c>
      <c r="CZ177" s="1544"/>
      <c r="DA177" s="1544"/>
    </row>
    <row r="178" spans="1:105" s="1827" customFormat="1" ht="14.25" customHeight="1">
      <c r="A178" s="1284"/>
      <c r="B178" s="1284"/>
      <c r="C178" s="1284"/>
      <c r="D178" s="1284"/>
      <c r="E178" s="7690" t="s">
        <v>121</v>
      </c>
      <c r="F178" s="7690"/>
      <c r="G178" s="7690"/>
      <c r="H178" s="7689"/>
      <c r="I178" s="1284"/>
      <c r="J178" s="1284"/>
      <c r="K178" s="1284"/>
      <c r="L178" s="1290"/>
      <c r="M178" s="1286"/>
      <c r="N178" s="1286"/>
      <c r="O178" s="1287"/>
      <c r="P178" s="1742"/>
      <c r="Q178" s="299"/>
      <c r="R178" s="276"/>
      <c r="S178" s="4769"/>
      <c r="T178" s="4770" t="s">
        <v>661</v>
      </c>
      <c r="U178" s="4771"/>
      <c r="V178" s="4772"/>
      <c r="W178" s="4773"/>
      <c r="X178" s="4774"/>
      <c r="Y178" s="4775"/>
      <c r="Z178" s="4776"/>
      <c r="AA178" s="4777"/>
      <c r="AB178" s="4778"/>
      <c r="AC178" s="4779"/>
      <c r="AD178" s="4780"/>
      <c r="AE178" s="4781"/>
      <c r="AF178" s="4782"/>
      <c r="AG178" s="4783"/>
      <c r="AH178" s="4784"/>
      <c r="AI178" s="4785"/>
      <c r="AJ178" s="4786"/>
      <c r="AK178" s="4787"/>
      <c r="AL178" s="4788"/>
      <c r="AM178" s="4789"/>
      <c r="AN178" s="4790"/>
      <c r="AO178" s="4791"/>
      <c r="AP178" s="4792"/>
      <c r="AQ178" s="4793"/>
      <c r="AR178" s="4794"/>
      <c r="AS178" s="4795"/>
      <c r="AT178" s="4796"/>
      <c r="AU178" s="4797"/>
      <c r="AV178" s="4798"/>
      <c r="AW178" s="4799"/>
      <c r="AX178" s="4800"/>
      <c r="AY178" s="4801"/>
      <c r="AZ178" s="4802"/>
      <c r="BA178" s="4803"/>
      <c r="BB178" s="4804"/>
      <c r="BC178" s="4805"/>
      <c r="BD178" s="4806"/>
      <c r="BE178" s="4807"/>
      <c r="BF178" s="4808"/>
      <c r="BG178" s="4809"/>
      <c r="BH178" s="4810"/>
      <c r="BI178" s="4811"/>
      <c r="BJ178" s="4812"/>
      <c r="BK178" s="4813"/>
      <c r="BL178" s="4814"/>
      <c r="BM178" s="4815"/>
      <c r="BN178" s="4816"/>
      <c r="BO178" s="4817"/>
      <c r="BP178" s="4818"/>
      <c r="BQ178" s="4819"/>
      <c r="BR178" s="4820"/>
      <c r="BS178" s="4821"/>
      <c r="BT178" s="4822"/>
      <c r="BU178" s="4823"/>
      <c r="BV178" s="4824"/>
      <c r="BW178" s="4825"/>
      <c r="BX178" s="4826"/>
      <c r="BY178" s="4827"/>
      <c r="BZ178" s="4828"/>
      <c r="CA178" s="4829"/>
      <c r="CB178" s="4830"/>
      <c r="CC178" s="4831"/>
      <c r="CD178" s="4832"/>
      <c r="CE178" s="4833"/>
      <c r="CF178" s="4834"/>
      <c r="CG178" s="4835"/>
      <c r="CH178" s="4836"/>
      <c r="CI178" s="4837"/>
      <c r="CJ178" s="4838"/>
      <c r="CK178" s="4839"/>
      <c r="CL178" s="4840"/>
      <c r="CM178" s="4841"/>
      <c r="CN178" s="4842"/>
      <c r="CO178" s="4843"/>
      <c r="CP178" s="4844"/>
      <c r="CQ178" s="4845"/>
      <c r="CR178" s="4846"/>
      <c r="CS178" s="4847"/>
      <c r="CT178" s="4848"/>
      <c r="CU178" s="4849"/>
      <c r="CV178" s="4850"/>
      <c r="CW178" s="1562"/>
      <c r="CX178" s="1544"/>
      <c r="CY178" s="1544" t="str">
        <f t="shared" si="3"/>
        <v>Добавить наименование признака дифференциации</v>
      </c>
      <c r="CZ178" s="1544"/>
      <c r="DA178" s="1544"/>
    </row>
    <row r="179" spans="1:105" s="541" customFormat="1" ht="14.25" customHeight="1">
      <c r="A179" s="1265"/>
      <c r="B179" s="1265"/>
      <c r="C179" s="1265"/>
      <c r="D179" s="1265"/>
      <c r="E179" s="7690" t="s">
        <v>121</v>
      </c>
      <c r="F179" s="7689"/>
      <c r="G179" s="1265"/>
      <c r="H179" s="1265"/>
      <c r="I179" s="1265"/>
      <c r="J179" s="1265"/>
      <c r="K179" s="1265"/>
      <c r="L179" s="1466"/>
      <c r="M179" s="1244"/>
      <c r="N179" s="1244"/>
      <c r="O179" s="1562"/>
      <c r="P179" s="1239"/>
      <c r="Q179" s="1266"/>
      <c r="R179" s="1239"/>
      <c r="S179" s="1245"/>
      <c r="T179" s="1248" t="s">
        <v>325</v>
      </c>
      <c r="U179" s="1247"/>
      <c r="V179" s="1247"/>
      <c r="W179" s="1247"/>
      <c r="X179" s="1247"/>
      <c r="Y179" s="1247"/>
      <c r="Z179" s="1247"/>
      <c r="AA179" s="1247"/>
      <c r="AB179" s="1247"/>
      <c r="AC179" s="1247"/>
      <c r="AD179" s="1247"/>
      <c r="AE179" s="1247"/>
      <c r="AF179" s="1247"/>
      <c r="AG179" s="1247"/>
      <c r="AH179" s="1247"/>
      <c r="AI179" s="1247"/>
      <c r="AJ179" s="1247"/>
      <c r="AK179" s="1247"/>
      <c r="AL179" s="1247"/>
      <c r="AM179" s="1247"/>
      <c r="AN179" s="1247"/>
      <c r="AO179" s="1247"/>
      <c r="AP179" s="1247"/>
      <c r="AQ179" s="1247"/>
      <c r="AR179" s="1247"/>
      <c r="AS179" s="1247"/>
      <c r="AT179" s="1247"/>
      <c r="AU179" s="1247"/>
      <c r="AV179" s="1247"/>
      <c r="AW179" s="1247"/>
      <c r="AX179" s="1247"/>
      <c r="AY179" s="1247"/>
      <c r="AZ179" s="1247"/>
      <c r="BA179" s="1247"/>
      <c r="BB179" s="1247"/>
      <c r="BC179" s="1247"/>
      <c r="BD179" s="1247"/>
      <c r="BE179" s="1247"/>
      <c r="BF179" s="1247"/>
      <c r="BG179" s="1247"/>
      <c r="BH179" s="1247"/>
      <c r="BI179" s="1247"/>
      <c r="BJ179" s="1247"/>
      <c r="BK179" s="1247"/>
      <c r="BL179" s="1247"/>
      <c r="BM179" s="1247"/>
      <c r="BN179" s="1247"/>
      <c r="BO179" s="1247"/>
      <c r="BP179" s="1247"/>
      <c r="BQ179" s="1247"/>
      <c r="BR179" s="1247"/>
      <c r="BS179" s="1247"/>
      <c r="BT179" s="1247"/>
      <c r="BU179" s="1247"/>
      <c r="BV179" s="1247"/>
      <c r="BW179" s="1247"/>
      <c r="BX179" s="1247"/>
      <c r="BY179" s="1247"/>
      <c r="BZ179" s="1247"/>
      <c r="CA179" s="1247"/>
      <c r="CB179" s="1247"/>
      <c r="CC179" s="1247"/>
      <c r="CD179" s="1247"/>
      <c r="CE179" s="1247"/>
      <c r="CF179" s="1247"/>
      <c r="CG179" s="1247"/>
      <c r="CH179" s="1247"/>
      <c r="CI179" s="1247"/>
      <c r="CJ179" s="1247"/>
      <c r="CK179" s="1247"/>
      <c r="CL179" s="1247"/>
      <c r="CM179" s="1247"/>
      <c r="CN179" s="1247"/>
      <c r="CO179" s="1247"/>
      <c r="CP179" s="1247"/>
      <c r="CQ179" s="1247"/>
      <c r="CR179" s="1247"/>
      <c r="CS179" s="1247"/>
      <c r="CT179" s="1247"/>
      <c r="CU179" s="1247"/>
      <c r="CV179" s="1247"/>
      <c r="CW179" s="1562"/>
      <c r="CX179" s="1544"/>
      <c r="CY179" s="1544" t="str">
        <f t="shared" si="3"/>
        <v>Добавить централизованную систему для дифференциации</v>
      </c>
      <c r="CZ179" s="1544"/>
      <c r="DA179" s="1544"/>
    </row>
    <row r="180" spans="1:105" s="541" customFormat="1" ht="14.25" customHeight="1">
      <c r="A180" s="1265"/>
      <c r="B180" s="1265"/>
      <c r="C180" s="1265"/>
      <c r="D180" s="1265"/>
      <c r="E180" s="7689" t="s">
        <v>121</v>
      </c>
      <c r="F180" s="1265"/>
      <c r="G180" s="1265"/>
      <c r="H180" s="1265"/>
      <c r="I180" s="1265"/>
      <c r="J180" s="1265"/>
      <c r="K180" s="1265"/>
      <c r="L180" s="1466"/>
      <c r="M180" s="1244"/>
      <c r="N180" s="1244"/>
      <c r="O180" s="1562"/>
      <c r="P180" s="1239"/>
      <c r="Q180" s="1266"/>
      <c r="R180" s="1239"/>
      <c r="S180" s="1245"/>
      <c r="T180" s="1248" t="s">
        <v>326</v>
      </c>
      <c r="U180" s="1247"/>
      <c r="V180" s="1247"/>
      <c r="W180" s="1247"/>
      <c r="X180" s="1247"/>
      <c r="Y180" s="1247"/>
      <c r="Z180" s="1247"/>
      <c r="AA180" s="1247"/>
      <c r="AB180" s="1247"/>
      <c r="AC180" s="1247"/>
      <c r="AD180" s="1247"/>
      <c r="AE180" s="1247"/>
      <c r="AF180" s="1247"/>
      <c r="AG180" s="1247"/>
      <c r="AH180" s="1247"/>
      <c r="AI180" s="1247"/>
      <c r="AJ180" s="1247"/>
      <c r="AK180" s="1247"/>
      <c r="AL180" s="1247"/>
      <c r="AM180" s="1247"/>
      <c r="AN180" s="1247"/>
      <c r="AO180" s="1247"/>
      <c r="AP180" s="1247"/>
      <c r="AQ180" s="1247"/>
      <c r="AR180" s="1247"/>
      <c r="AS180" s="1247"/>
      <c r="AT180" s="1247"/>
      <c r="AU180" s="1247"/>
      <c r="AV180" s="1247"/>
      <c r="AW180" s="1247"/>
      <c r="AX180" s="1247"/>
      <c r="AY180" s="1247"/>
      <c r="AZ180" s="1247"/>
      <c r="BA180" s="1247"/>
      <c r="BB180" s="1247"/>
      <c r="BC180" s="1247"/>
      <c r="BD180" s="1247"/>
      <c r="BE180" s="1247"/>
      <c r="BF180" s="1247"/>
      <c r="BG180" s="1247"/>
      <c r="BH180" s="1247"/>
      <c r="BI180" s="1247"/>
      <c r="BJ180" s="1247"/>
      <c r="BK180" s="1247"/>
      <c r="BL180" s="1247"/>
      <c r="BM180" s="1247"/>
      <c r="BN180" s="1247"/>
      <c r="BO180" s="1247"/>
      <c r="BP180" s="1247"/>
      <c r="BQ180" s="1247"/>
      <c r="BR180" s="1247"/>
      <c r="BS180" s="1247"/>
      <c r="BT180" s="1247"/>
      <c r="BU180" s="1247"/>
      <c r="BV180" s="1247"/>
      <c r="BW180" s="1247"/>
      <c r="BX180" s="1247"/>
      <c r="BY180" s="1247"/>
      <c r="BZ180" s="1247"/>
      <c r="CA180" s="1247"/>
      <c r="CB180" s="1247"/>
      <c r="CC180" s="1247"/>
      <c r="CD180" s="1247"/>
      <c r="CE180" s="1247"/>
      <c r="CF180" s="1247"/>
      <c r="CG180" s="1247"/>
      <c r="CH180" s="1247"/>
      <c r="CI180" s="1247"/>
      <c r="CJ180" s="1247"/>
      <c r="CK180" s="1247"/>
      <c r="CL180" s="1247"/>
      <c r="CM180" s="1247"/>
      <c r="CN180" s="1247"/>
      <c r="CO180" s="1247"/>
      <c r="CP180" s="1247"/>
      <c r="CQ180" s="1247"/>
      <c r="CR180" s="1247"/>
      <c r="CS180" s="1247"/>
      <c r="CT180" s="1247"/>
      <c r="CU180" s="1247"/>
      <c r="CV180" s="1247"/>
      <c r="CW180" s="1562"/>
      <c r="CX180" s="1544"/>
      <c r="CY180" s="1544" t="str">
        <f t="shared" si="3"/>
        <v>Добавить территорию для дифференциации</v>
      </c>
      <c r="CZ180" s="1544"/>
      <c r="DA180" s="1544"/>
    </row>
    <row r="181" spans="1:105" s="1827" customFormat="1" ht="23.25" customHeight="1">
      <c r="A181" s="1284" t="s">
        <v>368</v>
      </c>
      <c r="B181" s="1284"/>
      <c r="C181" s="1284"/>
      <c r="D181" s="1284"/>
      <c r="E181" s="7689" t="s">
        <v>129</v>
      </c>
      <c r="F181" s="1284"/>
      <c r="G181" s="1284"/>
      <c r="H181" s="1284"/>
      <c r="I181" s="1284"/>
      <c r="J181" s="1284"/>
      <c r="K181" s="1284"/>
      <c r="L181" s="1290"/>
      <c r="M181" s="1286"/>
      <c r="N181" s="1286"/>
      <c r="O181" s="1286"/>
      <c r="P181" s="1817"/>
      <c r="Q181" s="1742"/>
      <c r="R181" s="276"/>
      <c r="S181" s="1813" t="str">
        <f>INDEX(PT_DIFFERENTIATION_NUM_NTAR,MATCH(A181,PT_DIFFERENTIATION_NTAR_ID,0))</f>
        <v>10</v>
      </c>
      <c r="T181" s="1440" t="s">
        <v>237</v>
      </c>
      <c r="U181" s="214"/>
      <c r="V181" s="7675"/>
      <c r="W181" s="7676"/>
      <c r="X181" s="7676"/>
      <c r="Y181" s="7676"/>
      <c r="Z181" s="7676"/>
      <c r="AA181" s="7676"/>
      <c r="AB181" s="7677"/>
      <c r="AC181" s="7675" t="str">
        <f>INDEX(PT_DIFFERENTIATION_NTAR,MATCH(A181,PT_DIFFERENTIATION_NTAR_ID,0))</f>
        <v>Тарифы на питьевую воду для потребителей, присоединенных к централизованным системам водоснабжения села Высоцкого, села Ореховки и хутора Казинки Петровского муниципального округа</v>
      </c>
      <c r="AD181" s="7676"/>
      <c r="AE181" s="7676"/>
      <c r="AF181" s="7676"/>
      <c r="AG181" s="7676"/>
      <c r="AH181" s="7676"/>
      <c r="AI181" s="7676"/>
      <c r="AJ181" s="7675"/>
      <c r="AK181" s="7676"/>
      <c r="AL181" s="7676"/>
      <c r="AM181" s="7676"/>
      <c r="AN181" s="7676"/>
      <c r="AO181" s="7676"/>
      <c r="AP181" s="7677"/>
      <c r="AQ181" s="7675"/>
      <c r="AR181" s="7676"/>
      <c r="AS181" s="7676"/>
      <c r="AT181" s="7676"/>
      <c r="AU181" s="7676"/>
      <c r="AV181" s="7676"/>
      <c r="AW181" s="7677"/>
      <c r="AX181" s="7675"/>
      <c r="AY181" s="7676"/>
      <c r="AZ181" s="7676"/>
      <c r="BA181" s="7676"/>
      <c r="BB181" s="7676"/>
      <c r="BC181" s="7676"/>
      <c r="BD181" s="7677"/>
      <c r="BE181" s="7675"/>
      <c r="BF181" s="7676"/>
      <c r="BG181" s="7676"/>
      <c r="BH181" s="7676"/>
      <c r="BI181" s="7676"/>
      <c r="BJ181" s="7676"/>
      <c r="BK181" s="7677"/>
      <c r="BL181" s="7675"/>
      <c r="BM181" s="7676"/>
      <c r="BN181" s="7676"/>
      <c r="BO181" s="7676"/>
      <c r="BP181" s="7676"/>
      <c r="BQ181" s="7676"/>
      <c r="BR181" s="7677"/>
      <c r="BS181" s="7675"/>
      <c r="BT181" s="7676"/>
      <c r="BU181" s="7676"/>
      <c r="BV181" s="7676"/>
      <c r="BW181" s="7676"/>
      <c r="BX181" s="7676"/>
      <c r="BY181" s="7677"/>
      <c r="BZ181" s="7675"/>
      <c r="CA181" s="7676"/>
      <c r="CB181" s="7676"/>
      <c r="CC181" s="7676"/>
      <c r="CD181" s="7676"/>
      <c r="CE181" s="7676"/>
      <c r="CF181" s="7677"/>
      <c r="CG181" s="7675"/>
      <c r="CH181" s="7676"/>
      <c r="CI181" s="7676"/>
      <c r="CJ181" s="7676"/>
      <c r="CK181" s="7676"/>
      <c r="CL181" s="7676"/>
      <c r="CM181" s="7677"/>
      <c r="CN181" s="7675"/>
      <c r="CO181" s="7676"/>
      <c r="CP181" s="7676"/>
      <c r="CQ181" s="7676"/>
      <c r="CR181" s="7676"/>
      <c r="CS181" s="7676"/>
      <c r="CT181" s="7677"/>
      <c r="CU181" s="7677"/>
      <c r="CV18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181" s="1562"/>
      <c r="CX181" s="1544"/>
      <c r="CY181" s="1544" t="str">
        <f t="shared" si="3"/>
        <v>Наименование тарифа</v>
      </c>
      <c r="CZ181" s="1544"/>
      <c r="DA181" s="1544"/>
    </row>
    <row r="182" spans="1:105" s="1827" customFormat="1" ht="23.25" customHeight="1">
      <c r="A182" s="1284"/>
      <c r="B182" s="1284" t="s">
        <v>369</v>
      </c>
      <c r="C182" s="1284"/>
      <c r="D182" s="1284"/>
      <c r="E182" s="7690" t="s">
        <v>125</v>
      </c>
      <c r="F182" s="7689">
        <v>1</v>
      </c>
      <c r="G182" s="1284"/>
      <c r="H182" s="1284"/>
      <c r="I182" s="1284"/>
      <c r="J182" s="1284"/>
      <c r="K182" s="1284"/>
      <c r="L182" s="1290"/>
      <c r="M182" s="1286"/>
      <c r="N182" s="1286"/>
      <c r="O182" s="1286"/>
      <c r="P182" s="1807"/>
      <c r="Q182" s="273"/>
      <c r="R182" s="274"/>
      <c r="S182" s="1813" t="str">
        <f>INDEX(PT_DIFFERENTIATION_NUM_TER,MATCH(B182,PT_DIFFERENTIATION_TER_ID,0))</f>
        <v>10.1</v>
      </c>
      <c r="T182" s="1437" t="s">
        <v>573</v>
      </c>
      <c r="U182" s="214"/>
      <c r="V182" s="7675"/>
      <c r="W182" s="7676"/>
      <c r="X182" s="7676"/>
      <c r="Y182" s="7676"/>
      <c r="Z182" s="7676"/>
      <c r="AA182" s="7676"/>
      <c r="AB182" s="7677"/>
      <c r="AC182" s="7675" t="str">
        <f>INDEX(PT_DIFFERENTIATION_TER,MATCH(B182,PT_DIFFERENTIATION_TER_ID,0))</f>
        <v>Территория 7</v>
      </c>
      <c r="AD182" s="7676"/>
      <c r="AE182" s="7676"/>
      <c r="AF182" s="7676"/>
      <c r="AG182" s="7676"/>
      <c r="AH182" s="7676"/>
      <c r="AI182" s="7676"/>
      <c r="AJ182" s="7675"/>
      <c r="AK182" s="7676"/>
      <c r="AL182" s="7676"/>
      <c r="AM182" s="7676"/>
      <c r="AN182" s="7676"/>
      <c r="AO182" s="7676"/>
      <c r="AP182" s="7677"/>
      <c r="AQ182" s="7675"/>
      <c r="AR182" s="7676"/>
      <c r="AS182" s="7676"/>
      <c r="AT182" s="7676"/>
      <c r="AU182" s="7676"/>
      <c r="AV182" s="7676"/>
      <c r="AW182" s="7677"/>
      <c r="AX182" s="7675"/>
      <c r="AY182" s="7676"/>
      <c r="AZ182" s="7676"/>
      <c r="BA182" s="7676"/>
      <c r="BB182" s="7676"/>
      <c r="BC182" s="7676"/>
      <c r="BD182" s="7677"/>
      <c r="BE182" s="7675"/>
      <c r="BF182" s="7676"/>
      <c r="BG182" s="7676"/>
      <c r="BH182" s="7676"/>
      <c r="BI182" s="7676"/>
      <c r="BJ182" s="7676"/>
      <c r="BK182" s="7677"/>
      <c r="BL182" s="7675"/>
      <c r="BM182" s="7676"/>
      <c r="BN182" s="7676"/>
      <c r="BO182" s="7676"/>
      <c r="BP182" s="7676"/>
      <c r="BQ182" s="7676"/>
      <c r="BR182" s="7677"/>
      <c r="BS182" s="7675"/>
      <c r="BT182" s="7676"/>
      <c r="BU182" s="7676"/>
      <c r="BV182" s="7676"/>
      <c r="BW182" s="7676"/>
      <c r="BX182" s="7676"/>
      <c r="BY182" s="7677"/>
      <c r="BZ182" s="7675"/>
      <c r="CA182" s="7676"/>
      <c r="CB182" s="7676"/>
      <c r="CC182" s="7676"/>
      <c r="CD182" s="7676"/>
      <c r="CE182" s="7676"/>
      <c r="CF182" s="7677"/>
      <c r="CG182" s="7675"/>
      <c r="CH182" s="7676"/>
      <c r="CI182" s="7676"/>
      <c r="CJ182" s="7676"/>
      <c r="CK182" s="7676"/>
      <c r="CL182" s="7676"/>
      <c r="CM182" s="7677"/>
      <c r="CN182" s="7675"/>
      <c r="CO182" s="7676"/>
      <c r="CP182" s="7676"/>
      <c r="CQ182" s="7676"/>
      <c r="CR182" s="7676"/>
      <c r="CS182" s="7676"/>
      <c r="CT182" s="7677"/>
      <c r="CU182" s="7677"/>
      <c r="CV182" s="1182" t="s">
        <v>574</v>
      </c>
      <c r="CW182" s="1562"/>
      <c r="CX182" s="1544"/>
      <c r="CY182" s="1544" t="str">
        <f t="shared" si="3"/>
        <v>Территория действия тарифа</v>
      </c>
      <c r="CZ182" s="1544"/>
      <c r="DA182" s="1544"/>
    </row>
    <row r="183" spans="1:105" s="1827" customFormat="1" ht="23.25" customHeight="1">
      <c r="A183" s="1284"/>
      <c r="B183" s="1284"/>
      <c r="C183" s="1284" t="s">
        <v>370</v>
      </c>
      <c r="D183" s="1284"/>
      <c r="E183" s="7690" t="s">
        <v>125</v>
      </c>
      <c r="F183" s="7690"/>
      <c r="G183" s="7689">
        <v>1</v>
      </c>
      <c r="H183" s="1284"/>
      <c r="I183" s="1284"/>
      <c r="J183" s="1284"/>
      <c r="K183" s="1284"/>
      <c r="L183" s="1290"/>
      <c r="M183" s="1286"/>
      <c r="N183" s="1286"/>
      <c r="O183" s="1286"/>
      <c r="P183" s="275"/>
      <c r="Q183" s="273"/>
      <c r="R183" s="274"/>
      <c r="S183" s="1813" t="str">
        <f>INDEX(PT_DIFFERENTIATION_NUM_CS,MATCH(C183,PT_DIFFERENTIATION_CS_ID,0))</f>
        <v>10.1.1</v>
      </c>
      <c r="T183" s="225" t="s">
        <v>654</v>
      </c>
      <c r="U183" s="214"/>
      <c r="V183" s="7675"/>
      <c r="W183" s="7676"/>
      <c r="X183" s="7676"/>
      <c r="Y183" s="7676"/>
      <c r="Z183" s="7676"/>
      <c r="AA183" s="7676"/>
      <c r="AB183" s="7677"/>
      <c r="AC183" s="7675" t="str">
        <f>INDEX(PT_DIFFERENTIATION_CS,MATCH(C183,PT_DIFFERENTIATION_CS_ID,0))</f>
        <v>без дифференциации</v>
      </c>
      <c r="AD183" s="7676"/>
      <c r="AE183" s="7676"/>
      <c r="AF183" s="7676"/>
      <c r="AG183" s="7676"/>
      <c r="AH183" s="7676"/>
      <c r="AI183" s="7676"/>
      <c r="AJ183" s="7675"/>
      <c r="AK183" s="7676"/>
      <c r="AL183" s="7676"/>
      <c r="AM183" s="7676"/>
      <c r="AN183" s="7676"/>
      <c r="AO183" s="7676"/>
      <c r="AP183" s="7677"/>
      <c r="AQ183" s="7675"/>
      <c r="AR183" s="7676"/>
      <c r="AS183" s="7676"/>
      <c r="AT183" s="7676"/>
      <c r="AU183" s="7676"/>
      <c r="AV183" s="7676"/>
      <c r="AW183" s="7677"/>
      <c r="AX183" s="7675"/>
      <c r="AY183" s="7676"/>
      <c r="AZ183" s="7676"/>
      <c r="BA183" s="7676"/>
      <c r="BB183" s="7676"/>
      <c r="BC183" s="7676"/>
      <c r="BD183" s="7677"/>
      <c r="BE183" s="7675"/>
      <c r="BF183" s="7676"/>
      <c r="BG183" s="7676"/>
      <c r="BH183" s="7676"/>
      <c r="BI183" s="7676"/>
      <c r="BJ183" s="7676"/>
      <c r="BK183" s="7677"/>
      <c r="BL183" s="7675"/>
      <c r="BM183" s="7676"/>
      <c r="BN183" s="7676"/>
      <c r="BO183" s="7676"/>
      <c r="BP183" s="7676"/>
      <c r="BQ183" s="7676"/>
      <c r="BR183" s="7677"/>
      <c r="BS183" s="7675"/>
      <c r="BT183" s="7676"/>
      <c r="BU183" s="7676"/>
      <c r="BV183" s="7676"/>
      <c r="BW183" s="7676"/>
      <c r="BX183" s="7676"/>
      <c r="BY183" s="7677"/>
      <c r="BZ183" s="7675"/>
      <c r="CA183" s="7676"/>
      <c r="CB183" s="7676"/>
      <c r="CC183" s="7676"/>
      <c r="CD183" s="7676"/>
      <c r="CE183" s="7676"/>
      <c r="CF183" s="7677"/>
      <c r="CG183" s="7675"/>
      <c r="CH183" s="7676"/>
      <c r="CI183" s="7676"/>
      <c r="CJ183" s="7676"/>
      <c r="CK183" s="7676"/>
      <c r="CL183" s="7676"/>
      <c r="CM183" s="7677"/>
      <c r="CN183" s="7675"/>
      <c r="CO183" s="7676"/>
      <c r="CP183" s="7676"/>
      <c r="CQ183" s="7676"/>
      <c r="CR183" s="7676"/>
      <c r="CS183" s="7676"/>
      <c r="CT183" s="7677"/>
      <c r="CU183" s="7677"/>
      <c r="CV183" s="1182" t="s">
        <v>655</v>
      </c>
      <c r="CW183" s="1562"/>
      <c r="CX183" s="1544"/>
      <c r="CY183" s="1544" t="str">
        <f t="shared" si="3"/>
        <v>Наименование централизованной системы холодного водоснабжения</v>
      </c>
      <c r="CZ183" s="1544"/>
      <c r="DA183" s="1544"/>
    </row>
    <row r="184" spans="1:105" s="1827" customFormat="1" ht="23.25" customHeight="1">
      <c r="A184" s="1284"/>
      <c r="B184" s="1284"/>
      <c r="C184" s="1284"/>
      <c r="D184" s="1284"/>
      <c r="E184" s="7690" t="s">
        <v>125</v>
      </c>
      <c r="F184" s="7690"/>
      <c r="G184" s="7690"/>
      <c r="H184" s="7690"/>
      <c r="I184" s="7687" t="str">
        <f>S183&amp;".1"</f>
        <v>10.1.1.1</v>
      </c>
      <c r="J184" s="1284"/>
      <c r="K184" s="1284"/>
      <c r="L184" s="1290"/>
      <c r="M184" s="1696"/>
      <c r="N184" s="1696"/>
      <c r="O184" s="1696"/>
      <c r="P184" s="7688">
        <v>1</v>
      </c>
      <c r="Q184" s="1816"/>
      <c r="R184" s="277"/>
      <c r="S184" s="1813" t="str">
        <f>$I184</f>
        <v>10.1.1.1</v>
      </c>
      <c r="T184" s="200" t="s">
        <v>656</v>
      </c>
      <c r="U184" s="214"/>
      <c r="V184" s="7748"/>
      <c r="W184" s="7749"/>
      <c r="X184" s="7749"/>
      <c r="Y184" s="7749"/>
      <c r="Z184" s="7749"/>
      <c r="AA184" s="7749"/>
      <c r="AB184" s="7750"/>
      <c r="AC184" s="7751"/>
      <c r="AD184" s="7752"/>
      <c r="AE184" s="7752"/>
      <c r="AF184" s="7752"/>
      <c r="AG184" s="7752"/>
      <c r="AH184" s="7752"/>
      <c r="AI184" s="7752"/>
      <c r="AJ184" s="7748"/>
      <c r="AK184" s="7749"/>
      <c r="AL184" s="7749"/>
      <c r="AM184" s="7749"/>
      <c r="AN184" s="7749"/>
      <c r="AO184" s="7749"/>
      <c r="AP184" s="7750"/>
      <c r="AQ184" s="7748"/>
      <c r="AR184" s="7749"/>
      <c r="AS184" s="7749"/>
      <c r="AT184" s="7749"/>
      <c r="AU184" s="7749"/>
      <c r="AV184" s="7749"/>
      <c r="AW184" s="7750"/>
      <c r="AX184" s="7748"/>
      <c r="AY184" s="7749"/>
      <c r="AZ184" s="7749"/>
      <c r="BA184" s="7749"/>
      <c r="BB184" s="7749"/>
      <c r="BC184" s="7749"/>
      <c r="BD184" s="7750"/>
      <c r="BE184" s="7748"/>
      <c r="BF184" s="7749"/>
      <c r="BG184" s="7749"/>
      <c r="BH184" s="7749"/>
      <c r="BI184" s="7749"/>
      <c r="BJ184" s="7749"/>
      <c r="BK184" s="7750"/>
      <c r="BL184" s="7748"/>
      <c r="BM184" s="7749"/>
      <c r="BN184" s="7749"/>
      <c r="BO184" s="7749"/>
      <c r="BP184" s="7749"/>
      <c r="BQ184" s="7749"/>
      <c r="BR184" s="7750"/>
      <c r="BS184" s="7748"/>
      <c r="BT184" s="7749"/>
      <c r="BU184" s="7749"/>
      <c r="BV184" s="7749"/>
      <c r="BW184" s="7749"/>
      <c r="BX184" s="7749"/>
      <c r="BY184" s="7750"/>
      <c r="BZ184" s="7748"/>
      <c r="CA184" s="7749"/>
      <c r="CB184" s="7749"/>
      <c r="CC184" s="7749"/>
      <c r="CD184" s="7749"/>
      <c r="CE184" s="7749"/>
      <c r="CF184" s="7750"/>
      <c r="CG184" s="7748"/>
      <c r="CH184" s="7749"/>
      <c r="CI184" s="7749"/>
      <c r="CJ184" s="7749"/>
      <c r="CK184" s="7749"/>
      <c r="CL184" s="7749"/>
      <c r="CM184" s="7750"/>
      <c r="CN184" s="7748"/>
      <c r="CO184" s="7749"/>
      <c r="CP184" s="7749"/>
      <c r="CQ184" s="7749"/>
      <c r="CR184" s="7749"/>
      <c r="CS184" s="7749"/>
      <c r="CT184" s="7750"/>
      <c r="CU184" s="7753"/>
      <c r="CV184" s="1182" t="s">
        <v>657</v>
      </c>
      <c r="CW184" s="1562"/>
      <c r="CX184" s="1544"/>
      <c r="CY184" s="1544" t="str">
        <f t="shared" si="3"/>
        <v>Наименование признака дифференциации</v>
      </c>
      <c r="CZ184" s="1544"/>
      <c r="DA184" s="1544"/>
    </row>
    <row r="185" spans="1:105" s="1827" customFormat="1" ht="23.25" customHeight="1">
      <c r="A185" s="1284"/>
      <c r="B185" s="1284"/>
      <c r="C185" s="1284"/>
      <c r="D185" s="1284"/>
      <c r="E185" s="7690" t="s">
        <v>125</v>
      </c>
      <c r="F185" s="7690"/>
      <c r="G185" s="7690"/>
      <c r="H185" s="7690"/>
      <c r="I185" s="7710"/>
      <c r="J185" s="7687" t="str">
        <f>I184&amp;".1"</f>
        <v>10.1.1.1.1</v>
      </c>
      <c r="K185" s="1284"/>
      <c r="L185" s="1290" t="s">
        <v>582</v>
      </c>
      <c r="M185" s="1696"/>
      <c r="N185" s="1696"/>
      <c r="O185" s="1696"/>
      <c r="P185" s="7688"/>
      <c r="Q185" s="7688">
        <v>1</v>
      </c>
      <c r="R185" s="278"/>
      <c r="S185" s="1813" t="str">
        <f>$J185</f>
        <v>10.1.1.1.1</v>
      </c>
      <c r="T185" s="201" t="s">
        <v>583</v>
      </c>
      <c r="U185" s="214"/>
      <c r="V185" s="7678"/>
      <c r="W185" s="7679"/>
      <c r="X185" s="7679"/>
      <c r="Y185" s="7679"/>
      <c r="Z185" s="7679"/>
      <c r="AA185" s="7679"/>
      <c r="AB185" s="7680"/>
      <c r="AC185" s="7678" t="s">
        <v>671</v>
      </c>
      <c r="AD185" s="7679"/>
      <c r="AE185" s="7679"/>
      <c r="AF185" s="7679"/>
      <c r="AG185" s="7679"/>
      <c r="AH185" s="7679"/>
      <c r="AI185" s="7679"/>
      <c r="AJ185" s="7678"/>
      <c r="AK185" s="7679"/>
      <c r="AL185" s="7679"/>
      <c r="AM185" s="7679"/>
      <c r="AN185" s="7679"/>
      <c r="AO185" s="7679"/>
      <c r="AP185" s="7680"/>
      <c r="AQ185" s="7678"/>
      <c r="AR185" s="7679"/>
      <c r="AS185" s="7679"/>
      <c r="AT185" s="7679"/>
      <c r="AU185" s="7679"/>
      <c r="AV185" s="7679"/>
      <c r="AW185" s="7680"/>
      <c r="AX185" s="7678"/>
      <c r="AY185" s="7679"/>
      <c r="AZ185" s="7679"/>
      <c r="BA185" s="7679"/>
      <c r="BB185" s="7679"/>
      <c r="BC185" s="7679"/>
      <c r="BD185" s="7680"/>
      <c r="BE185" s="7678"/>
      <c r="BF185" s="7679"/>
      <c r="BG185" s="7679"/>
      <c r="BH185" s="7679"/>
      <c r="BI185" s="7679"/>
      <c r="BJ185" s="7679"/>
      <c r="BK185" s="7680"/>
      <c r="BL185" s="7678"/>
      <c r="BM185" s="7679"/>
      <c r="BN185" s="7679"/>
      <c r="BO185" s="7679"/>
      <c r="BP185" s="7679"/>
      <c r="BQ185" s="7679"/>
      <c r="BR185" s="7680"/>
      <c r="BS185" s="7678"/>
      <c r="BT185" s="7679"/>
      <c r="BU185" s="7679"/>
      <c r="BV185" s="7679"/>
      <c r="BW185" s="7679"/>
      <c r="BX185" s="7679"/>
      <c r="BY185" s="7680"/>
      <c r="BZ185" s="7678"/>
      <c r="CA185" s="7679"/>
      <c r="CB185" s="7679"/>
      <c r="CC185" s="7679"/>
      <c r="CD185" s="7679"/>
      <c r="CE185" s="7679"/>
      <c r="CF185" s="7680"/>
      <c r="CG185" s="7678"/>
      <c r="CH185" s="7679"/>
      <c r="CI185" s="7679"/>
      <c r="CJ185" s="7679"/>
      <c r="CK185" s="7679"/>
      <c r="CL185" s="7679"/>
      <c r="CM185" s="7680"/>
      <c r="CN185" s="7678"/>
      <c r="CO185" s="7679"/>
      <c r="CP185" s="7679"/>
      <c r="CQ185" s="7679"/>
      <c r="CR185" s="7679"/>
      <c r="CS185" s="7679"/>
      <c r="CT185" s="7680"/>
      <c r="CU185" s="7680"/>
      <c r="CV185" s="1231" t="s">
        <v>658</v>
      </c>
      <c r="CW185" s="1562"/>
      <c r="CX185" s="1544"/>
      <c r="CY185" s="1544" t="str">
        <f t="shared" si="3"/>
        <v>Группа потребителей</v>
      </c>
      <c r="CZ185" s="1544"/>
      <c r="DA185" s="1544"/>
    </row>
    <row r="186" spans="1:105" s="1827" customFormat="1" ht="23.25" customHeight="1">
      <c r="A186" s="1284"/>
      <c r="B186" s="1284"/>
      <c r="C186" s="1284"/>
      <c r="D186" s="1284"/>
      <c r="E186" s="7690" t="s">
        <v>125</v>
      </c>
      <c r="F186" s="7690"/>
      <c r="G186" s="7690"/>
      <c r="H186" s="7690"/>
      <c r="I186" s="7710"/>
      <c r="J186" s="7710"/>
      <c r="K186" s="7687" t="str">
        <f>J185&amp;".1"</f>
        <v>10.1.1.1.1.1</v>
      </c>
      <c r="L186" s="1290"/>
      <c r="M186" s="1696"/>
      <c r="N186" s="1696"/>
      <c r="O186" s="1696"/>
      <c r="P186" s="7688"/>
      <c r="Q186" s="7688"/>
      <c r="R186" s="278">
        <v>1</v>
      </c>
      <c r="S186" s="1813" t="str">
        <f>$K186</f>
        <v>10.1.1.1.1.1</v>
      </c>
      <c r="T186" s="1357" t="s">
        <v>672</v>
      </c>
      <c r="U186" s="214"/>
      <c r="V186" s="666"/>
      <c r="W186" s="666"/>
      <c r="X186" s="1181"/>
      <c r="Y186" s="7692"/>
      <c r="Z186" s="7540" t="s">
        <v>60</v>
      </c>
      <c r="AA186" s="7692"/>
      <c r="AB186" s="7540" t="s">
        <v>60</v>
      </c>
      <c r="AC186" s="666">
        <v>38.68</v>
      </c>
      <c r="AD186" s="666"/>
      <c r="AE186" s="1181"/>
      <c r="AF186" s="7692">
        <v>45292</v>
      </c>
      <c r="AG186" s="7540" t="s">
        <v>60</v>
      </c>
      <c r="AH186" s="7711">
        <v>45473</v>
      </c>
      <c r="AI186" s="7540" t="s">
        <v>60</v>
      </c>
      <c r="AJ186" s="666">
        <v>42.16</v>
      </c>
      <c r="AK186" s="666"/>
      <c r="AL186" s="1181"/>
      <c r="AM186" s="7692">
        <v>45474</v>
      </c>
      <c r="AN186" s="7540" t="s">
        <v>60</v>
      </c>
      <c r="AO186" s="7692">
        <v>45657</v>
      </c>
      <c r="AP186" s="7540" t="s">
        <v>60</v>
      </c>
      <c r="AQ186" s="666">
        <v>42.16</v>
      </c>
      <c r="AR186" s="666"/>
      <c r="AS186" s="1181"/>
      <c r="AT186" s="7692">
        <v>45658</v>
      </c>
      <c r="AU186" s="7540" t="s">
        <v>60</v>
      </c>
      <c r="AV186" s="7692">
        <v>45838</v>
      </c>
      <c r="AW186" s="7540" t="s">
        <v>60</v>
      </c>
      <c r="AX186" s="666">
        <v>44.56</v>
      </c>
      <c r="AY186" s="666"/>
      <c r="AZ186" s="1181"/>
      <c r="BA186" s="7692">
        <v>45839</v>
      </c>
      <c r="BB186" s="7540" t="s">
        <v>60</v>
      </c>
      <c r="BC186" s="7692">
        <v>46022</v>
      </c>
      <c r="BD186" s="7540" t="s">
        <v>60</v>
      </c>
      <c r="BE186" s="666">
        <v>44.56</v>
      </c>
      <c r="BF186" s="666"/>
      <c r="BG186" s="1181"/>
      <c r="BH186" s="7692">
        <v>46023</v>
      </c>
      <c r="BI186" s="7540" t="s">
        <v>60</v>
      </c>
      <c r="BJ186" s="7692">
        <v>46203</v>
      </c>
      <c r="BK186" s="7540" t="s">
        <v>60</v>
      </c>
      <c r="BL186" s="666">
        <v>46.34</v>
      </c>
      <c r="BM186" s="666"/>
      <c r="BN186" s="1181"/>
      <c r="BO186" s="7692">
        <v>46204</v>
      </c>
      <c r="BP186" s="7540" t="s">
        <v>60</v>
      </c>
      <c r="BQ186" s="7692">
        <v>46387</v>
      </c>
      <c r="BR186" s="7540" t="s">
        <v>60</v>
      </c>
      <c r="BS186" s="666">
        <v>46.34</v>
      </c>
      <c r="BT186" s="666"/>
      <c r="BU186" s="1181"/>
      <c r="BV186" s="7692">
        <v>46388</v>
      </c>
      <c r="BW186" s="7540" t="s">
        <v>60</v>
      </c>
      <c r="BX186" s="7692">
        <v>46568</v>
      </c>
      <c r="BY186" s="7540" t="s">
        <v>60</v>
      </c>
      <c r="BZ186" s="666">
        <v>48.19</v>
      </c>
      <c r="CA186" s="666"/>
      <c r="CB186" s="1181"/>
      <c r="CC186" s="7692">
        <v>46569</v>
      </c>
      <c r="CD186" s="7540" t="s">
        <v>60</v>
      </c>
      <c r="CE186" s="7692">
        <v>46752</v>
      </c>
      <c r="CF186" s="7540" t="s">
        <v>60</v>
      </c>
      <c r="CG186" s="666">
        <v>48.19</v>
      </c>
      <c r="CH186" s="666"/>
      <c r="CI186" s="1181"/>
      <c r="CJ186" s="7692">
        <v>46753</v>
      </c>
      <c r="CK186" s="7540" t="s">
        <v>60</v>
      </c>
      <c r="CL186" s="7692">
        <v>46934</v>
      </c>
      <c r="CM186" s="7540" t="s">
        <v>60</v>
      </c>
      <c r="CN186" s="666">
        <v>50.12</v>
      </c>
      <c r="CO186" s="666"/>
      <c r="CP186" s="1181"/>
      <c r="CQ186" s="7692">
        <v>46935</v>
      </c>
      <c r="CR186" s="7540" t="s">
        <v>60</v>
      </c>
      <c r="CS186" s="7692">
        <v>47118</v>
      </c>
      <c r="CT186" s="7540" t="s">
        <v>60</v>
      </c>
      <c r="CU186" s="1358"/>
      <c r="CV18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86" s="1562" t="e">
        <f ca="1">STRCHECKDATE(V187:CU187)</f>
        <v>#NAME?</v>
      </c>
      <c r="CX186" s="1544"/>
      <c r="CY186" s="1544" t="str">
        <f t="shared" si="3"/>
        <v>Тариф для населения, руб. за 1 куб. метр с НДС</v>
      </c>
      <c r="CZ186" s="1544"/>
      <c r="DA186" s="1544"/>
    </row>
    <row r="187" spans="1:105" s="1827" customFormat="1" ht="14.25" customHeight="1">
      <c r="A187" s="1284"/>
      <c r="B187" s="1284"/>
      <c r="C187" s="1284"/>
      <c r="D187" s="1284"/>
      <c r="E187" s="7690" t="s">
        <v>125</v>
      </c>
      <c r="F187" s="7690"/>
      <c r="G187" s="7690"/>
      <c r="H187" s="7690"/>
      <c r="I187" s="7710"/>
      <c r="J187" s="7710"/>
      <c r="K187" s="7687"/>
      <c r="L187" s="1290"/>
      <c r="M187" s="1696"/>
      <c r="N187" s="1696"/>
      <c r="O187" s="1696"/>
      <c r="P187" s="7688"/>
      <c r="Q187" s="7688"/>
      <c r="R187" s="278"/>
      <c r="S187" s="1822"/>
      <c r="T187" s="214"/>
      <c r="U187" s="214"/>
      <c r="V187" s="246"/>
      <c r="W187" s="246"/>
      <c r="X187" s="250" t="str">
        <f>Y186&amp;"-"&amp;AA186</f>
        <v>-</v>
      </c>
      <c r="Y187" s="7693"/>
      <c r="Z187" s="7540"/>
      <c r="AA187" s="7693"/>
      <c r="AB187" s="7540"/>
      <c r="AC187" s="246"/>
      <c r="AD187" s="246"/>
      <c r="AE187" s="250" t="str">
        <f>AF186&amp;"-"&amp;AH186</f>
        <v>45292-45473</v>
      </c>
      <c r="AF187" s="7693"/>
      <c r="AG187" s="7540"/>
      <c r="AH187" s="7712"/>
      <c r="AI187" s="7540"/>
      <c r="AJ187" s="246"/>
      <c r="AK187" s="246"/>
      <c r="AL187" s="250" t="str">
        <f>AM186&amp;"-"&amp;AO186</f>
        <v>45474-45657</v>
      </c>
      <c r="AM187" s="7693"/>
      <c r="AN187" s="7540"/>
      <c r="AO187" s="7693"/>
      <c r="AP187" s="7540"/>
      <c r="AQ187" s="246"/>
      <c r="AR187" s="246"/>
      <c r="AS187" s="250" t="str">
        <f>AT186&amp;"-"&amp;AV186</f>
        <v>45658-45838</v>
      </c>
      <c r="AT187" s="7693"/>
      <c r="AU187" s="7540"/>
      <c r="AV187" s="7693"/>
      <c r="AW187" s="7540"/>
      <c r="AX187" s="246"/>
      <c r="AY187" s="246"/>
      <c r="AZ187" s="250" t="str">
        <f>BA186&amp;"-"&amp;BC186</f>
        <v>45839-46022</v>
      </c>
      <c r="BA187" s="7693"/>
      <c r="BB187" s="7540"/>
      <c r="BC187" s="7693"/>
      <c r="BD187" s="7540"/>
      <c r="BE187" s="246"/>
      <c r="BF187" s="246"/>
      <c r="BG187" s="250" t="str">
        <f>BH186&amp;"-"&amp;BJ186</f>
        <v>46023-46203</v>
      </c>
      <c r="BH187" s="7693"/>
      <c r="BI187" s="7540"/>
      <c r="BJ187" s="7693"/>
      <c r="BK187" s="7540"/>
      <c r="BL187" s="246"/>
      <c r="BM187" s="246"/>
      <c r="BN187" s="250" t="str">
        <f>BO186&amp;"-"&amp;BQ186</f>
        <v>46204-46387</v>
      </c>
      <c r="BO187" s="7693"/>
      <c r="BP187" s="7540"/>
      <c r="BQ187" s="7693"/>
      <c r="BR187" s="7540"/>
      <c r="BS187" s="246"/>
      <c r="BT187" s="246"/>
      <c r="BU187" s="250" t="str">
        <f>BV186&amp;"-"&amp;BX186</f>
        <v>46388-46568</v>
      </c>
      <c r="BV187" s="7693"/>
      <c r="BW187" s="7540"/>
      <c r="BX187" s="7693"/>
      <c r="BY187" s="7540"/>
      <c r="BZ187" s="246"/>
      <c r="CA187" s="246"/>
      <c r="CB187" s="250" t="str">
        <f>CC186&amp;"-"&amp;CE186</f>
        <v>46569-46752</v>
      </c>
      <c r="CC187" s="7693"/>
      <c r="CD187" s="7540"/>
      <c r="CE187" s="7693"/>
      <c r="CF187" s="7540"/>
      <c r="CG187" s="246"/>
      <c r="CH187" s="246"/>
      <c r="CI187" s="250" t="str">
        <f>CJ186&amp;"-"&amp;CL186</f>
        <v>46753-46934</v>
      </c>
      <c r="CJ187" s="7693"/>
      <c r="CK187" s="7540"/>
      <c r="CL187" s="7693"/>
      <c r="CM187" s="7540"/>
      <c r="CN187" s="246"/>
      <c r="CO187" s="246"/>
      <c r="CP187" s="250" t="str">
        <f>CQ186&amp;"-"&amp;CS186</f>
        <v>46935-47118</v>
      </c>
      <c r="CQ187" s="7693"/>
      <c r="CR187" s="7540"/>
      <c r="CS187" s="7693"/>
      <c r="CT187" s="7540"/>
      <c r="CU187" s="1359"/>
      <c r="CV187" s="7747"/>
      <c r="CW187" s="1562"/>
      <c r="CX187" s="1544"/>
      <c r="CY187" s="1544" t="str">
        <f t="shared" si="3"/>
        <v/>
      </c>
      <c r="CZ187" s="1544"/>
      <c r="DA187" s="1544"/>
    </row>
    <row r="188" spans="1:105" s="1827" customFormat="1" ht="21" customHeight="1">
      <c r="A188" s="1284"/>
      <c r="B188" s="1284"/>
      <c r="C188" s="1284"/>
      <c r="D188" s="1284"/>
      <c r="E188" s="7690" t="s">
        <v>125</v>
      </c>
      <c r="F188" s="7690"/>
      <c r="G188" s="7690"/>
      <c r="H188" s="7690"/>
      <c r="I188" s="7710"/>
      <c r="J188" s="7687"/>
      <c r="K188" s="1284"/>
      <c r="L188" s="1290"/>
      <c r="M188" s="1696"/>
      <c r="N188" s="1696"/>
      <c r="O188" s="1696"/>
      <c r="P188" s="7688"/>
      <c r="Q188" s="7688"/>
      <c r="R188" s="277"/>
      <c r="S188" s="4851"/>
      <c r="T188" s="4852" t="s">
        <v>659</v>
      </c>
      <c r="U188" s="4853"/>
      <c r="V188" s="4854"/>
      <c r="W188" s="4855"/>
      <c r="X188" s="4856"/>
      <c r="Y188" s="4857"/>
      <c r="Z188" s="4858"/>
      <c r="AA188" s="4859"/>
      <c r="AB188" s="4860"/>
      <c r="AC188" s="4861"/>
      <c r="AD188" s="4862"/>
      <c r="AE188" s="4863"/>
      <c r="AF188" s="4864"/>
      <c r="AG188" s="4865"/>
      <c r="AH188" s="4866"/>
      <c r="AI188" s="4867"/>
      <c r="AJ188" s="4868"/>
      <c r="AK188" s="4869"/>
      <c r="AL188" s="4870"/>
      <c r="AM188" s="4871"/>
      <c r="AN188" s="4872"/>
      <c r="AO188" s="4873"/>
      <c r="AP188" s="4874"/>
      <c r="AQ188" s="4875"/>
      <c r="AR188" s="4876"/>
      <c r="AS188" s="4877"/>
      <c r="AT188" s="4878"/>
      <c r="AU188" s="4879"/>
      <c r="AV188" s="4880"/>
      <c r="AW188" s="4881"/>
      <c r="AX188" s="4882"/>
      <c r="AY188" s="4883"/>
      <c r="AZ188" s="4884"/>
      <c r="BA188" s="4885"/>
      <c r="BB188" s="4886"/>
      <c r="BC188" s="4887"/>
      <c r="BD188" s="4888"/>
      <c r="BE188" s="4889"/>
      <c r="BF188" s="4890"/>
      <c r="BG188" s="4891"/>
      <c r="BH188" s="4892"/>
      <c r="BI188" s="4893"/>
      <c r="BJ188" s="4894"/>
      <c r="BK188" s="4895"/>
      <c r="BL188" s="4896"/>
      <c r="BM188" s="4897"/>
      <c r="BN188" s="4898"/>
      <c r="BO188" s="4899"/>
      <c r="BP188" s="4900"/>
      <c r="BQ188" s="4901"/>
      <c r="BR188" s="4902"/>
      <c r="BS188" s="4903"/>
      <c r="BT188" s="4904"/>
      <c r="BU188" s="4905"/>
      <c r="BV188" s="4906"/>
      <c r="BW188" s="4907"/>
      <c r="BX188" s="4908"/>
      <c r="BY188" s="4909"/>
      <c r="BZ188" s="4910"/>
      <c r="CA188" s="4911"/>
      <c r="CB188" s="4912"/>
      <c r="CC188" s="4913"/>
      <c r="CD188" s="4914"/>
      <c r="CE188" s="4915"/>
      <c r="CF188" s="4916"/>
      <c r="CG188" s="4917"/>
      <c r="CH188" s="4918"/>
      <c r="CI188" s="4919"/>
      <c r="CJ188" s="4920"/>
      <c r="CK188" s="4921"/>
      <c r="CL188" s="4922"/>
      <c r="CM188" s="4923"/>
      <c r="CN188" s="4924"/>
      <c r="CO188" s="4925"/>
      <c r="CP188" s="4926"/>
      <c r="CQ188" s="4927"/>
      <c r="CR188" s="4928"/>
      <c r="CS188" s="4929"/>
      <c r="CT188" s="4930"/>
      <c r="CU188" s="4931"/>
      <c r="CV188" s="1182" t="s">
        <v>660</v>
      </c>
      <c r="CW188" s="1562"/>
      <c r="CX188" s="1544"/>
      <c r="CY188" s="1544" t="str">
        <f t="shared" si="3"/>
        <v>Добавить значение признака дифференциации</v>
      </c>
      <c r="CZ188" s="1544"/>
      <c r="DA188" s="1544"/>
    </row>
    <row r="189" spans="1:105" s="1827" customFormat="1" ht="23.25" customHeight="1">
      <c r="A189" s="1284"/>
      <c r="B189" s="1284"/>
      <c r="C189" s="1284"/>
      <c r="D189" s="1284"/>
      <c r="E189" s="7690"/>
      <c r="F189" s="7690"/>
      <c r="G189" s="7690"/>
      <c r="H189" s="7690"/>
      <c r="I189" s="7710"/>
      <c r="J189" s="7687" t="str">
        <f>I184&amp;".2"</f>
        <v>10.1.1.1.2</v>
      </c>
      <c r="K189" s="1284"/>
      <c r="L189" s="1290" t="s">
        <v>582</v>
      </c>
      <c r="M189" s="1696"/>
      <c r="N189" s="1696"/>
      <c r="O189" s="1696"/>
      <c r="P189" s="7688"/>
      <c r="Q189" s="7754" t="s">
        <v>101</v>
      </c>
      <c r="R189" s="278"/>
      <c r="S189" s="1813" t="str">
        <f>$J189</f>
        <v>10.1.1.1.2</v>
      </c>
      <c r="T189" s="201" t="s">
        <v>583</v>
      </c>
      <c r="U189" s="214"/>
      <c r="V189" s="7678"/>
      <c r="W189" s="7679"/>
      <c r="X189" s="7679"/>
      <c r="Y189" s="7679"/>
      <c r="Z189" s="7679"/>
      <c r="AA189" s="7679"/>
      <c r="AB189" s="7680"/>
      <c r="AC189" s="7678" t="s">
        <v>669</v>
      </c>
      <c r="AD189" s="7679"/>
      <c r="AE189" s="7679"/>
      <c r="AF189" s="7679"/>
      <c r="AG189" s="7679"/>
      <c r="AH189" s="7679"/>
      <c r="AI189" s="7679"/>
      <c r="AJ189" s="7678"/>
      <c r="AK189" s="7679"/>
      <c r="AL189" s="7679"/>
      <c r="AM189" s="7679"/>
      <c r="AN189" s="7679"/>
      <c r="AO189" s="7679"/>
      <c r="AP189" s="7680"/>
      <c r="AQ189" s="7678"/>
      <c r="AR189" s="7679"/>
      <c r="AS189" s="7679"/>
      <c r="AT189" s="7679"/>
      <c r="AU189" s="7679"/>
      <c r="AV189" s="7679"/>
      <c r="AW189" s="7680"/>
      <c r="AX189" s="7678"/>
      <c r="AY189" s="7679"/>
      <c r="AZ189" s="7679"/>
      <c r="BA189" s="7679"/>
      <c r="BB189" s="7679"/>
      <c r="BC189" s="7679"/>
      <c r="BD189" s="7680"/>
      <c r="BE189" s="7678"/>
      <c r="BF189" s="7679"/>
      <c r="BG189" s="7679"/>
      <c r="BH189" s="7679"/>
      <c r="BI189" s="7679"/>
      <c r="BJ189" s="7679"/>
      <c r="BK189" s="7680"/>
      <c r="BL189" s="7678"/>
      <c r="BM189" s="7679"/>
      <c r="BN189" s="7679"/>
      <c r="BO189" s="7679"/>
      <c r="BP189" s="7679"/>
      <c r="BQ189" s="7679"/>
      <c r="BR189" s="7680"/>
      <c r="BS189" s="7678"/>
      <c r="BT189" s="7679"/>
      <c r="BU189" s="7679"/>
      <c r="BV189" s="7679"/>
      <c r="BW189" s="7679"/>
      <c r="BX189" s="7679"/>
      <c r="BY189" s="7680"/>
      <c r="BZ189" s="7678"/>
      <c r="CA189" s="7679"/>
      <c r="CB189" s="7679"/>
      <c r="CC189" s="7679"/>
      <c r="CD189" s="7679"/>
      <c r="CE189" s="7679"/>
      <c r="CF189" s="7680"/>
      <c r="CG189" s="7678"/>
      <c r="CH189" s="7679"/>
      <c r="CI189" s="7679"/>
      <c r="CJ189" s="7679"/>
      <c r="CK189" s="7679"/>
      <c r="CL189" s="7679"/>
      <c r="CM189" s="7680"/>
      <c r="CN189" s="7678"/>
      <c r="CO189" s="7679"/>
      <c r="CP189" s="7679"/>
      <c r="CQ189" s="7679"/>
      <c r="CR189" s="7679"/>
      <c r="CS189" s="7679"/>
      <c r="CT189" s="7680"/>
      <c r="CU189" s="7680"/>
      <c r="CV189" s="1231" t="s">
        <v>658</v>
      </c>
      <c r="CW189" s="1562"/>
      <c r="CX189" s="1544"/>
      <c r="CY189" s="1544" t="str">
        <f t="shared" si="3"/>
        <v>Группа потребителей</v>
      </c>
      <c r="CZ189" s="1544"/>
      <c r="DA189" s="1544"/>
    </row>
    <row r="190" spans="1:105" s="1827" customFormat="1" ht="23.25" customHeight="1">
      <c r="A190" s="1284"/>
      <c r="B190" s="1284"/>
      <c r="C190" s="1284"/>
      <c r="D190" s="1284"/>
      <c r="E190" s="7690"/>
      <c r="F190" s="7690"/>
      <c r="G190" s="7690"/>
      <c r="H190" s="7690"/>
      <c r="I190" s="7710"/>
      <c r="J190" s="7710" t="str">
        <f>I184&amp;".1"</f>
        <v>10.1.1.1.1</v>
      </c>
      <c r="K190" s="7687" t="str">
        <f>J189&amp;".1"</f>
        <v>10.1.1.1.2.1</v>
      </c>
      <c r="L190" s="1290"/>
      <c r="M190" s="1696"/>
      <c r="N190" s="1696"/>
      <c r="O190" s="1696"/>
      <c r="P190" s="7688"/>
      <c r="Q190" s="7688"/>
      <c r="R190" s="278">
        <v>1</v>
      </c>
      <c r="S190" s="1813" t="str">
        <f>$K190</f>
        <v>10.1.1.1.2.1</v>
      </c>
      <c r="T190" s="1357" t="s">
        <v>670</v>
      </c>
      <c r="U190" s="214"/>
      <c r="V190" s="666"/>
      <c r="W190" s="666"/>
      <c r="X190" s="1181"/>
      <c r="Y190" s="7692"/>
      <c r="Z190" s="7540" t="s">
        <v>60</v>
      </c>
      <c r="AA190" s="7692"/>
      <c r="AB190" s="7540" t="s">
        <v>60</v>
      </c>
      <c r="AC190" s="666">
        <v>61.08</v>
      </c>
      <c r="AD190" s="666"/>
      <c r="AE190" s="1181"/>
      <c r="AF190" s="7692">
        <v>45292</v>
      </c>
      <c r="AG190" s="7540" t="s">
        <v>60</v>
      </c>
      <c r="AH190" s="7711">
        <v>45473</v>
      </c>
      <c r="AI190" s="7540" t="s">
        <v>60</v>
      </c>
      <c r="AJ190" s="666">
        <v>84.09</v>
      </c>
      <c r="AK190" s="666"/>
      <c r="AL190" s="1181"/>
      <c r="AM190" s="7692">
        <v>45474</v>
      </c>
      <c r="AN190" s="7540" t="s">
        <v>60</v>
      </c>
      <c r="AO190" s="7692">
        <v>45657</v>
      </c>
      <c r="AP190" s="7540" t="s">
        <v>60</v>
      </c>
      <c r="AQ190" s="666">
        <v>77.19</v>
      </c>
      <c r="AR190" s="666"/>
      <c r="AS190" s="1181"/>
      <c r="AT190" s="7692">
        <v>45658</v>
      </c>
      <c r="AU190" s="7540" t="s">
        <v>60</v>
      </c>
      <c r="AV190" s="7692">
        <v>45838</v>
      </c>
      <c r="AW190" s="7540" t="s">
        <v>60</v>
      </c>
      <c r="AX190" s="666">
        <v>77.19</v>
      </c>
      <c r="AY190" s="666"/>
      <c r="AZ190" s="1181"/>
      <c r="BA190" s="7692">
        <v>45839</v>
      </c>
      <c r="BB190" s="7540" t="s">
        <v>60</v>
      </c>
      <c r="BC190" s="7692">
        <v>46022</v>
      </c>
      <c r="BD190" s="7540" t="s">
        <v>60</v>
      </c>
      <c r="BE190" s="666">
        <v>77.19</v>
      </c>
      <c r="BF190" s="666"/>
      <c r="BG190" s="1181"/>
      <c r="BH190" s="7692">
        <v>46023</v>
      </c>
      <c r="BI190" s="7540" t="s">
        <v>60</v>
      </c>
      <c r="BJ190" s="7692">
        <v>46203</v>
      </c>
      <c r="BK190" s="7540" t="s">
        <v>60</v>
      </c>
      <c r="BL190" s="666">
        <v>77.97</v>
      </c>
      <c r="BM190" s="666"/>
      <c r="BN190" s="1181"/>
      <c r="BO190" s="7692">
        <v>46204</v>
      </c>
      <c r="BP190" s="7540" t="s">
        <v>60</v>
      </c>
      <c r="BQ190" s="7692">
        <v>46387</v>
      </c>
      <c r="BR190" s="7540" t="s">
        <v>60</v>
      </c>
      <c r="BS190" s="666">
        <v>77.97</v>
      </c>
      <c r="BT190" s="666"/>
      <c r="BU190" s="1181"/>
      <c r="BV190" s="7692">
        <v>46388</v>
      </c>
      <c r="BW190" s="7540" t="s">
        <v>60</v>
      </c>
      <c r="BX190" s="7692">
        <v>46568</v>
      </c>
      <c r="BY190" s="7540" t="s">
        <v>60</v>
      </c>
      <c r="BZ190" s="666">
        <v>82.24</v>
      </c>
      <c r="CA190" s="666"/>
      <c r="CB190" s="1181"/>
      <c r="CC190" s="7692">
        <v>46569</v>
      </c>
      <c r="CD190" s="7540" t="s">
        <v>60</v>
      </c>
      <c r="CE190" s="7692">
        <v>46752</v>
      </c>
      <c r="CF190" s="7540" t="s">
        <v>60</v>
      </c>
      <c r="CG190" s="666">
        <v>82.24</v>
      </c>
      <c r="CH190" s="666"/>
      <c r="CI190" s="1181"/>
      <c r="CJ190" s="7692">
        <v>46753</v>
      </c>
      <c r="CK190" s="7540" t="s">
        <v>60</v>
      </c>
      <c r="CL190" s="7692">
        <v>46934</v>
      </c>
      <c r="CM190" s="7540" t="s">
        <v>60</v>
      </c>
      <c r="CN190" s="666">
        <v>84.74</v>
      </c>
      <c r="CO190" s="666"/>
      <c r="CP190" s="1181"/>
      <c r="CQ190" s="7692">
        <v>46935</v>
      </c>
      <c r="CR190" s="7540" t="s">
        <v>60</v>
      </c>
      <c r="CS190" s="7692">
        <v>47118</v>
      </c>
      <c r="CT190" s="7540" t="s">
        <v>60</v>
      </c>
      <c r="CU190" s="1358"/>
      <c r="CV190"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90" s="1562" t="e">
        <f ca="1">STRCHECKDATE(V191:CU191)</f>
        <v>#NAME?</v>
      </c>
      <c r="CX190" s="1544"/>
      <c r="CY190" s="1544" t="str">
        <f t="shared" si="3"/>
        <v>Тариф, руб. за 1 куб. метр без НДС</v>
      </c>
      <c r="CZ190" s="1544"/>
      <c r="DA190" s="1544"/>
    </row>
    <row r="191" spans="1:105" s="1827" customFormat="1" ht="14.25" customHeight="1">
      <c r="A191" s="1284"/>
      <c r="B191" s="1284"/>
      <c r="C191" s="1284"/>
      <c r="D191" s="1284"/>
      <c r="E191" s="7690"/>
      <c r="F191" s="7690"/>
      <c r="G191" s="7690"/>
      <c r="H191" s="7690"/>
      <c r="I191" s="7710"/>
      <c r="J191" s="7710" t="str">
        <f>I184&amp;".1"</f>
        <v>10.1.1.1.1</v>
      </c>
      <c r="K191" s="7687"/>
      <c r="L191" s="1290"/>
      <c r="M191" s="1696"/>
      <c r="N191" s="1696"/>
      <c r="O191" s="1696"/>
      <c r="P191" s="7688"/>
      <c r="Q191" s="7688"/>
      <c r="R191" s="278"/>
      <c r="S191" s="1822"/>
      <c r="T191" s="214"/>
      <c r="U191" s="214"/>
      <c r="V191" s="246"/>
      <c r="W191" s="246"/>
      <c r="X191" s="250" t="str">
        <f>Y190&amp;"-"&amp;AA190</f>
        <v>-</v>
      </c>
      <c r="Y191" s="7693"/>
      <c r="Z191" s="7540"/>
      <c r="AA191" s="7693"/>
      <c r="AB191" s="7540"/>
      <c r="AC191" s="246"/>
      <c r="AD191" s="246"/>
      <c r="AE191" s="250" t="str">
        <f>AF190&amp;"-"&amp;AH190</f>
        <v>45292-45473</v>
      </c>
      <c r="AF191" s="7693"/>
      <c r="AG191" s="7540"/>
      <c r="AH191" s="7712"/>
      <c r="AI191" s="7540"/>
      <c r="AJ191" s="246"/>
      <c r="AK191" s="246"/>
      <c r="AL191" s="250" t="str">
        <f>AM190&amp;"-"&amp;AO190</f>
        <v>45474-45657</v>
      </c>
      <c r="AM191" s="7693"/>
      <c r="AN191" s="7540"/>
      <c r="AO191" s="7693"/>
      <c r="AP191" s="7540"/>
      <c r="AQ191" s="246"/>
      <c r="AR191" s="246"/>
      <c r="AS191" s="250" t="str">
        <f>AT190&amp;"-"&amp;AV190</f>
        <v>45658-45838</v>
      </c>
      <c r="AT191" s="7693"/>
      <c r="AU191" s="7540"/>
      <c r="AV191" s="7693"/>
      <c r="AW191" s="7540"/>
      <c r="AX191" s="246"/>
      <c r="AY191" s="246"/>
      <c r="AZ191" s="250" t="str">
        <f>BA190&amp;"-"&amp;BC190</f>
        <v>45839-46022</v>
      </c>
      <c r="BA191" s="7693"/>
      <c r="BB191" s="7540"/>
      <c r="BC191" s="7693"/>
      <c r="BD191" s="7540"/>
      <c r="BE191" s="246"/>
      <c r="BF191" s="246"/>
      <c r="BG191" s="250" t="str">
        <f>BH190&amp;"-"&amp;BJ190</f>
        <v>46023-46203</v>
      </c>
      <c r="BH191" s="7693"/>
      <c r="BI191" s="7540"/>
      <c r="BJ191" s="7693"/>
      <c r="BK191" s="7540"/>
      <c r="BL191" s="246"/>
      <c r="BM191" s="246"/>
      <c r="BN191" s="250" t="str">
        <f>BO190&amp;"-"&amp;BQ190</f>
        <v>46204-46387</v>
      </c>
      <c r="BO191" s="7693"/>
      <c r="BP191" s="7540"/>
      <c r="BQ191" s="7693"/>
      <c r="BR191" s="7540"/>
      <c r="BS191" s="246"/>
      <c r="BT191" s="246"/>
      <c r="BU191" s="250" t="str">
        <f>BV190&amp;"-"&amp;BX190</f>
        <v>46388-46568</v>
      </c>
      <c r="BV191" s="7693"/>
      <c r="BW191" s="7540"/>
      <c r="BX191" s="7693"/>
      <c r="BY191" s="7540"/>
      <c r="BZ191" s="246"/>
      <c r="CA191" s="246"/>
      <c r="CB191" s="250" t="str">
        <f>CC190&amp;"-"&amp;CE190</f>
        <v>46569-46752</v>
      </c>
      <c r="CC191" s="7693"/>
      <c r="CD191" s="7540"/>
      <c r="CE191" s="7693"/>
      <c r="CF191" s="7540"/>
      <c r="CG191" s="246"/>
      <c r="CH191" s="246"/>
      <c r="CI191" s="250" t="str">
        <f>CJ190&amp;"-"&amp;CL190</f>
        <v>46753-46934</v>
      </c>
      <c r="CJ191" s="7693"/>
      <c r="CK191" s="7540"/>
      <c r="CL191" s="7693"/>
      <c r="CM191" s="7540"/>
      <c r="CN191" s="246"/>
      <c r="CO191" s="246"/>
      <c r="CP191" s="250" t="str">
        <f>CQ190&amp;"-"&amp;CS190</f>
        <v>46935-47118</v>
      </c>
      <c r="CQ191" s="7693"/>
      <c r="CR191" s="7540"/>
      <c r="CS191" s="7693"/>
      <c r="CT191" s="7540"/>
      <c r="CU191" s="1359"/>
      <c r="CV191" s="7747"/>
      <c r="CW191" s="1562"/>
      <c r="CX191" s="1544"/>
      <c r="CY191" s="1544" t="str">
        <f t="shared" si="3"/>
        <v/>
      </c>
      <c r="CZ191" s="1544"/>
      <c r="DA191" s="1544"/>
    </row>
    <row r="192" spans="1:105" s="1827" customFormat="1" ht="21" customHeight="1">
      <c r="A192" s="1284"/>
      <c r="B192" s="1284"/>
      <c r="C192" s="1284"/>
      <c r="D192" s="1284"/>
      <c r="E192" s="7690"/>
      <c r="F192" s="7690"/>
      <c r="G192" s="7690"/>
      <c r="H192" s="7690"/>
      <c r="I192" s="7710"/>
      <c r="J192" s="7687" t="str">
        <f>I184&amp;".1"</f>
        <v>10.1.1.1.1</v>
      </c>
      <c r="K192" s="1284"/>
      <c r="L192" s="1290"/>
      <c r="M192" s="1696"/>
      <c r="N192" s="1696"/>
      <c r="O192" s="1696"/>
      <c r="P192" s="7688"/>
      <c r="Q192" s="7688"/>
      <c r="R192" s="277"/>
      <c r="S192" s="4932"/>
      <c r="T192" s="4933" t="s">
        <v>659</v>
      </c>
      <c r="U192" s="4934"/>
      <c r="V192" s="4935"/>
      <c r="W192" s="4936"/>
      <c r="X192" s="4937"/>
      <c r="Y192" s="4938"/>
      <c r="Z192" s="4939"/>
      <c r="AA192" s="4940"/>
      <c r="AB192" s="4941"/>
      <c r="AC192" s="4942"/>
      <c r="AD192" s="4943"/>
      <c r="AE192" s="4944"/>
      <c r="AF192" s="4945"/>
      <c r="AG192" s="4946"/>
      <c r="AH192" s="4947"/>
      <c r="AI192" s="4948"/>
      <c r="AJ192" s="4949"/>
      <c r="AK192" s="4950"/>
      <c r="AL192" s="4951"/>
      <c r="AM192" s="4952"/>
      <c r="AN192" s="4953"/>
      <c r="AO192" s="4954"/>
      <c r="AP192" s="4955"/>
      <c r="AQ192" s="4956"/>
      <c r="AR192" s="4957"/>
      <c r="AS192" s="4958"/>
      <c r="AT192" s="4959"/>
      <c r="AU192" s="4960"/>
      <c r="AV192" s="4961"/>
      <c r="AW192" s="4962"/>
      <c r="AX192" s="4963"/>
      <c r="AY192" s="4964"/>
      <c r="AZ192" s="4965"/>
      <c r="BA192" s="4966"/>
      <c r="BB192" s="4967"/>
      <c r="BC192" s="4968"/>
      <c r="BD192" s="4969"/>
      <c r="BE192" s="4970"/>
      <c r="BF192" s="4971"/>
      <c r="BG192" s="4972"/>
      <c r="BH192" s="4973"/>
      <c r="BI192" s="4974"/>
      <c r="BJ192" s="4975"/>
      <c r="BK192" s="4976"/>
      <c r="BL192" s="4977"/>
      <c r="BM192" s="4978"/>
      <c r="BN192" s="4979"/>
      <c r="BO192" s="4980"/>
      <c r="BP192" s="4981"/>
      <c r="BQ192" s="4982"/>
      <c r="BR192" s="4983"/>
      <c r="BS192" s="4984"/>
      <c r="BT192" s="4985"/>
      <c r="BU192" s="4986"/>
      <c r="BV192" s="4987"/>
      <c r="BW192" s="4988"/>
      <c r="BX192" s="4989"/>
      <c r="BY192" s="4990"/>
      <c r="BZ192" s="4991"/>
      <c r="CA192" s="4992"/>
      <c r="CB192" s="4993"/>
      <c r="CC192" s="4994"/>
      <c r="CD192" s="4995"/>
      <c r="CE192" s="4996"/>
      <c r="CF192" s="4997"/>
      <c r="CG192" s="4998"/>
      <c r="CH192" s="4999"/>
      <c r="CI192" s="5000"/>
      <c r="CJ192" s="5001"/>
      <c r="CK192" s="5002"/>
      <c r="CL192" s="5003"/>
      <c r="CM192" s="5004"/>
      <c r="CN192" s="5005"/>
      <c r="CO192" s="5006"/>
      <c r="CP192" s="5007"/>
      <c r="CQ192" s="5008"/>
      <c r="CR192" s="5009"/>
      <c r="CS192" s="5010"/>
      <c r="CT192" s="5011"/>
      <c r="CU192" s="5012"/>
      <c r="CV192" s="1182" t="s">
        <v>660</v>
      </c>
      <c r="CW192" s="1562"/>
      <c r="CX192" s="1544"/>
      <c r="CY192" s="1544" t="str">
        <f t="shared" si="3"/>
        <v>Добавить значение признака дифференциации</v>
      </c>
      <c r="CZ192" s="1544"/>
      <c r="DA192" s="1544"/>
    </row>
    <row r="193" spans="1:105" s="1827" customFormat="1" ht="21" customHeight="1">
      <c r="A193" s="1284"/>
      <c r="B193" s="1284"/>
      <c r="C193" s="1284"/>
      <c r="D193" s="1284"/>
      <c r="E193" s="7690" t="s">
        <v>125</v>
      </c>
      <c r="F193" s="7690"/>
      <c r="G193" s="7690"/>
      <c r="H193" s="7690"/>
      <c r="I193" s="7687"/>
      <c r="J193" s="1284"/>
      <c r="K193" s="1284"/>
      <c r="L193" s="1290"/>
      <c r="M193" s="1696"/>
      <c r="N193" s="1696"/>
      <c r="O193" s="1696"/>
      <c r="P193" s="7688"/>
      <c r="Q193" s="1816"/>
      <c r="R193" s="277"/>
      <c r="S193" s="5013"/>
      <c r="T193" s="5014" t="s">
        <v>588</v>
      </c>
      <c r="U193" s="5015"/>
      <c r="V193" s="5016"/>
      <c r="W193" s="5017"/>
      <c r="X193" s="5018"/>
      <c r="Y193" s="5019"/>
      <c r="Z193" s="5020"/>
      <c r="AA193" s="5021"/>
      <c r="AB193" s="5022"/>
      <c r="AC193" s="5023"/>
      <c r="AD193" s="5024"/>
      <c r="AE193" s="5025"/>
      <c r="AF193" s="5026"/>
      <c r="AG193" s="5027"/>
      <c r="AH193" s="5028"/>
      <c r="AI193" s="5029"/>
      <c r="AJ193" s="5030"/>
      <c r="AK193" s="5031"/>
      <c r="AL193" s="5032"/>
      <c r="AM193" s="5033"/>
      <c r="AN193" s="5034"/>
      <c r="AO193" s="5035"/>
      <c r="AP193" s="5036"/>
      <c r="AQ193" s="5037"/>
      <c r="AR193" s="5038"/>
      <c r="AS193" s="5039"/>
      <c r="AT193" s="5040"/>
      <c r="AU193" s="5041"/>
      <c r="AV193" s="5042"/>
      <c r="AW193" s="5043"/>
      <c r="AX193" s="5044"/>
      <c r="AY193" s="5045"/>
      <c r="AZ193" s="5046"/>
      <c r="BA193" s="5047"/>
      <c r="BB193" s="5048"/>
      <c r="BC193" s="5049"/>
      <c r="BD193" s="5050"/>
      <c r="BE193" s="5051"/>
      <c r="BF193" s="5052"/>
      <c r="BG193" s="5053"/>
      <c r="BH193" s="5054"/>
      <c r="BI193" s="5055"/>
      <c r="BJ193" s="5056"/>
      <c r="BK193" s="5057"/>
      <c r="BL193" s="5058"/>
      <c r="BM193" s="5059"/>
      <c r="BN193" s="5060"/>
      <c r="BO193" s="5061"/>
      <c r="BP193" s="5062"/>
      <c r="BQ193" s="5063"/>
      <c r="BR193" s="5064"/>
      <c r="BS193" s="5065"/>
      <c r="BT193" s="5066"/>
      <c r="BU193" s="5067"/>
      <c r="BV193" s="5068"/>
      <c r="BW193" s="5069"/>
      <c r="BX193" s="5070"/>
      <c r="BY193" s="5071"/>
      <c r="BZ193" s="5072"/>
      <c r="CA193" s="5073"/>
      <c r="CB193" s="5074"/>
      <c r="CC193" s="5075"/>
      <c r="CD193" s="5076"/>
      <c r="CE193" s="5077"/>
      <c r="CF193" s="5078"/>
      <c r="CG193" s="5079"/>
      <c r="CH193" s="5080"/>
      <c r="CI193" s="5081"/>
      <c r="CJ193" s="5082"/>
      <c r="CK193" s="5083"/>
      <c r="CL193" s="5084"/>
      <c r="CM193" s="5085"/>
      <c r="CN193" s="5086"/>
      <c r="CO193" s="5087"/>
      <c r="CP193" s="5088"/>
      <c r="CQ193" s="5089"/>
      <c r="CR193" s="5090"/>
      <c r="CS193" s="5091"/>
      <c r="CT193" s="5092"/>
      <c r="CU193" s="5093"/>
      <c r="CV193" s="5094"/>
      <c r="CW193" s="1562"/>
      <c r="CX193" s="1544"/>
      <c r="CY193" s="1544" t="str">
        <f t="shared" si="3"/>
        <v>Добавить группу потребителей</v>
      </c>
      <c r="CZ193" s="1544"/>
      <c r="DA193" s="1544"/>
    </row>
    <row r="194" spans="1:105" s="1827" customFormat="1" ht="14.25" customHeight="1">
      <c r="A194" s="1284"/>
      <c r="B194" s="1284"/>
      <c r="C194" s="1284"/>
      <c r="D194" s="1284"/>
      <c r="E194" s="7690" t="s">
        <v>125</v>
      </c>
      <c r="F194" s="7690"/>
      <c r="G194" s="7690"/>
      <c r="H194" s="7689"/>
      <c r="I194" s="1284"/>
      <c r="J194" s="1284"/>
      <c r="K194" s="1284"/>
      <c r="L194" s="1290"/>
      <c r="M194" s="1286"/>
      <c r="N194" s="1286"/>
      <c r="O194" s="1287"/>
      <c r="P194" s="1742"/>
      <c r="Q194" s="299"/>
      <c r="R194" s="276"/>
      <c r="S194" s="5095"/>
      <c r="T194" s="5096" t="s">
        <v>661</v>
      </c>
      <c r="U194" s="5097"/>
      <c r="V194" s="5098"/>
      <c r="W194" s="5099"/>
      <c r="X194" s="5100"/>
      <c r="Y194" s="5101"/>
      <c r="Z194" s="5102"/>
      <c r="AA194" s="5103"/>
      <c r="AB194" s="5104"/>
      <c r="AC194" s="5105"/>
      <c r="AD194" s="5106"/>
      <c r="AE194" s="5107"/>
      <c r="AF194" s="5108"/>
      <c r="AG194" s="5109"/>
      <c r="AH194" s="5110"/>
      <c r="AI194" s="5111"/>
      <c r="AJ194" s="5112"/>
      <c r="AK194" s="5113"/>
      <c r="AL194" s="5114"/>
      <c r="AM194" s="5115"/>
      <c r="AN194" s="5116"/>
      <c r="AO194" s="5117"/>
      <c r="AP194" s="5118"/>
      <c r="AQ194" s="5119"/>
      <c r="AR194" s="5120"/>
      <c r="AS194" s="5121"/>
      <c r="AT194" s="5122"/>
      <c r="AU194" s="5123"/>
      <c r="AV194" s="5124"/>
      <c r="AW194" s="5125"/>
      <c r="AX194" s="5126"/>
      <c r="AY194" s="5127"/>
      <c r="AZ194" s="5128"/>
      <c r="BA194" s="5129"/>
      <c r="BB194" s="5130"/>
      <c r="BC194" s="5131"/>
      <c r="BD194" s="5132"/>
      <c r="BE194" s="5133"/>
      <c r="BF194" s="5134"/>
      <c r="BG194" s="5135"/>
      <c r="BH194" s="5136"/>
      <c r="BI194" s="5137"/>
      <c r="BJ194" s="5138"/>
      <c r="BK194" s="5139"/>
      <c r="BL194" s="5140"/>
      <c r="BM194" s="5141"/>
      <c r="BN194" s="5142"/>
      <c r="BO194" s="5143"/>
      <c r="BP194" s="5144"/>
      <c r="BQ194" s="5145"/>
      <c r="BR194" s="5146"/>
      <c r="BS194" s="5147"/>
      <c r="BT194" s="5148"/>
      <c r="BU194" s="5149"/>
      <c r="BV194" s="5150"/>
      <c r="BW194" s="5151"/>
      <c r="BX194" s="5152"/>
      <c r="BY194" s="5153"/>
      <c r="BZ194" s="5154"/>
      <c r="CA194" s="5155"/>
      <c r="CB194" s="5156"/>
      <c r="CC194" s="5157"/>
      <c r="CD194" s="5158"/>
      <c r="CE194" s="5159"/>
      <c r="CF194" s="5160"/>
      <c r="CG194" s="5161"/>
      <c r="CH194" s="5162"/>
      <c r="CI194" s="5163"/>
      <c r="CJ194" s="5164"/>
      <c r="CK194" s="5165"/>
      <c r="CL194" s="5166"/>
      <c r="CM194" s="5167"/>
      <c r="CN194" s="5168"/>
      <c r="CO194" s="5169"/>
      <c r="CP194" s="5170"/>
      <c r="CQ194" s="5171"/>
      <c r="CR194" s="5172"/>
      <c r="CS194" s="5173"/>
      <c r="CT194" s="5174"/>
      <c r="CU194" s="5175"/>
      <c r="CV194" s="5176"/>
      <c r="CW194" s="1562"/>
      <c r="CX194" s="1544"/>
      <c r="CY194" s="1544" t="str">
        <f t="shared" si="3"/>
        <v>Добавить наименование признака дифференциации</v>
      </c>
      <c r="CZ194" s="1544"/>
      <c r="DA194" s="1544"/>
    </row>
    <row r="195" spans="1:105" s="541" customFormat="1" ht="14.25" customHeight="1">
      <c r="A195" s="1265"/>
      <c r="B195" s="1265"/>
      <c r="C195" s="1265"/>
      <c r="D195" s="1265"/>
      <c r="E195" s="7690" t="s">
        <v>125</v>
      </c>
      <c r="F195" s="7689"/>
      <c r="G195" s="1265"/>
      <c r="H195" s="1265"/>
      <c r="I195" s="1265"/>
      <c r="J195" s="1265"/>
      <c r="K195" s="1265"/>
      <c r="L195" s="1466"/>
      <c r="M195" s="1244"/>
      <c r="N195" s="1244"/>
      <c r="O195" s="1562"/>
      <c r="P195" s="1239"/>
      <c r="Q195" s="1266"/>
      <c r="R195" s="1239"/>
      <c r="S195" s="1245"/>
      <c r="T195" s="1248" t="s">
        <v>325</v>
      </c>
      <c r="U195" s="1247"/>
      <c r="V195" s="1247"/>
      <c r="W195" s="1247"/>
      <c r="X195" s="1247"/>
      <c r="Y195" s="1247"/>
      <c r="Z195" s="1247"/>
      <c r="AA195" s="1247"/>
      <c r="AB195" s="1247"/>
      <c r="AC195" s="1247"/>
      <c r="AD195" s="1247"/>
      <c r="AE195" s="1247"/>
      <c r="AF195" s="1247"/>
      <c r="AG195" s="1247"/>
      <c r="AH195" s="1247"/>
      <c r="AI195" s="1247"/>
      <c r="AJ195" s="1247"/>
      <c r="AK195" s="1247"/>
      <c r="AL195" s="1247"/>
      <c r="AM195" s="1247"/>
      <c r="AN195" s="1247"/>
      <c r="AO195" s="1247"/>
      <c r="AP195" s="1247"/>
      <c r="AQ195" s="1247"/>
      <c r="AR195" s="1247"/>
      <c r="AS195" s="1247"/>
      <c r="AT195" s="1247"/>
      <c r="AU195" s="1247"/>
      <c r="AV195" s="1247"/>
      <c r="AW195" s="1247"/>
      <c r="AX195" s="1247"/>
      <c r="AY195" s="1247"/>
      <c r="AZ195" s="1247"/>
      <c r="BA195" s="1247"/>
      <c r="BB195" s="1247"/>
      <c r="BC195" s="1247"/>
      <c r="BD195" s="1247"/>
      <c r="BE195" s="1247"/>
      <c r="BF195" s="1247"/>
      <c r="BG195" s="1247"/>
      <c r="BH195" s="1247"/>
      <c r="BI195" s="1247"/>
      <c r="BJ195" s="1247"/>
      <c r="BK195" s="1247"/>
      <c r="BL195" s="1247"/>
      <c r="BM195" s="1247"/>
      <c r="BN195" s="1247"/>
      <c r="BO195" s="1247"/>
      <c r="BP195" s="1247"/>
      <c r="BQ195" s="1247"/>
      <c r="BR195" s="1247"/>
      <c r="BS195" s="1247"/>
      <c r="BT195" s="1247"/>
      <c r="BU195" s="1247"/>
      <c r="BV195" s="1247"/>
      <c r="BW195" s="1247"/>
      <c r="BX195" s="1247"/>
      <c r="BY195" s="1247"/>
      <c r="BZ195" s="1247"/>
      <c r="CA195" s="1247"/>
      <c r="CB195" s="1247"/>
      <c r="CC195" s="1247"/>
      <c r="CD195" s="1247"/>
      <c r="CE195" s="1247"/>
      <c r="CF195" s="1247"/>
      <c r="CG195" s="1247"/>
      <c r="CH195" s="1247"/>
      <c r="CI195" s="1247"/>
      <c r="CJ195" s="1247"/>
      <c r="CK195" s="1247"/>
      <c r="CL195" s="1247"/>
      <c r="CM195" s="1247"/>
      <c r="CN195" s="1247"/>
      <c r="CO195" s="1247"/>
      <c r="CP195" s="1247"/>
      <c r="CQ195" s="1247"/>
      <c r="CR195" s="1247"/>
      <c r="CS195" s="1247"/>
      <c r="CT195" s="1247"/>
      <c r="CU195" s="1247"/>
      <c r="CV195" s="1247"/>
      <c r="CW195" s="1562"/>
      <c r="CX195" s="1544"/>
      <c r="CY195" s="1544" t="str">
        <f t="shared" si="3"/>
        <v>Добавить централизованную систему для дифференциации</v>
      </c>
      <c r="CZ195" s="1544"/>
      <c r="DA195" s="1544"/>
    </row>
    <row r="196" spans="1:105" s="541" customFormat="1" ht="14.25" customHeight="1">
      <c r="A196" s="1265"/>
      <c r="B196" s="1265"/>
      <c r="C196" s="1265"/>
      <c r="D196" s="1265"/>
      <c r="E196" s="7689" t="s">
        <v>125</v>
      </c>
      <c r="F196" s="1265"/>
      <c r="G196" s="1265"/>
      <c r="H196" s="1265"/>
      <c r="I196" s="1265"/>
      <c r="J196" s="1265"/>
      <c r="K196" s="1265"/>
      <c r="L196" s="1466"/>
      <c r="M196" s="1244"/>
      <c r="N196" s="1244"/>
      <c r="O196" s="1562"/>
      <c r="P196" s="1239"/>
      <c r="Q196" s="1266"/>
      <c r="R196" s="1239"/>
      <c r="S196" s="1245"/>
      <c r="T196" s="1248" t="s">
        <v>326</v>
      </c>
      <c r="U196" s="1247"/>
      <c r="V196" s="1247"/>
      <c r="W196" s="1247"/>
      <c r="X196" s="1247"/>
      <c r="Y196" s="1247"/>
      <c r="Z196" s="1247"/>
      <c r="AA196" s="1247"/>
      <c r="AB196" s="1247"/>
      <c r="AC196" s="1247"/>
      <c r="AD196" s="1247"/>
      <c r="AE196" s="1247"/>
      <c r="AF196" s="1247"/>
      <c r="AG196" s="1247"/>
      <c r="AH196" s="1247"/>
      <c r="AI196" s="1247"/>
      <c r="AJ196" s="1247"/>
      <c r="AK196" s="1247"/>
      <c r="AL196" s="1247"/>
      <c r="AM196" s="1247"/>
      <c r="AN196" s="1247"/>
      <c r="AO196" s="1247"/>
      <c r="AP196" s="1247"/>
      <c r="AQ196" s="1247"/>
      <c r="AR196" s="1247"/>
      <c r="AS196" s="1247"/>
      <c r="AT196" s="1247"/>
      <c r="AU196" s="1247"/>
      <c r="AV196" s="1247"/>
      <c r="AW196" s="1247"/>
      <c r="AX196" s="1247"/>
      <c r="AY196" s="1247"/>
      <c r="AZ196" s="1247"/>
      <c r="BA196" s="1247"/>
      <c r="BB196" s="1247"/>
      <c r="BC196" s="1247"/>
      <c r="BD196" s="1247"/>
      <c r="BE196" s="1247"/>
      <c r="BF196" s="1247"/>
      <c r="BG196" s="1247"/>
      <c r="BH196" s="1247"/>
      <c r="BI196" s="1247"/>
      <c r="BJ196" s="1247"/>
      <c r="BK196" s="1247"/>
      <c r="BL196" s="1247"/>
      <c r="BM196" s="1247"/>
      <c r="BN196" s="1247"/>
      <c r="BO196" s="1247"/>
      <c r="BP196" s="1247"/>
      <c r="BQ196" s="1247"/>
      <c r="BR196" s="1247"/>
      <c r="BS196" s="1247"/>
      <c r="BT196" s="1247"/>
      <c r="BU196" s="1247"/>
      <c r="BV196" s="1247"/>
      <c r="BW196" s="1247"/>
      <c r="BX196" s="1247"/>
      <c r="BY196" s="1247"/>
      <c r="BZ196" s="1247"/>
      <c r="CA196" s="1247"/>
      <c r="CB196" s="1247"/>
      <c r="CC196" s="1247"/>
      <c r="CD196" s="1247"/>
      <c r="CE196" s="1247"/>
      <c r="CF196" s="1247"/>
      <c r="CG196" s="1247"/>
      <c r="CH196" s="1247"/>
      <c r="CI196" s="1247"/>
      <c r="CJ196" s="1247"/>
      <c r="CK196" s="1247"/>
      <c r="CL196" s="1247"/>
      <c r="CM196" s="1247"/>
      <c r="CN196" s="1247"/>
      <c r="CO196" s="1247"/>
      <c r="CP196" s="1247"/>
      <c r="CQ196" s="1247"/>
      <c r="CR196" s="1247"/>
      <c r="CS196" s="1247"/>
      <c r="CT196" s="1247"/>
      <c r="CU196" s="1247"/>
      <c r="CV196" s="1247"/>
      <c r="CW196" s="1562"/>
      <c r="CX196" s="1544"/>
      <c r="CY196" s="1544" t="str">
        <f t="shared" si="3"/>
        <v>Добавить территорию для дифференциации</v>
      </c>
      <c r="CZ196" s="1544"/>
      <c r="DA196" s="1544"/>
    </row>
    <row r="197" spans="1:105" s="1827" customFormat="1" ht="23.25" customHeight="1">
      <c r="A197" s="1284" t="s">
        <v>373</v>
      </c>
      <c r="B197" s="1284"/>
      <c r="C197" s="1284"/>
      <c r="D197" s="1284"/>
      <c r="E197" s="7689" t="s">
        <v>102</v>
      </c>
      <c r="F197" s="1284"/>
      <c r="G197" s="1284"/>
      <c r="H197" s="1284"/>
      <c r="I197" s="1284"/>
      <c r="J197" s="1284"/>
      <c r="K197" s="1284"/>
      <c r="L197" s="1290"/>
      <c r="M197" s="1286"/>
      <c r="N197" s="1286"/>
      <c r="O197" s="1286"/>
      <c r="P197" s="1817"/>
      <c r="Q197" s="1742"/>
      <c r="R197" s="276"/>
      <c r="S197" s="1813" t="str">
        <f>INDEX(PT_DIFFERENTIATION_NUM_NTAR,MATCH(A197,PT_DIFFERENTIATION_NTAR_ID,0))</f>
        <v>11</v>
      </c>
      <c r="T197" s="1440" t="s">
        <v>237</v>
      </c>
      <c r="U197" s="214"/>
      <c r="V197" s="7675"/>
      <c r="W197" s="7676"/>
      <c r="X197" s="7676"/>
      <c r="Y197" s="7676"/>
      <c r="Z197" s="7676"/>
      <c r="AA197" s="7676"/>
      <c r="AB197" s="7677"/>
      <c r="AC197" s="7675" t="str">
        <f>INDEX(PT_DIFFERENTIATION_NTAR,MATCH(A197,PT_DIFFERENTIATION_NTAR_ID,0))</f>
        <v>Тарифы на питьевую воду для потребителей, присоединенных к централизованным системам водоснабжения села Гофицкого Петровского муниципального округа</v>
      </c>
      <c r="AD197" s="7676"/>
      <c r="AE197" s="7676"/>
      <c r="AF197" s="7676"/>
      <c r="AG197" s="7676"/>
      <c r="AH197" s="7676"/>
      <c r="AI197" s="7676"/>
      <c r="AJ197" s="7675"/>
      <c r="AK197" s="7676"/>
      <c r="AL197" s="7676"/>
      <c r="AM197" s="7676"/>
      <c r="AN197" s="7676"/>
      <c r="AO197" s="7676"/>
      <c r="AP197" s="7677"/>
      <c r="AQ197" s="7675"/>
      <c r="AR197" s="7676"/>
      <c r="AS197" s="7676"/>
      <c r="AT197" s="7676"/>
      <c r="AU197" s="7676"/>
      <c r="AV197" s="7676"/>
      <c r="AW197" s="7677"/>
      <c r="AX197" s="7675"/>
      <c r="AY197" s="7676"/>
      <c r="AZ197" s="7676"/>
      <c r="BA197" s="7676"/>
      <c r="BB197" s="7676"/>
      <c r="BC197" s="7676"/>
      <c r="BD197" s="7677"/>
      <c r="BE197" s="7675"/>
      <c r="BF197" s="7676"/>
      <c r="BG197" s="7676"/>
      <c r="BH197" s="7676"/>
      <c r="BI197" s="7676"/>
      <c r="BJ197" s="7676"/>
      <c r="BK197" s="7677"/>
      <c r="BL197" s="7675"/>
      <c r="BM197" s="7676"/>
      <c r="BN197" s="7676"/>
      <c r="BO197" s="7676"/>
      <c r="BP197" s="7676"/>
      <c r="BQ197" s="7676"/>
      <c r="BR197" s="7677"/>
      <c r="BS197" s="7675"/>
      <c r="BT197" s="7676"/>
      <c r="BU197" s="7676"/>
      <c r="BV197" s="7676"/>
      <c r="BW197" s="7676"/>
      <c r="BX197" s="7676"/>
      <c r="BY197" s="7677"/>
      <c r="BZ197" s="7675"/>
      <c r="CA197" s="7676"/>
      <c r="CB197" s="7676"/>
      <c r="CC197" s="7676"/>
      <c r="CD197" s="7676"/>
      <c r="CE197" s="7676"/>
      <c r="CF197" s="7677"/>
      <c r="CG197" s="7675"/>
      <c r="CH197" s="7676"/>
      <c r="CI197" s="7676"/>
      <c r="CJ197" s="7676"/>
      <c r="CK197" s="7676"/>
      <c r="CL197" s="7676"/>
      <c r="CM197" s="7677"/>
      <c r="CN197" s="7675"/>
      <c r="CO197" s="7676"/>
      <c r="CP197" s="7676"/>
      <c r="CQ197" s="7676"/>
      <c r="CR197" s="7676"/>
      <c r="CS197" s="7676"/>
      <c r="CT197" s="7677"/>
      <c r="CU197" s="7677"/>
      <c r="CV19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197" s="1562"/>
      <c r="CX197" s="1544"/>
      <c r="CY197" s="1544" t="str">
        <f t="shared" si="3"/>
        <v>Наименование тарифа</v>
      </c>
      <c r="CZ197" s="1544"/>
      <c r="DA197" s="1544"/>
    </row>
    <row r="198" spans="1:105" s="1827" customFormat="1" ht="23.25" customHeight="1">
      <c r="A198" s="1284"/>
      <c r="B198" s="1284" t="s">
        <v>374</v>
      </c>
      <c r="C198" s="1284"/>
      <c r="D198" s="1284"/>
      <c r="E198" s="7690" t="s">
        <v>129</v>
      </c>
      <c r="F198" s="7689">
        <v>1</v>
      </c>
      <c r="G198" s="1284"/>
      <c r="H198" s="1284"/>
      <c r="I198" s="1284"/>
      <c r="J198" s="1284"/>
      <c r="K198" s="1284"/>
      <c r="L198" s="1290"/>
      <c r="M198" s="1286"/>
      <c r="N198" s="1286"/>
      <c r="O198" s="1286"/>
      <c r="P198" s="1807"/>
      <c r="Q198" s="273"/>
      <c r="R198" s="274"/>
      <c r="S198" s="1813" t="str">
        <f>INDEX(PT_DIFFERENTIATION_NUM_TER,MATCH(B198,PT_DIFFERENTIATION_TER_ID,0))</f>
        <v>11.1</v>
      </c>
      <c r="T198" s="1437" t="s">
        <v>573</v>
      </c>
      <c r="U198" s="214"/>
      <c r="V198" s="7675"/>
      <c r="W198" s="7676"/>
      <c r="X198" s="7676"/>
      <c r="Y198" s="7676"/>
      <c r="Z198" s="7676"/>
      <c r="AA198" s="7676"/>
      <c r="AB198" s="7677"/>
      <c r="AC198" s="7675" t="str">
        <f>INDEX(PT_DIFFERENTIATION_TER,MATCH(B198,PT_DIFFERENTIATION_TER_ID,0))</f>
        <v>Территория 7</v>
      </c>
      <c r="AD198" s="7676"/>
      <c r="AE198" s="7676"/>
      <c r="AF198" s="7676"/>
      <c r="AG198" s="7676"/>
      <c r="AH198" s="7676"/>
      <c r="AI198" s="7676"/>
      <c r="AJ198" s="7675"/>
      <c r="AK198" s="7676"/>
      <c r="AL198" s="7676"/>
      <c r="AM198" s="7676"/>
      <c r="AN198" s="7676"/>
      <c r="AO198" s="7676"/>
      <c r="AP198" s="7677"/>
      <c r="AQ198" s="7675"/>
      <c r="AR198" s="7676"/>
      <c r="AS198" s="7676"/>
      <c r="AT198" s="7676"/>
      <c r="AU198" s="7676"/>
      <c r="AV198" s="7676"/>
      <c r="AW198" s="7677"/>
      <c r="AX198" s="7675"/>
      <c r="AY198" s="7676"/>
      <c r="AZ198" s="7676"/>
      <c r="BA198" s="7676"/>
      <c r="BB198" s="7676"/>
      <c r="BC198" s="7676"/>
      <c r="BD198" s="7677"/>
      <c r="BE198" s="7675"/>
      <c r="BF198" s="7676"/>
      <c r="BG198" s="7676"/>
      <c r="BH198" s="7676"/>
      <c r="BI198" s="7676"/>
      <c r="BJ198" s="7676"/>
      <c r="BK198" s="7677"/>
      <c r="BL198" s="7675"/>
      <c r="BM198" s="7676"/>
      <c r="BN198" s="7676"/>
      <c r="BO198" s="7676"/>
      <c r="BP198" s="7676"/>
      <c r="BQ198" s="7676"/>
      <c r="BR198" s="7677"/>
      <c r="BS198" s="7675"/>
      <c r="BT198" s="7676"/>
      <c r="BU198" s="7676"/>
      <c r="BV198" s="7676"/>
      <c r="BW198" s="7676"/>
      <c r="BX198" s="7676"/>
      <c r="BY198" s="7677"/>
      <c r="BZ198" s="7675"/>
      <c r="CA198" s="7676"/>
      <c r="CB198" s="7676"/>
      <c r="CC198" s="7676"/>
      <c r="CD198" s="7676"/>
      <c r="CE198" s="7676"/>
      <c r="CF198" s="7677"/>
      <c r="CG198" s="7675"/>
      <c r="CH198" s="7676"/>
      <c r="CI198" s="7676"/>
      <c r="CJ198" s="7676"/>
      <c r="CK198" s="7676"/>
      <c r="CL198" s="7676"/>
      <c r="CM198" s="7677"/>
      <c r="CN198" s="7675"/>
      <c r="CO198" s="7676"/>
      <c r="CP198" s="7676"/>
      <c r="CQ198" s="7676"/>
      <c r="CR198" s="7676"/>
      <c r="CS198" s="7676"/>
      <c r="CT198" s="7677"/>
      <c r="CU198" s="7677"/>
      <c r="CV198" s="1182" t="s">
        <v>574</v>
      </c>
      <c r="CW198" s="1562"/>
      <c r="CX198" s="1544"/>
      <c r="CY198" s="1544" t="str">
        <f t="shared" si="3"/>
        <v>Территория действия тарифа</v>
      </c>
      <c r="CZ198" s="1544"/>
      <c r="DA198" s="1544"/>
    </row>
    <row r="199" spans="1:105" s="1827" customFormat="1" ht="23.25" customHeight="1">
      <c r="A199" s="1284"/>
      <c r="B199" s="1284"/>
      <c r="C199" s="1284" t="s">
        <v>375</v>
      </c>
      <c r="D199" s="1284"/>
      <c r="E199" s="7690" t="s">
        <v>129</v>
      </c>
      <c r="F199" s="7690"/>
      <c r="G199" s="7689">
        <v>1</v>
      </c>
      <c r="H199" s="1284"/>
      <c r="I199" s="1284"/>
      <c r="J199" s="1284"/>
      <c r="K199" s="1284"/>
      <c r="L199" s="1290"/>
      <c r="M199" s="1286"/>
      <c r="N199" s="1286"/>
      <c r="O199" s="1286"/>
      <c r="P199" s="275"/>
      <c r="Q199" s="273"/>
      <c r="R199" s="274"/>
      <c r="S199" s="1813" t="str">
        <f>INDEX(PT_DIFFERENTIATION_NUM_CS,MATCH(C199,PT_DIFFERENTIATION_CS_ID,0))</f>
        <v>11.1.1</v>
      </c>
      <c r="T199" s="225" t="s">
        <v>654</v>
      </c>
      <c r="U199" s="214"/>
      <c r="V199" s="7675"/>
      <c r="W199" s="7676"/>
      <c r="X199" s="7676"/>
      <c r="Y199" s="7676"/>
      <c r="Z199" s="7676"/>
      <c r="AA199" s="7676"/>
      <c r="AB199" s="7677"/>
      <c r="AC199" s="7675" t="str">
        <f>INDEX(PT_DIFFERENTIATION_CS,MATCH(C199,PT_DIFFERENTIATION_CS_ID,0))</f>
        <v>без дифференциации</v>
      </c>
      <c r="AD199" s="7676"/>
      <c r="AE199" s="7676"/>
      <c r="AF199" s="7676"/>
      <c r="AG199" s="7676"/>
      <c r="AH199" s="7676"/>
      <c r="AI199" s="7676"/>
      <c r="AJ199" s="7675"/>
      <c r="AK199" s="7676"/>
      <c r="AL199" s="7676"/>
      <c r="AM199" s="7676"/>
      <c r="AN199" s="7676"/>
      <c r="AO199" s="7676"/>
      <c r="AP199" s="7677"/>
      <c r="AQ199" s="7675"/>
      <c r="AR199" s="7676"/>
      <c r="AS199" s="7676"/>
      <c r="AT199" s="7676"/>
      <c r="AU199" s="7676"/>
      <c r="AV199" s="7676"/>
      <c r="AW199" s="7677"/>
      <c r="AX199" s="7675"/>
      <c r="AY199" s="7676"/>
      <c r="AZ199" s="7676"/>
      <c r="BA199" s="7676"/>
      <c r="BB199" s="7676"/>
      <c r="BC199" s="7676"/>
      <c r="BD199" s="7677"/>
      <c r="BE199" s="7675"/>
      <c r="BF199" s="7676"/>
      <c r="BG199" s="7676"/>
      <c r="BH199" s="7676"/>
      <c r="BI199" s="7676"/>
      <c r="BJ199" s="7676"/>
      <c r="BK199" s="7677"/>
      <c r="BL199" s="7675"/>
      <c r="BM199" s="7676"/>
      <c r="BN199" s="7676"/>
      <c r="BO199" s="7676"/>
      <c r="BP199" s="7676"/>
      <c r="BQ199" s="7676"/>
      <c r="BR199" s="7677"/>
      <c r="BS199" s="7675"/>
      <c r="BT199" s="7676"/>
      <c r="BU199" s="7676"/>
      <c r="BV199" s="7676"/>
      <c r="BW199" s="7676"/>
      <c r="BX199" s="7676"/>
      <c r="BY199" s="7677"/>
      <c r="BZ199" s="7675"/>
      <c r="CA199" s="7676"/>
      <c r="CB199" s="7676"/>
      <c r="CC199" s="7676"/>
      <c r="CD199" s="7676"/>
      <c r="CE199" s="7676"/>
      <c r="CF199" s="7677"/>
      <c r="CG199" s="7675"/>
      <c r="CH199" s="7676"/>
      <c r="CI199" s="7676"/>
      <c r="CJ199" s="7676"/>
      <c r="CK199" s="7676"/>
      <c r="CL199" s="7676"/>
      <c r="CM199" s="7677"/>
      <c r="CN199" s="7675"/>
      <c r="CO199" s="7676"/>
      <c r="CP199" s="7676"/>
      <c r="CQ199" s="7676"/>
      <c r="CR199" s="7676"/>
      <c r="CS199" s="7676"/>
      <c r="CT199" s="7677"/>
      <c r="CU199" s="7677"/>
      <c r="CV199" s="1182" t="s">
        <v>655</v>
      </c>
      <c r="CW199" s="1562"/>
      <c r="CX199" s="1544"/>
      <c r="CY199" s="1544" t="str">
        <f t="shared" si="3"/>
        <v>Наименование централизованной системы холодного водоснабжения</v>
      </c>
      <c r="CZ199" s="1544"/>
      <c r="DA199" s="1544"/>
    </row>
    <row r="200" spans="1:105" s="1827" customFormat="1" ht="23.25" customHeight="1">
      <c r="A200" s="1284"/>
      <c r="B200" s="1284"/>
      <c r="C200" s="1284"/>
      <c r="D200" s="1284"/>
      <c r="E200" s="7690" t="s">
        <v>129</v>
      </c>
      <c r="F200" s="7690"/>
      <c r="G200" s="7690"/>
      <c r="H200" s="7690"/>
      <c r="I200" s="7687" t="str">
        <f>S199&amp;".1"</f>
        <v>11.1.1.1</v>
      </c>
      <c r="J200" s="1284"/>
      <c r="K200" s="1284"/>
      <c r="L200" s="1290"/>
      <c r="M200" s="1696"/>
      <c r="N200" s="1696"/>
      <c r="O200" s="1696"/>
      <c r="P200" s="7688">
        <v>1</v>
      </c>
      <c r="Q200" s="1816"/>
      <c r="R200" s="277"/>
      <c r="S200" s="1813" t="str">
        <f>$I200</f>
        <v>11.1.1.1</v>
      </c>
      <c r="T200" s="200" t="s">
        <v>656</v>
      </c>
      <c r="U200" s="214"/>
      <c r="V200" s="7748"/>
      <c r="W200" s="7749"/>
      <c r="X200" s="7749"/>
      <c r="Y200" s="7749"/>
      <c r="Z200" s="7749"/>
      <c r="AA200" s="7749"/>
      <c r="AB200" s="7750"/>
      <c r="AC200" s="7751"/>
      <c r="AD200" s="7752"/>
      <c r="AE200" s="7752"/>
      <c r="AF200" s="7752"/>
      <c r="AG200" s="7752"/>
      <c r="AH200" s="7752"/>
      <c r="AI200" s="7752"/>
      <c r="AJ200" s="7748"/>
      <c r="AK200" s="7749"/>
      <c r="AL200" s="7749"/>
      <c r="AM200" s="7749"/>
      <c r="AN200" s="7749"/>
      <c r="AO200" s="7749"/>
      <c r="AP200" s="7750"/>
      <c r="AQ200" s="7748"/>
      <c r="AR200" s="7749"/>
      <c r="AS200" s="7749"/>
      <c r="AT200" s="7749"/>
      <c r="AU200" s="7749"/>
      <c r="AV200" s="7749"/>
      <c r="AW200" s="7750"/>
      <c r="AX200" s="7748"/>
      <c r="AY200" s="7749"/>
      <c r="AZ200" s="7749"/>
      <c r="BA200" s="7749"/>
      <c r="BB200" s="7749"/>
      <c r="BC200" s="7749"/>
      <c r="BD200" s="7750"/>
      <c r="BE200" s="7748"/>
      <c r="BF200" s="7749"/>
      <c r="BG200" s="7749"/>
      <c r="BH200" s="7749"/>
      <c r="BI200" s="7749"/>
      <c r="BJ200" s="7749"/>
      <c r="BK200" s="7750"/>
      <c r="BL200" s="7748"/>
      <c r="BM200" s="7749"/>
      <c r="BN200" s="7749"/>
      <c r="BO200" s="7749"/>
      <c r="BP200" s="7749"/>
      <c r="BQ200" s="7749"/>
      <c r="BR200" s="7750"/>
      <c r="BS200" s="7748"/>
      <c r="BT200" s="7749"/>
      <c r="BU200" s="7749"/>
      <c r="BV200" s="7749"/>
      <c r="BW200" s="7749"/>
      <c r="BX200" s="7749"/>
      <c r="BY200" s="7750"/>
      <c r="BZ200" s="7748"/>
      <c r="CA200" s="7749"/>
      <c r="CB200" s="7749"/>
      <c r="CC200" s="7749"/>
      <c r="CD200" s="7749"/>
      <c r="CE200" s="7749"/>
      <c r="CF200" s="7750"/>
      <c r="CG200" s="7748"/>
      <c r="CH200" s="7749"/>
      <c r="CI200" s="7749"/>
      <c r="CJ200" s="7749"/>
      <c r="CK200" s="7749"/>
      <c r="CL200" s="7749"/>
      <c r="CM200" s="7750"/>
      <c r="CN200" s="7748"/>
      <c r="CO200" s="7749"/>
      <c r="CP200" s="7749"/>
      <c r="CQ200" s="7749"/>
      <c r="CR200" s="7749"/>
      <c r="CS200" s="7749"/>
      <c r="CT200" s="7750"/>
      <c r="CU200" s="7753"/>
      <c r="CV200" s="1182" t="s">
        <v>657</v>
      </c>
      <c r="CW200" s="1562"/>
      <c r="CX200" s="1544"/>
      <c r="CY200" s="1544" t="str">
        <f t="shared" si="3"/>
        <v>Наименование признака дифференциации</v>
      </c>
      <c r="CZ200" s="1544"/>
      <c r="DA200" s="1544"/>
    </row>
    <row r="201" spans="1:105" s="1827" customFormat="1" ht="23.25" customHeight="1">
      <c r="A201" s="1284"/>
      <c r="B201" s="1284"/>
      <c r="C201" s="1284"/>
      <c r="D201" s="1284"/>
      <c r="E201" s="7690" t="s">
        <v>129</v>
      </c>
      <c r="F201" s="7690"/>
      <c r="G201" s="7690"/>
      <c r="H201" s="7690"/>
      <c r="I201" s="7710"/>
      <c r="J201" s="7687" t="str">
        <f>I200&amp;".1"</f>
        <v>11.1.1.1.1</v>
      </c>
      <c r="K201" s="1284"/>
      <c r="L201" s="1290" t="s">
        <v>582</v>
      </c>
      <c r="M201" s="1696"/>
      <c r="N201" s="1696"/>
      <c r="O201" s="1696"/>
      <c r="P201" s="7688"/>
      <c r="Q201" s="7688">
        <v>1</v>
      </c>
      <c r="R201" s="278"/>
      <c r="S201" s="1813" t="str">
        <f>$J201</f>
        <v>11.1.1.1.1</v>
      </c>
      <c r="T201" s="201" t="s">
        <v>583</v>
      </c>
      <c r="U201" s="214"/>
      <c r="V201" s="7678"/>
      <c r="W201" s="7679"/>
      <c r="X201" s="7679"/>
      <c r="Y201" s="7679"/>
      <c r="Z201" s="7679"/>
      <c r="AA201" s="7679"/>
      <c r="AB201" s="7680"/>
      <c r="AC201" s="7678" t="s">
        <v>671</v>
      </c>
      <c r="AD201" s="7679"/>
      <c r="AE201" s="7679"/>
      <c r="AF201" s="7679"/>
      <c r="AG201" s="7679"/>
      <c r="AH201" s="7679"/>
      <c r="AI201" s="7679"/>
      <c r="AJ201" s="7678"/>
      <c r="AK201" s="7679"/>
      <c r="AL201" s="7679"/>
      <c r="AM201" s="7679"/>
      <c r="AN201" s="7679"/>
      <c r="AO201" s="7679"/>
      <c r="AP201" s="7680"/>
      <c r="AQ201" s="7678"/>
      <c r="AR201" s="7679"/>
      <c r="AS201" s="7679"/>
      <c r="AT201" s="7679"/>
      <c r="AU201" s="7679"/>
      <c r="AV201" s="7679"/>
      <c r="AW201" s="7680"/>
      <c r="AX201" s="7678"/>
      <c r="AY201" s="7679"/>
      <c r="AZ201" s="7679"/>
      <c r="BA201" s="7679"/>
      <c r="BB201" s="7679"/>
      <c r="BC201" s="7679"/>
      <c r="BD201" s="7680"/>
      <c r="BE201" s="7678"/>
      <c r="BF201" s="7679"/>
      <c r="BG201" s="7679"/>
      <c r="BH201" s="7679"/>
      <c r="BI201" s="7679"/>
      <c r="BJ201" s="7679"/>
      <c r="BK201" s="7680"/>
      <c r="BL201" s="7678"/>
      <c r="BM201" s="7679"/>
      <c r="BN201" s="7679"/>
      <c r="BO201" s="7679"/>
      <c r="BP201" s="7679"/>
      <c r="BQ201" s="7679"/>
      <c r="BR201" s="7680"/>
      <c r="BS201" s="7678"/>
      <c r="BT201" s="7679"/>
      <c r="BU201" s="7679"/>
      <c r="BV201" s="7679"/>
      <c r="BW201" s="7679"/>
      <c r="BX201" s="7679"/>
      <c r="BY201" s="7680"/>
      <c r="BZ201" s="7678"/>
      <c r="CA201" s="7679"/>
      <c r="CB201" s="7679"/>
      <c r="CC201" s="7679"/>
      <c r="CD201" s="7679"/>
      <c r="CE201" s="7679"/>
      <c r="CF201" s="7680"/>
      <c r="CG201" s="7678"/>
      <c r="CH201" s="7679"/>
      <c r="CI201" s="7679"/>
      <c r="CJ201" s="7679"/>
      <c r="CK201" s="7679"/>
      <c r="CL201" s="7679"/>
      <c r="CM201" s="7680"/>
      <c r="CN201" s="7678"/>
      <c r="CO201" s="7679"/>
      <c r="CP201" s="7679"/>
      <c r="CQ201" s="7679"/>
      <c r="CR201" s="7679"/>
      <c r="CS201" s="7679"/>
      <c r="CT201" s="7680"/>
      <c r="CU201" s="7680"/>
      <c r="CV201" s="1231" t="s">
        <v>658</v>
      </c>
      <c r="CW201" s="1562"/>
      <c r="CX201" s="1544"/>
      <c r="CY201" s="1544" t="str">
        <f t="shared" si="3"/>
        <v>Группа потребителей</v>
      </c>
      <c r="CZ201" s="1544"/>
      <c r="DA201" s="1544"/>
    </row>
    <row r="202" spans="1:105" s="1827" customFormat="1" ht="23.25" customHeight="1">
      <c r="A202" s="1284"/>
      <c r="B202" s="1284"/>
      <c r="C202" s="1284"/>
      <c r="D202" s="1284"/>
      <c r="E202" s="7690" t="s">
        <v>129</v>
      </c>
      <c r="F202" s="7690"/>
      <c r="G202" s="7690"/>
      <c r="H202" s="7690"/>
      <c r="I202" s="7710"/>
      <c r="J202" s="7710"/>
      <c r="K202" s="7687" t="str">
        <f>J201&amp;".1"</f>
        <v>11.1.1.1.1.1</v>
      </c>
      <c r="L202" s="1290"/>
      <c r="M202" s="1696"/>
      <c r="N202" s="1696"/>
      <c r="O202" s="1696"/>
      <c r="P202" s="7688"/>
      <c r="Q202" s="7688"/>
      <c r="R202" s="278">
        <v>1</v>
      </c>
      <c r="S202" s="1813" t="str">
        <f>$K202</f>
        <v>11.1.1.1.1.1</v>
      </c>
      <c r="T202" s="1357" t="s">
        <v>672</v>
      </c>
      <c r="U202" s="214"/>
      <c r="V202" s="666"/>
      <c r="W202" s="666"/>
      <c r="X202" s="1181"/>
      <c r="Y202" s="7692"/>
      <c r="Z202" s="7540" t="s">
        <v>60</v>
      </c>
      <c r="AA202" s="7692"/>
      <c r="AB202" s="7540" t="s">
        <v>60</v>
      </c>
      <c r="AC202" s="666">
        <v>51.12</v>
      </c>
      <c r="AD202" s="666"/>
      <c r="AE202" s="1181"/>
      <c r="AF202" s="7692">
        <v>45292</v>
      </c>
      <c r="AG202" s="7540" t="s">
        <v>60</v>
      </c>
      <c r="AH202" s="7711">
        <v>45473</v>
      </c>
      <c r="AI202" s="7540" t="s">
        <v>60</v>
      </c>
      <c r="AJ202" s="666">
        <v>55.72</v>
      </c>
      <c r="AK202" s="666"/>
      <c r="AL202" s="1181"/>
      <c r="AM202" s="7692">
        <v>45474</v>
      </c>
      <c r="AN202" s="7540" t="s">
        <v>60</v>
      </c>
      <c r="AO202" s="7692">
        <v>45657</v>
      </c>
      <c r="AP202" s="7540" t="s">
        <v>60</v>
      </c>
      <c r="AQ202" s="666">
        <v>55.72</v>
      </c>
      <c r="AR202" s="666"/>
      <c r="AS202" s="1181"/>
      <c r="AT202" s="7692">
        <v>45658</v>
      </c>
      <c r="AU202" s="7540" t="s">
        <v>60</v>
      </c>
      <c r="AV202" s="7692">
        <v>45838</v>
      </c>
      <c r="AW202" s="7540" t="s">
        <v>60</v>
      </c>
      <c r="AX202" s="666">
        <v>58.9</v>
      </c>
      <c r="AY202" s="666"/>
      <c r="AZ202" s="1181"/>
      <c r="BA202" s="7692">
        <v>45839</v>
      </c>
      <c r="BB202" s="7540" t="s">
        <v>60</v>
      </c>
      <c r="BC202" s="7692">
        <v>46022</v>
      </c>
      <c r="BD202" s="7540" t="s">
        <v>60</v>
      </c>
      <c r="BE202" s="666">
        <v>58.9</v>
      </c>
      <c r="BF202" s="666"/>
      <c r="BG202" s="1181"/>
      <c r="BH202" s="7692">
        <v>46023</v>
      </c>
      <c r="BI202" s="7540" t="s">
        <v>60</v>
      </c>
      <c r="BJ202" s="7692">
        <v>46203</v>
      </c>
      <c r="BK202" s="7540" t="s">
        <v>60</v>
      </c>
      <c r="BL202" s="666">
        <v>61.26</v>
      </c>
      <c r="BM202" s="666"/>
      <c r="BN202" s="1181"/>
      <c r="BO202" s="7692">
        <v>46204</v>
      </c>
      <c r="BP202" s="7540" t="s">
        <v>60</v>
      </c>
      <c r="BQ202" s="7692">
        <v>46387</v>
      </c>
      <c r="BR202" s="7540" t="s">
        <v>60</v>
      </c>
      <c r="BS202" s="666">
        <v>61.26</v>
      </c>
      <c r="BT202" s="666"/>
      <c r="BU202" s="1181"/>
      <c r="BV202" s="7692">
        <v>46388</v>
      </c>
      <c r="BW202" s="7540" t="s">
        <v>60</v>
      </c>
      <c r="BX202" s="7692">
        <v>46568</v>
      </c>
      <c r="BY202" s="7540" t="s">
        <v>60</v>
      </c>
      <c r="BZ202" s="666">
        <v>63.71</v>
      </c>
      <c r="CA202" s="666"/>
      <c r="CB202" s="1181"/>
      <c r="CC202" s="7692">
        <v>46569</v>
      </c>
      <c r="CD202" s="7540" t="s">
        <v>60</v>
      </c>
      <c r="CE202" s="7692">
        <v>46752</v>
      </c>
      <c r="CF202" s="7540" t="s">
        <v>60</v>
      </c>
      <c r="CG202" s="666">
        <v>63.71</v>
      </c>
      <c r="CH202" s="666"/>
      <c r="CI202" s="1181"/>
      <c r="CJ202" s="7692">
        <v>46753</v>
      </c>
      <c r="CK202" s="7540" t="s">
        <v>60</v>
      </c>
      <c r="CL202" s="7692">
        <v>46934</v>
      </c>
      <c r="CM202" s="7540" t="s">
        <v>60</v>
      </c>
      <c r="CN202" s="666">
        <v>66.260000000000005</v>
      </c>
      <c r="CO202" s="666"/>
      <c r="CP202" s="1181"/>
      <c r="CQ202" s="7692">
        <v>46935</v>
      </c>
      <c r="CR202" s="7540" t="s">
        <v>60</v>
      </c>
      <c r="CS202" s="7692">
        <v>47118</v>
      </c>
      <c r="CT202" s="7540" t="s">
        <v>60</v>
      </c>
      <c r="CU202" s="1358"/>
      <c r="CV202"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02" s="1562" t="e">
        <f ca="1">STRCHECKDATE(V203:CU203)</f>
        <v>#NAME?</v>
      </c>
      <c r="CX202" s="1544"/>
      <c r="CY202" s="1544" t="str">
        <f t="shared" si="3"/>
        <v>Тариф для населения, руб. за 1 куб. метр с НДС</v>
      </c>
      <c r="CZ202" s="1544"/>
      <c r="DA202" s="1544"/>
    </row>
    <row r="203" spans="1:105" s="1827" customFormat="1" ht="14.25" customHeight="1">
      <c r="A203" s="1284"/>
      <c r="B203" s="1284"/>
      <c r="C203" s="1284"/>
      <c r="D203" s="1284"/>
      <c r="E203" s="7690" t="s">
        <v>129</v>
      </c>
      <c r="F203" s="7690"/>
      <c r="G203" s="7690"/>
      <c r="H203" s="7690"/>
      <c r="I203" s="7710"/>
      <c r="J203" s="7710"/>
      <c r="K203" s="7687"/>
      <c r="L203" s="1290"/>
      <c r="M203" s="1696"/>
      <c r="N203" s="1696"/>
      <c r="O203" s="1696"/>
      <c r="P203" s="7688"/>
      <c r="Q203" s="7688"/>
      <c r="R203" s="278"/>
      <c r="S203" s="1822"/>
      <c r="T203" s="214"/>
      <c r="U203" s="214"/>
      <c r="V203" s="246"/>
      <c r="W203" s="246"/>
      <c r="X203" s="250" t="str">
        <f>Y202&amp;"-"&amp;AA202</f>
        <v>-</v>
      </c>
      <c r="Y203" s="7693"/>
      <c r="Z203" s="7540"/>
      <c r="AA203" s="7693"/>
      <c r="AB203" s="7540"/>
      <c r="AC203" s="246"/>
      <c r="AD203" s="246"/>
      <c r="AE203" s="250" t="str">
        <f>AF202&amp;"-"&amp;AH202</f>
        <v>45292-45473</v>
      </c>
      <c r="AF203" s="7693"/>
      <c r="AG203" s="7540"/>
      <c r="AH203" s="7712"/>
      <c r="AI203" s="7540"/>
      <c r="AJ203" s="246"/>
      <c r="AK203" s="246"/>
      <c r="AL203" s="250" t="str">
        <f>AM202&amp;"-"&amp;AO202</f>
        <v>45474-45657</v>
      </c>
      <c r="AM203" s="7693"/>
      <c r="AN203" s="7540"/>
      <c r="AO203" s="7693"/>
      <c r="AP203" s="7540"/>
      <c r="AQ203" s="246"/>
      <c r="AR203" s="246"/>
      <c r="AS203" s="250" t="str">
        <f>AT202&amp;"-"&amp;AV202</f>
        <v>45658-45838</v>
      </c>
      <c r="AT203" s="7693"/>
      <c r="AU203" s="7540"/>
      <c r="AV203" s="7693"/>
      <c r="AW203" s="7540"/>
      <c r="AX203" s="246"/>
      <c r="AY203" s="246"/>
      <c r="AZ203" s="250" t="str">
        <f>BA202&amp;"-"&amp;BC202</f>
        <v>45839-46022</v>
      </c>
      <c r="BA203" s="7693"/>
      <c r="BB203" s="7540"/>
      <c r="BC203" s="7693"/>
      <c r="BD203" s="7540"/>
      <c r="BE203" s="246"/>
      <c r="BF203" s="246"/>
      <c r="BG203" s="250" t="str">
        <f>BH202&amp;"-"&amp;BJ202</f>
        <v>46023-46203</v>
      </c>
      <c r="BH203" s="7693"/>
      <c r="BI203" s="7540"/>
      <c r="BJ203" s="7693"/>
      <c r="BK203" s="7540"/>
      <c r="BL203" s="246"/>
      <c r="BM203" s="246"/>
      <c r="BN203" s="250" t="str">
        <f>BO202&amp;"-"&amp;BQ202</f>
        <v>46204-46387</v>
      </c>
      <c r="BO203" s="7693"/>
      <c r="BP203" s="7540"/>
      <c r="BQ203" s="7693"/>
      <c r="BR203" s="7540"/>
      <c r="BS203" s="246"/>
      <c r="BT203" s="246"/>
      <c r="BU203" s="250" t="str">
        <f>BV202&amp;"-"&amp;BX202</f>
        <v>46388-46568</v>
      </c>
      <c r="BV203" s="7693"/>
      <c r="BW203" s="7540"/>
      <c r="BX203" s="7693"/>
      <c r="BY203" s="7540"/>
      <c r="BZ203" s="246"/>
      <c r="CA203" s="246"/>
      <c r="CB203" s="250" t="str">
        <f>CC202&amp;"-"&amp;CE202</f>
        <v>46569-46752</v>
      </c>
      <c r="CC203" s="7693"/>
      <c r="CD203" s="7540"/>
      <c r="CE203" s="7693"/>
      <c r="CF203" s="7540"/>
      <c r="CG203" s="246"/>
      <c r="CH203" s="246"/>
      <c r="CI203" s="250" t="str">
        <f>CJ202&amp;"-"&amp;CL202</f>
        <v>46753-46934</v>
      </c>
      <c r="CJ203" s="7693"/>
      <c r="CK203" s="7540"/>
      <c r="CL203" s="7693"/>
      <c r="CM203" s="7540"/>
      <c r="CN203" s="246"/>
      <c r="CO203" s="246"/>
      <c r="CP203" s="250" t="str">
        <f>CQ202&amp;"-"&amp;CS202</f>
        <v>46935-47118</v>
      </c>
      <c r="CQ203" s="7693"/>
      <c r="CR203" s="7540"/>
      <c r="CS203" s="7693"/>
      <c r="CT203" s="7540"/>
      <c r="CU203" s="1359"/>
      <c r="CV203" s="7747"/>
      <c r="CW203" s="1562"/>
      <c r="CX203" s="1544"/>
      <c r="CY203" s="1544" t="str">
        <f t="shared" si="3"/>
        <v/>
      </c>
      <c r="CZ203" s="1544"/>
      <c r="DA203" s="1544"/>
    </row>
    <row r="204" spans="1:105" s="1827" customFormat="1" ht="21" customHeight="1">
      <c r="A204" s="1284"/>
      <c r="B204" s="1284"/>
      <c r="C204" s="1284"/>
      <c r="D204" s="1284"/>
      <c r="E204" s="7690" t="s">
        <v>129</v>
      </c>
      <c r="F204" s="7690"/>
      <c r="G204" s="7690"/>
      <c r="H204" s="7690"/>
      <c r="I204" s="7710"/>
      <c r="J204" s="7687"/>
      <c r="K204" s="1284"/>
      <c r="L204" s="1290"/>
      <c r="M204" s="1696"/>
      <c r="N204" s="1696"/>
      <c r="O204" s="1696"/>
      <c r="P204" s="7688"/>
      <c r="Q204" s="7688"/>
      <c r="R204" s="277"/>
      <c r="S204" s="5177"/>
      <c r="T204" s="5178" t="s">
        <v>659</v>
      </c>
      <c r="U204" s="5179"/>
      <c r="V204" s="5180"/>
      <c r="W204" s="5181"/>
      <c r="X204" s="5182"/>
      <c r="Y204" s="5183"/>
      <c r="Z204" s="5184"/>
      <c r="AA204" s="5185"/>
      <c r="AB204" s="5186"/>
      <c r="AC204" s="5187"/>
      <c r="AD204" s="5188"/>
      <c r="AE204" s="5189"/>
      <c r="AF204" s="5190"/>
      <c r="AG204" s="5191"/>
      <c r="AH204" s="5192"/>
      <c r="AI204" s="5193"/>
      <c r="AJ204" s="5194"/>
      <c r="AK204" s="5195"/>
      <c r="AL204" s="5196"/>
      <c r="AM204" s="5197"/>
      <c r="AN204" s="5198"/>
      <c r="AO204" s="5199"/>
      <c r="AP204" s="5200"/>
      <c r="AQ204" s="5201"/>
      <c r="AR204" s="5202"/>
      <c r="AS204" s="5203"/>
      <c r="AT204" s="5204"/>
      <c r="AU204" s="5205"/>
      <c r="AV204" s="5206"/>
      <c r="AW204" s="5207"/>
      <c r="AX204" s="5208"/>
      <c r="AY204" s="5209"/>
      <c r="AZ204" s="5210"/>
      <c r="BA204" s="5211"/>
      <c r="BB204" s="5212"/>
      <c r="BC204" s="5213"/>
      <c r="BD204" s="5214"/>
      <c r="BE204" s="5215"/>
      <c r="BF204" s="5216"/>
      <c r="BG204" s="5217"/>
      <c r="BH204" s="5218"/>
      <c r="BI204" s="5219"/>
      <c r="BJ204" s="5220"/>
      <c r="BK204" s="5221"/>
      <c r="BL204" s="5222"/>
      <c r="BM204" s="5223"/>
      <c r="BN204" s="5224"/>
      <c r="BO204" s="5225"/>
      <c r="BP204" s="5226"/>
      <c r="BQ204" s="5227"/>
      <c r="BR204" s="5228"/>
      <c r="BS204" s="5229"/>
      <c r="BT204" s="5230"/>
      <c r="BU204" s="5231"/>
      <c r="BV204" s="5232"/>
      <c r="BW204" s="5233"/>
      <c r="BX204" s="5234"/>
      <c r="BY204" s="5235"/>
      <c r="BZ204" s="5236"/>
      <c r="CA204" s="5237"/>
      <c r="CB204" s="5238"/>
      <c r="CC204" s="5239"/>
      <c r="CD204" s="5240"/>
      <c r="CE204" s="5241"/>
      <c r="CF204" s="5242"/>
      <c r="CG204" s="5243"/>
      <c r="CH204" s="5244"/>
      <c r="CI204" s="5245"/>
      <c r="CJ204" s="5246"/>
      <c r="CK204" s="5247"/>
      <c r="CL204" s="5248"/>
      <c r="CM204" s="5249"/>
      <c r="CN204" s="5250"/>
      <c r="CO204" s="5251"/>
      <c r="CP204" s="5252"/>
      <c r="CQ204" s="5253"/>
      <c r="CR204" s="5254"/>
      <c r="CS204" s="5255"/>
      <c r="CT204" s="5256"/>
      <c r="CU204" s="5257"/>
      <c r="CV204" s="1182" t="s">
        <v>660</v>
      </c>
      <c r="CW204" s="1562"/>
      <c r="CX204" s="1544"/>
      <c r="CY204" s="1544" t="str">
        <f t="shared" si="3"/>
        <v>Добавить значение признака дифференциации</v>
      </c>
      <c r="CZ204" s="1544"/>
      <c r="DA204" s="1544"/>
    </row>
    <row r="205" spans="1:105" s="1827" customFormat="1" ht="23.25" customHeight="1">
      <c r="A205" s="1284"/>
      <c r="B205" s="1284"/>
      <c r="C205" s="1284"/>
      <c r="D205" s="1284"/>
      <c r="E205" s="7690"/>
      <c r="F205" s="7690"/>
      <c r="G205" s="7690"/>
      <c r="H205" s="7690"/>
      <c r="I205" s="7710"/>
      <c r="J205" s="7687" t="str">
        <f>I200&amp;".2"</f>
        <v>11.1.1.1.2</v>
      </c>
      <c r="K205" s="1284"/>
      <c r="L205" s="1290" t="s">
        <v>582</v>
      </c>
      <c r="M205" s="1696"/>
      <c r="N205" s="1696"/>
      <c r="O205" s="1696"/>
      <c r="P205" s="7688"/>
      <c r="Q205" s="7754" t="s">
        <v>101</v>
      </c>
      <c r="R205" s="278"/>
      <c r="S205" s="1813" t="str">
        <f>$J205</f>
        <v>11.1.1.1.2</v>
      </c>
      <c r="T205" s="201" t="s">
        <v>583</v>
      </c>
      <c r="U205" s="214"/>
      <c r="V205" s="7678"/>
      <c r="W205" s="7679"/>
      <c r="X205" s="7679"/>
      <c r="Y205" s="7679"/>
      <c r="Z205" s="7679"/>
      <c r="AA205" s="7679"/>
      <c r="AB205" s="7680"/>
      <c r="AC205" s="7678" t="s">
        <v>669</v>
      </c>
      <c r="AD205" s="7679"/>
      <c r="AE205" s="7679"/>
      <c r="AF205" s="7679"/>
      <c r="AG205" s="7679"/>
      <c r="AH205" s="7679"/>
      <c r="AI205" s="7679"/>
      <c r="AJ205" s="7678"/>
      <c r="AK205" s="7679"/>
      <c r="AL205" s="7679"/>
      <c r="AM205" s="7679"/>
      <c r="AN205" s="7679"/>
      <c r="AO205" s="7679"/>
      <c r="AP205" s="7680"/>
      <c r="AQ205" s="7678"/>
      <c r="AR205" s="7679"/>
      <c r="AS205" s="7679"/>
      <c r="AT205" s="7679"/>
      <c r="AU205" s="7679"/>
      <c r="AV205" s="7679"/>
      <c r="AW205" s="7680"/>
      <c r="AX205" s="7678"/>
      <c r="AY205" s="7679"/>
      <c r="AZ205" s="7679"/>
      <c r="BA205" s="7679"/>
      <c r="BB205" s="7679"/>
      <c r="BC205" s="7679"/>
      <c r="BD205" s="7680"/>
      <c r="BE205" s="7678"/>
      <c r="BF205" s="7679"/>
      <c r="BG205" s="7679"/>
      <c r="BH205" s="7679"/>
      <c r="BI205" s="7679"/>
      <c r="BJ205" s="7679"/>
      <c r="BK205" s="7680"/>
      <c r="BL205" s="7678"/>
      <c r="BM205" s="7679"/>
      <c r="BN205" s="7679"/>
      <c r="BO205" s="7679"/>
      <c r="BP205" s="7679"/>
      <c r="BQ205" s="7679"/>
      <c r="BR205" s="7680"/>
      <c r="BS205" s="7678"/>
      <c r="BT205" s="7679"/>
      <c r="BU205" s="7679"/>
      <c r="BV205" s="7679"/>
      <c r="BW205" s="7679"/>
      <c r="BX205" s="7679"/>
      <c r="BY205" s="7680"/>
      <c r="BZ205" s="7678"/>
      <c r="CA205" s="7679"/>
      <c r="CB205" s="7679"/>
      <c r="CC205" s="7679"/>
      <c r="CD205" s="7679"/>
      <c r="CE205" s="7679"/>
      <c r="CF205" s="7680"/>
      <c r="CG205" s="7678"/>
      <c r="CH205" s="7679"/>
      <c r="CI205" s="7679"/>
      <c r="CJ205" s="7679"/>
      <c r="CK205" s="7679"/>
      <c r="CL205" s="7679"/>
      <c r="CM205" s="7680"/>
      <c r="CN205" s="7678"/>
      <c r="CO205" s="7679"/>
      <c r="CP205" s="7679"/>
      <c r="CQ205" s="7679"/>
      <c r="CR205" s="7679"/>
      <c r="CS205" s="7679"/>
      <c r="CT205" s="7680"/>
      <c r="CU205" s="7680"/>
      <c r="CV205" s="1231" t="s">
        <v>658</v>
      </c>
      <c r="CW205" s="1562"/>
      <c r="CX205" s="1544"/>
      <c r="CY205" s="1544" t="str">
        <f t="shared" si="3"/>
        <v>Группа потребителей</v>
      </c>
      <c r="CZ205" s="1544"/>
      <c r="DA205" s="1544"/>
    </row>
    <row r="206" spans="1:105" s="1827" customFormat="1" ht="23.25" customHeight="1">
      <c r="A206" s="1284"/>
      <c r="B206" s="1284"/>
      <c r="C206" s="1284"/>
      <c r="D206" s="1284"/>
      <c r="E206" s="7690"/>
      <c r="F206" s="7690"/>
      <c r="G206" s="7690"/>
      <c r="H206" s="7690"/>
      <c r="I206" s="7710"/>
      <c r="J206" s="7710" t="str">
        <f>I200&amp;".1"</f>
        <v>11.1.1.1.1</v>
      </c>
      <c r="K206" s="7687" t="str">
        <f>J205&amp;".1"</f>
        <v>11.1.1.1.2.1</v>
      </c>
      <c r="L206" s="1290"/>
      <c r="M206" s="1696"/>
      <c r="N206" s="1696"/>
      <c r="O206" s="1696"/>
      <c r="P206" s="7688"/>
      <c r="Q206" s="7688"/>
      <c r="R206" s="278">
        <v>1</v>
      </c>
      <c r="S206" s="1813" t="str">
        <f>$K206</f>
        <v>11.1.1.1.2.1</v>
      </c>
      <c r="T206" s="1357" t="s">
        <v>670</v>
      </c>
      <c r="U206" s="214"/>
      <c r="V206" s="666"/>
      <c r="W206" s="666"/>
      <c r="X206" s="1181"/>
      <c r="Y206" s="7692"/>
      <c r="Z206" s="7540" t="s">
        <v>60</v>
      </c>
      <c r="AA206" s="7692"/>
      <c r="AB206" s="7540" t="s">
        <v>60</v>
      </c>
      <c r="AC206" s="666">
        <v>61.08</v>
      </c>
      <c r="AD206" s="666"/>
      <c r="AE206" s="1181"/>
      <c r="AF206" s="7692">
        <v>45292</v>
      </c>
      <c r="AG206" s="7540" t="s">
        <v>60</v>
      </c>
      <c r="AH206" s="7711">
        <v>45473</v>
      </c>
      <c r="AI206" s="7540" t="s">
        <v>60</v>
      </c>
      <c r="AJ206" s="666">
        <v>84.09</v>
      </c>
      <c r="AK206" s="666"/>
      <c r="AL206" s="1181"/>
      <c r="AM206" s="7692">
        <v>45474</v>
      </c>
      <c r="AN206" s="7540" t="s">
        <v>60</v>
      </c>
      <c r="AO206" s="7692">
        <v>45657</v>
      </c>
      <c r="AP206" s="7540" t="s">
        <v>60</v>
      </c>
      <c r="AQ206" s="666">
        <v>77.19</v>
      </c>
      <c r="AR206" s="666"/>
      <c r="AS206" s="1181"/>
      <c r="AT206" s="7692">
        <v>45658</v>
      </c>
      <c r="AU206" s="7540" t="s">
        <v>60</v>
      </c>
      <c r="AV206" s="7692">
        <v>45838</v>
      </c>
      <c r="AW206" s="7540" t="s">
        <v>60</v>
      </c>
      <c r="AX206" s="666">
        <v>77.19</v>
      </c>
      <c r="AY206" s="666"/>
      <c r="AZ206" s="1181"/>
      <c r="BA206" s="7692">
        <v>45839</v>
      </c>
      <c r="BB206" s="7540" t="s">
        <v>60</v>
      </c>
      <c r="BC206" s="7692">
        <v>46022</v>
      </c>
      <c r="BD206" s="7540" t="s">
        <v>60</v>
      </c>
      <c r="BE206" s="666">
        <v>77.19</v>
      </c>
      <c r="BF206" s="666"/>
      <c r="BG206" s="1181"/>
      <c r="BH206" s="7692">
        <v>46023</v>
      </c>
      <c r="BI206" s="7540" t="s">
        <v>60</v>
      </c>
      <c r="BJ206" s="7692">
        <v>46203</v>
      </c>
      <c r="BK206" s="7540" t="s">
        <v>60</v>
      </c>
      <c r="BL206" s="666">
        <v>77.97</v>
      </c>
      <c r="BM206" s="666"/>
      <c r="BN206" s="1181"/>
      <c r="BO206" s="7692">
        <v>46204</v>
      </c>
      <c r="BP206" s="7540" t="s">
        <v>60</v>
      </c>
      <c r="BQ206" s="7692">
        <v>46387</v>
      </c>
      <c r="BR206" s="7540" t="s">
        <v>60</v>
      </c>
      <c r="BS206" s="666">
        <v>77.97</v>
      </c>
      <c r="BT206" s="666"/>
      <c r="BU206" s="1181"/>
      <c r="BV206" s="7692">
        <v>46388</v>
      </c>
      <c r="BW206" s="7540" t="s">
        <v>60</v>
      </c>
      <c r="BX206" s="7692">
        <v>46568</v>
      </c>
      <c r="BY206" s="7540" t="s">
        <v>60</v>
      </c>
      <c r="BZ206" s="666">
        <v>82.24</v>
      </c>
      <c r="CA206" s="666"/>
      <c r="CB206" s="1181"/>
      <c r="CC206" s="7692">
        <v>46569</v>
      </c>
      <c r="CD206" s="7540" t="s">
        <v>60</v>
      </c>
      <c r="CE206" s="7692">
        <v>46752</v>
      </c>
      <c r="CF206" s="7540" t="s">
        <v>60</v>
      </c>
      <c r="CG206" s="666">
        <v>82.24</v>
      </c>
      <c r="CH206" s="666"/>
      <c r="CI206" s="1181"/>
      <c r="CJ206" s="7692">
        <v>46753</v>
      </c>
      <c r="CK206" s="7540" t="s">
        <v>60</v>
      </c>
      <c r="CL206" s="7692">
        <v>46934</v>
      </c>
      <c r="CM206" s="7540" t="s">
        <v>60</v>
      </c>
      <c r="CN206" s="666">
        <v>84.74</v>
      </c>
      <c r="CO206" s="666"/>
      <c r="CP206" s="1181"/>
      <c r="CQ206" s="7692">
        <v>46935</v>
      </c>
      <c r="CR206" s="7540" t="s">
        <v>60</v>
      </c>
      <c r="CS206" s="7692">
        <v>47118</v>
      </c>
      <c r="CT206" s="7540" t="s">
        <v>60</v>
      </c>
      <c r="CU206" s="1358"/>
      <c r="CV20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06" s="1562" t="e">
        <f ca="1">STRCHECKDATE(V207:CU207)</f>
        <v>#NAME?</v>
      </c>
      <c r="CX206" s="1544"/>
      <c r="CY206" s="1544" t="str">
        <f t="shared" si="3"/>
        <v>Тариф, руб. за 1 куб. метр без НДС</v>
      </c>
      <c r="CZ206" s="1544"/>
      <c r="DA206" s="1544"/>
    </row>
    <row r="207" spans="1:105" s="1827" customFormat="1" ht="14.25" customHeight="1">
      <c r="A207" s="1284"/>
      <c r="B207" s="1284"/>
      <c r="C207" s="1284"/>
      <c r="D207" s="1284"/>
      <c r="E207" s="7690"/>
      <c r="F207" s="7690"/>
      <c r="G207" s="7690"/>
      <c r="H207" s="7690"/>
      <c r="I207" s="7710"/>
      <c r="J207" s="7710" t="str">
        <f>I200&amp;".1"</f>
        <v>11.1.1.1.1</v>
      </c>
      <c r="K207" s="7687"/>
      <c r="L207" s="1290"/>
      <c r="M207" s="1696"/>
      <c r="N207" s="1696"/>
      <c r="O207" s="1696"/>
      <c r="P207" s="7688"/>
      <c r="Q207" s="7688"/>
      <c r="R207" s="278"/>
      <c r="S207" s="1822"/>
      <c r="T207" s="214"/>
      <c r="U207" s="214"/>
      <c r="V207" s="246"/>
      <c r="W207" s="246"/>
      <c r="X207" s="250" t="str">
        <f>Y206&amp;"-"&amp;AA206</f>
        <v>-</v>
      </c>
      <c r="Y207" s="7693"/>
      <c r="Z207" s="7540"/>
      <c r="AA207" s="7693"/>
      <c r="AB207" s="7540"/>
      <c r="AC207" s="246"/>
      <c r="AD207" s="246"/>
      <c r="AE207" s="250" t="str">
        <f>AF206&amp;"-"&amp;AH206</f>
        <v>45292-45473</v>
      </c>
      <c r="AF207" s="7693"/>
      <c r="AG207" s="7540"/>
      <c r="AH207" s="7712"/>
      <c r="AI207" s="7540"/>
      <c r="AJ207" s="246"/>
      <c r="AK207" s="246"/>
      <c r="AL207" s="250" t="str">
        <f>AM206&amp;"-"&amp;AO206</f>
        <v>45474-45657</v>
      </c>
      <c r="AM207" s="7693"/>
      <c r="AN207" s="7540"/>
      <c r="AO207" s="7693"/>
      <c r="AP207" s="7540"/>
      <c r="AQ207" s="246"/>
      <c r="AR207" s="246"/>
      <c r="AS207" s="250" t="str">
        <f>AT206&amp;"-"&amp;AV206</f>
        <v>45658-45838</v>
      </c>
      <c r="AT207" s="7693"/>
      <c r="AU207" s="7540"/>
      <c r="AV207" s="7693"/>
      <c r="AW207" s="7540"/>
      <c r="AX207" s="246"/>
      <c r="AY207" s="246"/>
      <c r="AZ207" s="250" t="str">
        <f>BA206&amp;"-"&amp;BC206</f>
        <v>45839-46022</v>
      </c>
      <c r="BA207" s="7693"/>
      <c r="BB207" s="7540"/>
      <c r="BC207" s="7693"/>
      <c r="BD207" s="7540"/>
      <c r="BE207" s="246"/>
      <c r="BF207" s="246"/>
      <c r="BG207" s="250" t="str">
        <f>BH206&amp;"-"&amp;BJ206</f>
        <v>46023-46203</v>
      </c>
      <c r="BH207" s="7693"/>
      <c r="BI207" s="7540"/>
      <c r="BJ207" s="7693"/>
      <c r="BK207" s="7540"/>
      <c r="BL207" s="246"/>
      <c r="BM207" s="246"/>
      <c r="BN207" s="250" t="str">
        <f>BO206&amp;"-"&amp;BQ206</f>
        <v>46204-46387</v>
      </c>
      <c r="BO207" s="7693"/>
      <c r="BP207" s="7540"/>
      <c r="BQ207" s="7693"/>
      <c r="BR207" s="7540"/>
      <c r="BS207" s="246"/>
      <c r="BT207" s="246"/>
      <c r="BU207" s="250" t="str">
        <f>BV206&amp;"-"&amp;BX206</f>
        <v>46388-46568</v>
      </c>
      <c r="BV207" s="7693"/>
      <c r="BW207" s="7540"/>
      <c r="BX207" s="7693"/>
      <c r="BY207" s="7540"/>
      <c r="BZ207" s="246"/>
      <c r="CA207" s="246"/>
      <c r="CB207" s="250" t="str">
        <f>CC206&amp;"-"&amp;CE206</f>
        <v>46569-46752</v>
      </c>
      <c r="CC207" s="7693"/>
      <c r="CD207" s="7540"/>
      <c r="CE207" s="7693"/>
      <c r="CF207" s="7540"/>
      <c r="CG207" s="246"/>
      <c r="CH207" s="246"/>
      <c r="CI207" s="250" t="str">
        <f>CJ206&amp;"-"&amp;CL206</f>
        <v>46753-46934</v>
      </c>
      <c r="CJ207" s="7693"/>
      <c r="CK207" s="7540"/>
      <c r="CL207" s="7693"/>
      <c r="CM207" s="7540"/>
      <c r="CN207" s="246"/>
      <c r="CO207" s="246"/>
      <c r="CP207" s="250" t="str">
        <f>CQ206&amp;"-"&amp;CS206</f>
        <v>46935-47118</v>
      </c>
      <c r="CQ207" s="7693"/>
      <c r="CR207" s="7540"/>
      <c r="CS207" s="7693"/>
      <c r="CT207" s="7540"/>
      <c r="CU207" s="1359"/>
      <c r="CV207" s="7747"/>
      <c r="CW207" s="1562"/>
      <c r="CX207" s="1544"/>
      <c r="CY207" s="1544" t="str">
        <f t="shared" si="3"/>
        <v/>
      </c>
      <c r="CZ207" s="1544"/>
      <c r="DA207" s="1544"/>
    </row>
    <row r="208" spans="1:105" s="1827" customFormat="1" ht="21" customHeight="1">
      <c r="A208" s="1284"/>
      <c r="B208" s="1284"/>
      <c r="C208" s="1284"/>
      <c r="D208" s="1284"/>
      <c r="E208" s="7690"/>
      <c r="F208" s="7690"/>
      <c r="G208" s="7690"/>
      <c r="H208" s="7690"/>
      <c r="I208" s="7710"/>
      <c r="J208" s="7687" t="str">
        <f>I200&amp;".1"</f>
        <v>11.1.1.1.1</v>
      </c>
      <c r="K208" s="1284"/>
      <c r="L208" s="1290"/>
      <c r="M208" s="1696"/>
      <c r="N208" s="1696"/>
      <c r="O208" s="1696"/>
      <c r="P208" s="7688"/>
      <c r="Q208" s="7688"/>
      <c r="R208" s="277"/>
      <c r="S208" s="5258"/>
      <c r="T208" s="5259" t="s">
        <v>659</v>
      </c>
      <c r="U208" s="5260"/>
      <c r="V208" s="5261"/>
      <c r="W208" s="5262"/>
      <c r="X208" s="5263"/>
      <c r="Y208" s="5264"/>
      <c r="Z208" s="5265"/>
      <c r="AA208" s="5266"/>
      <c r="AB208" s="5267"/>
      <c r="AC208" s="5268"/>
      <c r="AD208" s="5269"/>
      <c r="AE208" s="5270"/>
      <c r="AF208" s="5271"/>
      <c r="AG208" s="5272"/>
      <c r="AH208" s="5273"/>
      <c r="AI208" s="5274"/>
      <c r="AJ208" s="5275"/>
      <c r="AK208" s="5276"/>
      <c r="AL208" s="5277"/>
      <c r="AM208" s="5278"/>
      <c r="AN208" s="5279"/>
      <c r="AO208" s="5280"/>
      <c r="AP208" s="5281"/>
      <c r="AQ208" s="5282"/>
      <c r="AR208" s="5283"/>
      <c r="AS208" s="5284"/>
      <c r="AT208" s="5285"/>
      <c r="AU208" s="5286"/>
      <c r="AV208" s="5287"/>
      <c r="AW208" s="5288"/>
      <c r="AX208" s="5289"/>
      <c r="AY208" s="5290"/>
      <c r="AZ208" s="5291"/>
      <c r="BA208" s="5292"/>
      <c r="BB208" s="5293"/>
      <c r="BC208" s="5294"/>
      <c r="BD208" s="5295"/>
      <c r="BE208" s="5296"/>
      <c r="BF208" s="5297"/>
      <c r="BG208" s="5298"/>
      <c r="BH208" s="5299"/>
      <c r="BI208" s="5300"/>
      <c r="BJ208" s="5301"/>
      <c r="BK208" s="5302"/>
      <c r="BL208" s="5303"/>
      <c r="BM208" s="5304"/>
      <c r="BN208" s="5305"/>
      <c r="BO208" s="5306"/>
      <c r="BP208" s="5307"/>
      <c r="BQ208" s="5308"/>
      <c r="BR208" s="5309"/>
      <c r="BS208" s="5310"/>
      <c r="BT208" s="5311"/>
      <c r="BU208" s="5312"/>
      <c r="BV208" s="5313"/>
      <c r="BW208" s="5314"/>
      <c r="BX208" s="5315"/>
      <c r="BY208" s="5316"/>
      <c r="BZ208" s="5317"/>
      <c r="CA208" s="5318"/>
      <c r="CB208" s="5319"/>
      <c r="CC208" s="5320"/>
      <c r="CD208" s="5321"/>
      <c r="CE208" s="5322"/>
      <c r="CF208" s="5323"/>
      <c r="CG208" s="5324"/>
      <c r="CH208" s="5325"/>
      <c r="CI208" s="5326"/>
      <c r="CJ208" s="5327"/>
      <c r="CK208" s="5328"/>
      <c r="CL208" s="5329"/>
      <c r="CM208" s="5330"/>
      <c r="CN208" s="5331"/>
      <c r="CO208" s="5332"/>
      <c r="CP208" s="5333"/>
      <c r="CQ208" s="5334"/>
      <c r="CR208" s="5335"/>
      <c r="CS208" s="5336"/>
      <c r="CT208" s="5337"/>
      <c r="CU208" s="5338"/>
      <c r="CV208" s="1182" t="s">
        <v>660</v>
      </c>
      <c r="CW208" s="1562"/>
      <c r="CX208" s="1544"/>
      <c r="CY208" s="1544" t="str">
        <f t="shared" si="3"/>
        <v>Добавить значение признака дифференциации</v>
      </c>
      <c r="CZ208" s="1544"/>
      <c r="DA208" s="1544"/>
    </row>
    <row r="209" spans="1:105" s="1827" customFormat="1" ht="21" customHeight="1">
      <c r="A209" s="1284"/>
      <c r="B209" s="1284"/>
      <c r="C209" s="1284"/>
      <c r="D209" s="1284"/>
      <c r="E209" s="7690" t="s">
        <v>129</v>
      </c>
      <c r="F209" s="7690"/>
      <c r="G209" s="7690"/>
      <c r="H209" s="7690"/>
      <c r="I209" s="7687"/>
      <c r="J209" s="1284"/>
      <c r="K209" s="1284"/>
      <c r="L209" s="1290"/>
      <c r="M209" s="1696"/>
      <c r="N209" s="1696"/>
      <c r="O209" s="1696"/>
      <c r="P209" s="7688"/>
      <c r="Q209" s="1816"/>
      <c r="R209" s="277"/>
      <c r="S209" s="5339"/>
      <c r="T209" s="5340" t="s">
        <v>588</v>
      </c>
      <c r="U209" s="5341"/>
      <c r="V209" s="5342"/>
      <c r="W209" s="5343"/>
      <c r="X209" s="5344"/>
      <c r="Y209" s="5345"/>
      <c r="Z209" s="5346"/>
      <c r="AA209" s="5347"/>
      <c r="AB209" s="5348"/>
      <c r="AC209" s="5349"/>
      <c r="AD209" s="5350"/>
      <c r="AE209" s="5351"/>
      <c r="AF209" s="5352"/>
      <c r="AG209" s="5353"/>
      <c r="AH209" s="5354"/>
      <c r="AI209" s="5355"/>
      <c r="AJ209" s="5356"/>
      <c r="AK209" s="5357"/>
      <c r="AL209" s="5358"/>
      <c r="AM209" s="5359"/>
      <c r="AN209" s="5360"/>
      <c r="AO209" s="5361"/>
      <c r="AP209" s="5362"/>
      <c r="AQ209" s="5363"/>
      <c r="AR209" s="5364"/>
      <c r="AS209" s="5365"/>
      <c r="AT209" s="5366"/>
      <c r="AU209" s="5367"/>
      <c r="AV209" s="5368"/>
      <c r="AW209" s="5369"/>
      <c r="AX209" s="5370"/>
      <c r="AY209" s="5371"/>
      <c r="AZ209" s="5372"/>
      <c r="BA209" s="5373"/>
      <c r="BB209" s="5374"/>
      <c r="BC209" s="5375"/>
      <c r="BD209" s="5376"/>
      <c r="BE209" s="5377"/>
      <c r="BF209" s="5378"/>
      <c r="BG209" s="5379"/>
      <c r="BH209" s="5380"/>
      <c r="BI209" s="5381"/>
      <c r="BJ209" s="5382"/>
      <c r="BK209" s="5383"/>
      <c r="BL209" s="5384"/>
      <c r="BM209" s="5385"/>
      <c r="BN209" s="5386"/>
      <c r="BO209" s="5387"/>
      <c r="BP209" s="5388"/>
      <c r="BQ209" s="5389"/>
      <c r="BR209" s="5390"/>
      <c r="BS209" s="5391"/>
      <c r="BT209" s="5392"/>
      <c r="BU209" s="5393"/>
      <c r="BV209" s="5394"/>
      <c r="BW209" s="5395"/>
      <c r="BX209" s="5396"/>
      <c r="BY209" s="5397"/>
      <c r="BZ209" s="5398"/>
      <c r="CA209" s="5399"/>
      <c r="CB209" s="5400"/>
      <c r="CC209" s="5401"/>
      <c r="CD209" s="5402"/>
      <c r="CE209" s="5403"/>
      <c r="CF209" s="5404"/>
      <c r="CG209" s="5405"/>
      <c r="CH209" s="5406"/>
      <c r="CI209" s="5407"/>
      <c r="CJ209" s="5408"/>
      <c r="CK209" s="5409"/>
      <c r="CL209" s="5410"/>
      <c r="CM209" s="5411"/>
      <c r="CN209" s="5412"/>
      <c r="CO209" s="5413"/>
      <c r="CP209" s="5414"/>
      <c r="CQ209" s="5415"/>
      <c r="CR209" s="5416"/>
      <c r="CS209" s="5417"/>
      <c r="CT209" s="5418"/>
      <c r="CU209" s="5419"/>
      <c r="CV209" s="5420"/>
      <c r="CW209" s="1562"/>
      <c r="CX209" s="1544"/>
      <c r="CY209" s="1544" t="str">
        <f t="shared" si="3"/>
        <v>Добавить группу потребителей</v>
      </c>
      <c r="CZ209" s="1544"/>
      <c r="DA209" s="1544"/>
    </row>
    <row r="210" spans="1:105" s="1827" customFormat="1" ht="14.25" customHeight="1">
      <c r="A210" s="1284"/>
      <c r="B210" s="1284"/>
      <c r="C210" s="1284"/>
      <c r="D210" s="1284"/>
      <c r="E210" s="7690" t="s">
        <v>129</v>
      </c>
      <c r="F210" s="7690"/>
      <c r="G210" s="7690"/>
      <c r="H210" s="7689"/>
      <c r="I210" s="1284"/>
      <c r="J210" s="1284"/>
      <c r="K210" s="1284"/>
      <c r="L210" s="1290"/>
      <c r="M210" s="1286"/>
      <c r="N210" s="1286"/>
      <c r="O210" s="1287"/>
      <c r="P210" s="1742"/>
      <c r="Q210" s="299"/>
      <c r="R210" s="276"/>
      <c r="S210" s="5421"/>
      <c r="T210" s="5422" t="s">
        <v>661</v>
      </c>
      <c r="U210" s="5423"/>
      <c r="V210" s="5424"/>
      <c r="W210" s="5425"/>
      <c r="X210" s="5426"/>
      <c r="Y210" s="5427"/>
      <c r="Z210" s="5428"/>
      <c r="AA210" s="5429"/>
      <c r="AB210" s="5430"/>
      <c r="AC210" s="5431"/>
      <c r="AD210" s="5432"/>
      <c r="AE210" s="5433"/>
      <c r="AF210" s="5434"/>
      <c r="AG210" s="5435"/>
      <c r="AH210" s="5436"/>
      <c r="AI210" s="5437"/>
      <c r="AJ210" s="5438"/>
      <c r="AK210" s="5439"/>
      <c r="AL210" s="5440"/>
      <c r="AM210" s="5441"/>
      <c r="AN210" s="5442"/>
      <c r="AO210" s="5443"/>
      <c r="AP210" s="5444"/>
      <c r="AQ210" s="5445"/>
      <c r="AR210" s="5446"/>
      <c r="AS210" s="5447"/>
      <c r="AT210" s="5448"/>
      <c r="AU210" s="5449"/>
      <c r="AV210" s="5450"/>
      <c r="AW210" s="5451"/>
      <c r="AX210" s="5452"/>
      <c r="AY210" s="5453"/>
      <c r="AZ210" s="5454"/>
      <c r="BA210" s="5455"/>
      <c r="BB210" s="5456"/>
      <c r="BC210" s="5457"/>
      <c r="BD210" s="5458"/>
      <c r="BE210" s="5459"/>
      <c r="BF210" s="5460"/>
      <c r="BG210" s="5461"/>
      <c r="BH210" s="5462"/>
      <c r="BI210" s="5463"/>
      <c r="BJ210" s="5464"/>
      <c r="BK210" s="5465"/>
      <c r="BL210" s="5466"/>
      <c r="BM210" s="5467"/>
      <c r="BN210" s="5468"/>
      <c r="BO210" s="5469"/>
      <c r="BP210" s="5470"/>
      <c r="BQ210" s="5471"/>
      <c r="BR210" s="5472"/>
      <c r="BS210" s="5473"/>
      <c r="BT210" s="5474"/>
      <c r="BU210" s="5475"/>
      <c r="BV210" s="5476"/>
      <c r="BW210" s="5477"/>
      <c r="BX210" s="5478"/>
      <c r="BY210" s="5479"/>
      <c r="BZ210" s="5480"/>
      <c r="CA210" s="5481"/>
      <c r="CB210" s="5482"/>
      <c r="CC210" s="5483"/>
      <c r="CD210" s="5484"/>
      <c r="CE210" s="5485"/>
      <c r="CF210" s="5486"/>
      <c r="CG210" s="5487"/>
      <c r="CH210" s="5488"/>
      <c r="CI210" s="5489"/>
      <c r="CJ210" s="5490"/>
      <c r="CK210" s="5491"/>
      <c r="CL210" s="5492"/>
      <c r="CM210" s="5493"/>
      <c r="CN210" s="5494"/>
      <c r="CO210" s="5495"/>
      <c r="CP210" s="5496"/>
      <c r="CQ210" s="5497"/>
      <c r="CR210" s="5498"/>
      <c r="CS210" s="5499"/>
      <c r="CT210" s="5500"/>
      <c r="CU210" s="5501"/>
      <c r="CV210" s="5502"/>
      <c r="CW210" s="1562"/>
      <c r="CX210" s="1544"/>
      <c r="CY210" s="1544" t="str">
        <f t="shared" si="3"/>
        <v>Добавить наименование признака дифференциации</v>
      </c>
      <c r="CZ210" s="1544"/>
      <c r="DA210" s="1544"/>
    </row>
    <row r="211" spans="1:105" s="541" customFormat="1" ht="14.25" customHeight="1">
      <c r="A211" s="1265"/>
      <c r="B211" s="1265"/>
      <c r="C211" s="1265"/>
      <c r="D211" s="1265"/>
      <c r="E211" s="7690" t="s">
        <v>129</v>
      </c>
      <c r="F211" s="7689"/>
      <c r="G211" s="1265"/>
      <c r="H211" s="1265"/>
      <c r="I211" s="1265"/>
      <c r="J211" s="1265"/>
      <c r="K211" s="1265"/>
      <c r="L211" s="1466"/>
      <c r="M211" s="1244"/>
      <c r="N211" s="1244"/>
      <c r="O211" s="1562"/>
      <c r="P211" s="1239"/>
      <c r="Q211" s="1266"/>
      <c r="R211" s="1239"/>
      <c r="S211" s="1245"/>
      <c r="T211" s="1248" t="s">
        <v>325</v>
      </c>
      <c r="U211" s="1247"/>
      <c r="V211" s="1247"/>
      <c r="W211" s="1247"/>
      <c r="X211" s="1247"/>
      <c r="Y211" s="1247"/>
      <c r="Z211" s="1247"/>
      <c r="AA211" s="1247"/>
      <c r="AB211" s="1247"/>
      <c r="AC211" s="1247"/>
      <c r="AD211" s="1247"/>
      <c r="AE211" s="1247"/>
      <c r="AF211" s="1247"/>
      <c r="AG211" s="1247"/>
      <c r="AH211" s="1247"/>
      <c r="AI211" s="1247"/>
      <c r="AJ211" s="1247"/>
      <c r="AK211" s="1247"/>
      <c r="AL211" s="1247"/>
      <c r="AM211" s="1247"/>
      <c r="AN211" s="1247"/>
      <c r="AO211" s="1247"/>
      <c r="AP211" s="1247"/>
      <c r="AQ211" s="1247"/>
      <c r="AR211" s="1247"/>
      <c r="AS211" s="1247"/>
      <c r="AT211" s="1247"/>
      <c r="AU211" s="1247"/>
      <c r="AV211" s="1247"/>
      <c r="AW211" s="1247"/>
      <c r="AX211" s="1247"/>
      <c r="AY211" s="1247"/>
      <c r="AZ211" s="1247"/>
      <c r="BA211" s="1247"/>
      <c r="BB211" s="1247"/>
      <c r="BC211" s="1247"/>
      <c r="BD211" s="1247"/>
      <c r="BE211" s="1247"/>
      <c r="BF211" s="1247"/>
      <c r="BG211" s="1247"/>
      <c r="BH211" s="1247"/>
      <c r="BI211" s="1247"/>
      <c r="BJ211" s="1247"/>
      <c r="BK211" s="1247"/>
      <c r="BL211" s="1247"/>
      <c r="BM211" s="1247"/>
      <c r="BN211" s="1247"/>
      <c r="BO211" s="1247"/>
      <c r="BP211" s="1247"/>
      <c r="BQ211" s="1247"/>
      <c r="BR211" s="1247"/>
      <c r="BS211" s="1247"/>
      <c r="BT211" s="1247"/>
      <c r="BU211" s="1247"/>
      <c r="BV211" s="1247"/>
      <c r="BW211" s="1247"/>
      <c r="BX211" s="1247"/>
      <c r="BY211" s="1247"/>
      <c r="BZ211" s="1247"/>
      <c r="CA211" s="1247"/>
      <c r="CB211" s="1247"/>
      <c r="CC211" s="1247"/>
      <c r="CD211" s="1247"/>
      <c r="CE211" s="1247"/>
      <c r="CF211" s="1247"/>
      <c r="CG211" s="1247"/>
      <c r="CH211" s="1247"/>
      <c r="CI211" s="1247"/>
      <c r="CJ211" s="1247"/>
      <c r="CK211" s="1247"/>
      <c r="CL211" s="1247"/>
      <c r="CM211" s="1247"/>
      <c r="CN211" s="1247"/>
      <c r="CO211" s="1247"/>
      <c r="CP211" s="1247"/>
      <c r="CQ211" s="1247"/>
      <c r="CR211" s="1247"/>
      <c r="CS211" s="1247"/>
      <c r="CT211" s="1247"/>
      <c r="CU211" s="1247"/>
      <c r="CV211" s="1247"/>
      <c r="CW211" s="1562"/>
      <c r="CX211" s="1544"/>
      <c r="CY211" s="1544" t="str">
        <f t="shared" si="3"/>
        <v>Добавить централизованную систему для дифференциации</v>
      </c>
      <c r="CZ211" s="1544"/>
      <c r="DA211" s="1544"/>
    </row>
    <row r="212" spans="1:105" s="541" customFormat="1" ht="14.25" customHeight="1">
      <c r="A212" s="1265"/>
      <c r="B212" s="1265"/>
      <c r="C212" s="1265"/>
      <c r="D212" s="1265"/>
      <c r="E212" s="7689" t="s">
        <v>129</v>
      </c>
      <c r="F212" s="1265"/>
      <c r="G212" s="1265"/>
      <c r="H212" s="1265"/>
      <c r="I212" s="1265"/>
      <c r="J212" s="1265"/>
      <c r="K212" s="1265"/>
      <c r="L212" s="1466"/>
      <c r="M212" s="1244"/>
      <c r="N212" s="1244"/>
      <c r="O212" s="1562"/>
      <c r="P212" s="1239"/>
      <c r="Q212" s="1266"/>
      <c r="R212" s="1239"/>
      <c r="S212" s="1245"/>
      <c r="T212" s="1248" t="s">
        <v>326</v>
      </c>
      <c r="U212" s="1247"/>
      <c r="V212" s="1247"/>
      <c r="W212" s="1247"/>
      <c r="X212" s="1247"/>
      <c r="Y212" s="1247"/>
      <c r="Z212" s="1247"/>
      <c r="AA212" s="1247"/>
      <c r="AB212" s="1247"/>
      <c r="AC212" s="1247"/>
      <c r="AD212" s="1247"/>
      <c r="AE212" s="1247"/>
      <c r="AF212" s="1247"/>
      <c r="AG212" s="1247"/>
      <c r="AH212" s="1247"/>
      <c r="AI212" s="1247"/>
      <c r="AJ212" s="1247"/>
      <c r="AK212" s="1247"/>
      <c r="AL212" s="1247"/>
      <c r="AM212" s="1247"/>
      <c r="AN212" s="1247"/>
      <c r="AO212" s="1247"/>
      <c r="AP212" s="1247"/>
      <c r="AQ212" s="1247"/>
      <c r="AR212" s="1247"/>
      <c r="AS212" s="1247"/>
      <c r="AT212" s="1247"/>
      <c r="AU212" s="1247"/>
      <c r="AV212" s="1247"/>
      <c r="AW212" s="1247"/>
      <c r="AX212" s="1247"/>
      <c r="AY212" s="1247"/>
      <c r="AZ212" s="1247"/>
      <c r="BA212" s="1247"/>
      <c r="BB212" s="1247"/>
      <c r="BC212" s="1247"/>
      <c r="BD212" s="1247"/>
      <c r="BE212" s="1247"/>
      <c r="BF212" s="1247"/>
      <c r="BG212" s="1247"/>
      <c r="BH212" s="1247"/>
      <c r="BI212" s="1247"/>
      <c r="BJ212" s="1247"/>
      <c r="BK212" s="1247"/>
      <c r="BL212" s="1247"/>
      <c r="BM212" s="1247"/>
      <c r="BN212" s="1247"/>
      <c r="BO212" s="1247"/>
      <c r="BP212" s="1247"/>
      <c r="BQ212" s="1247"/>
      <c r="BR212" s="1247"/>
      <c r="BS212" s="1247"/>
      <c r="BT212" s="1247"/>
      <c r="BU212" s="1247"/>
      <c r="BV212" s="1247"/>
      <c r="BW212" s="1247"/>
      <c r="BX212" s="1247"/>
      <c r="BY212" s="1247"/>
      <c r="BZ212" s="1247"/>
      <c r="CA212" s="1247"/>
      <c r="CB212" s="1247"/>
      <c r="CC212" s="1247"/>
      <c r="CD212" s="1247"/>
      <c r="CE212" s="1247"/>
      <c r="CF212" s="1247"/>
      <c r="CG212" s="1247"/>
      <c r="CH212" s="1247"/>
      <c r="CI212" s="1247"/>
      <c r="CJ212" s="1247"/>
      <c r="CK212" s="1247"/>
      <c r="CL212" s="1247"/>
      <c r="CM212" s="1247"/>
      <c r="CN212" s="1247"/>
      <c r="CO212" s="1247"/>
      <c r="CP212" s="1247"/>
      <c r="CQ212" s="1247"/>
      <c r="CR212" s="1247"/>
      <c r="CS212" s="1247"/>
      <c r="CT212" s="1247"/>
      <c r="CU212" s="1247"/>
      <c r="CV212" s="1247"/>
      <c r="CW212" s="1562"/>
      <c r="CX212" s="1544"/>
      <c r="CY212" s="1544" t="str">
        <f t="shared" si="3"/>
        <v>Добавить территорию для дифференциации</v>
      </c>
      <c r="CZ212" s="1544"/>
      <c r="DA212" s="1544"/>
    </row>
    <row r="213" spans="1:105" s="1827" customFormat="1" ht="23.25" customHeight="1">
      <c r="A213" s="1284" t="s">
        <v>378</v>
      </c>
      <c r="B213" s="1284"/>
      <c r="C213" s="1284"/>
      <c r="D213" s="1284"/>
      <c r="E213" s="7689" t="s">
        <v>136</v>
      </c>
      <c r="F213" s="1284"/>
      <c r="G213" s="1284"/>
      <c r="H213" s="1284"/>
      <c r="I213" s="1284"/>
      <c r="J213" s="1284"/>
      <c r="K213" s="1284"/>
      <c r="L213" s="1290"/>
      <c r="M213" s="1286"/>
      <c r="N213" s="1286"/>
      <c r="O213" s="1286"/>
      <c r="P213" s="1817"/>
      <c r="Q213" s="1742"/>
      <c r="R213" s="276"/>
      <c r="S213" s="1813" t="str">
        <f>INDEX(PT_DIFFERENTIATION_NUM_NTAR,MATCH(A213,PT_DIFFERENTIATION_NTAR_ID,0))</f>
        <v>12</v>
      </c>
      <c r="T213" s="1440" t="s">
        <v>237</v>
      </c>
      <c r="U213" s="214"/>
      <c r="V213" s="7675"/>
      <c r="W213" s="7676"/>
      <c r="X213" s="7676"/>
      <c r="Y213" s="7676"/>
      <c r="Z213" s="7676"/>
      <c r="AA213" s="7676"/>
      <c r="AB213" s="7677"/>
      <c r="AC213" s="7675" t="str">
        <f>INDEX(PT_DIFFERENTIATION_NTAR,MATCH(A213,PT_DIFFERENTIATION_NTAR_ID,0))</f>
        <v>Тарифы на питьевую воду для потребителей, присоединенных к централизованным системам водоснабжения села Донская Балка Петровского муниципального округа</v>
      </c>
      <c r="AD213" s="7676"/>
      <c r="AE213" s="7676"/>
      <c r="AF213" s="7676"/>
      <c r="AG213" s="7676"/>
      <c r="AH213" s="7676"/>
      <c r="AI213" s="7676"/>
      <c r="AJ213" s="7675"/>
      <c r="AK213" s="7676"/>
      <c r="AL213" s="7676"/>
      <c r="AM213" s="7676"/>
      <c r="AN213" s="7676"/>
      <c r="AO213" s="7676"/>
      <c r="AP213" s="7677"/>
      <c r="AQ213" s="7675"/>
      <c r="AR213" s="7676"/>
      <c r="AS213" s="7676"/>
      <c r="AT213" s="7676"/>
      <c r="AU213" s="7676"/>
      <c r="AV213" s="7676"/>
      <c r="AW213" s="7677"/>
      <c r="AX213" s="7675"/>
      <c r="AY213" s="7676"/>
      <c r="AZ213" s="7676"/>
      <c r="BA213" s="7676"/>
      <c r="BB213" s="7676"/>
      <c r="BC213" s="7676"/>
      <c r="BD213" s="7677"/>
      <c r="BE213" s="7675"/>
      <c r="BF213" s="7676"/>
      <c r="BG213" s="7676"/>
      <c r="BH213" s="7676"/>
      <c r="BI213" s="7676"/>
      <c r="BJ213" s="7676"/>
      <c r="BK213" s="7677"/>
      <c r="BL213" s="7675"/>
      <c r="BM213" s="7676"/>
      <c r="BN213" s="7676"/>
      <c r="BO213" s="7676"/>
      <c r="BP213" s="7676"/>
      <c r="BQ213" s="7676"/>
      <c r="BR213" s="7677"/>
      <c r="BS213" s="7675"/>
      <c r="BT213" s="7676"/>
      <c r="BU213" s="7676"/>
      <c r="BV213" s="7676"/>
      <c r="BW213" s="7676"/>
      <c r="BX213" s="7676"/>
      <c r="BY213" s="7677"/>
      <c r="BZ213" s="7675"/>
      <c r="CA213" s="7676"/>
      <c r="CB213" s="7676"/>
      <c r="CC213" s="7676"/>
      <c r="CD213" s="7676"/>
      <c r="CE213" s="7676"/>
      <c r="CF213" s="7677"/>
      <c r="CG213" s="7675"/>
      <c r="CH213" s="7676"/>
      <c r="CI213" s="7676"/>
      <c r="CJ213" s="7676"/>
      <c r="CK213" s="7676"/>
      <c r="CL213" s="7676"/>
      <c r="CM213" s="7677"/>
      <c r="CN213" s="7675"/>
      <c r="CO213" s="7676"/>
      <c r="CP213" s="7676"/>
      <c r="CQ213" s="7676"/>
      <c r="CR213" s="7676"/>
      <c r="CS213" s="7676"/>
      <c r="CT213" s="7677"/>
      <c r="CU213" s="7677"/>
      <c r="CV213"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213" s="1562"/>
      <c r="CX213" s="1544"/>
      <c r="CY213" s="1544" t="str">
        <f t="shared" si="3"/>
        <v>Наименование тарифа</v>
      </c>
      <c r="CZ213" s="1544"/>
      <c r="DA213" s="1544"/>
    </row>
    <row r="214" spans="1:105" s="1827" customFormat="1" ht="23.25" customHeight="1">
      <c r="A214" s="1284"/>
      <c r="B214" s="1284" t="s">
        <v>379</v>
      </c>
      <c r="C214" s="1284"/>
      <c r="D214" s="1284"/>
      <c r="E214" s="7690" t="s">
        <v>102</v>
      </c>
      <c r="F214" s="7689">
        <v>1</v>
      </c>
      <c r="G214" s="1284"/>
      <c r="H214" s="1284"/>
      <c r="I214" s="1284"/>
      <c r="J214" s="1284"/>
      <c r="K214" s="1284"/>
      <c r="L214" s="1290"/>
      <c r="M214" s="1286"/>
      <c r="N214" s="1286"/>
      <c r="O214" s="1286"/>
      <c r="P214" s="1807"/>
      <c r="Q214" s="273"/>
      <c r="R214" s="274"/>
      <c r="S214" s="1813" t="str">
        <f>INDEX(PT_DIFFERENTIATION_NUM_TER,MATCH(B214,PT_DIFFERENTIATION_TER_ID,0))</f>
        <v>12.1</v>
      </c>
      <c r="T214" s="1437" t="s">
        <v>573</v>
      </c>
      <c r="U214" s="214"/>
      <c r="V214" s="7675"/>
      <c r="W214" s="7676"/>
      <c r="X214" s="7676"/>
      <c r="Y214" s="7676"/>
      <c r="Z214" s="7676"/>
      <c r="AA214" s="7676"/>
      <c r="AB214" s="7677"/>
      <c r="AC214" s="7675" t="str">
        <f>INDEX(PT_DIFFERENTIATION_TER,MATCH(B214,PT_DIFFERENTIATION_TER_ID,0))</f>
        <v>Территория 7</v>
      </c>
      <c r="AD214" s="7676"/>
      <c r="AE214" s="7676"/>
      <c r="AF214" s="7676"/>
      <c r="AG214" s="7676"/>
      <c r="AH214" s="7676"/>
      <c r="AI214" s="7676"/>
      <c r="AJ214" s="7675"/>
      <c r="AK214" s="7676"/>
      <c r="AL214" s="7676"/>
      <c r="AM214" s="7676"/>
      <c r="AN214" s="7676"/>
      <c r="AO214" s="7676"/>
      <c r="AP214" s="7677"/>
      <c r="AQ214" s="7675"/>
      <c r="AR214" s="7676"/>
      <c r="AS214" s="7676"/>
      <c r="AT214" s="7676"/>
      <c r="AU214" s="7676"/>
      <c r="AV214" s="7676"/>
      <c r="AW214" s="7677"/>
      <c r="AX214" s="7675"/>
      <c r="AY214" s="7676"/>
      <c r="AZ214" s="7676"/>
      <c r="BA214" s="7676"/>
      <c r="BB214" s="7676"/>
      <c r="BC214" s="7676"/>
      <c r="BD214" s="7677"/>
      <c r="BE214" s="7675"/>
      <c r="BF214" s="7676"/>
      <c r="BG214" s="7676"/>
      <c r="BH214" s="7676"/>
      <c r="BI214" s="7676"/>
      <c r="BJ214" s="7676"/>
      <c r="BK214" s="7677"/>
      <c r="BL214" s="7675"/>
      <c r="BM214" s="7676"/>
      <c r="BN214" s="7676"/>
      <c r="BO214" s="7676"/>
      <c r="BP214" s="7676"/>
      <c r="BQ214" s="7676"/>
      <c r="BR214" s="7677"/>
      <c r="BS214" s="7675"/>
      <c r="BT214" s="7676"/>
      <c r="BU214" s="7676"/>
      <c r="BV214" s="7676"/>
      <c r="BW214" s="7676"/>
      <c r="BX214" s="7676"/>
      <c r="BY214" s="7677"/>
      <c r="BZ214" s="7675"/>
      <c r="CA214" s="7676"/>
      <c r="CB214" s="7676"/>
      <c r="CC214" s="7676"/>
      <c r="CD214" s="7676"/>
      <c r="CE214" s="7676"/>
      <c r="CF214" s="7677"/>
      <c r="CG214" s="7675"/>
      <c r="CH214" s="7676"/>
      <c r="CI214" s="7676"/>
      <c r="CJ214" s="7676"/>
      <c r="CK214" s="7676"/>
      <c r="CL214" s="7676"/>
      <c r="CM214" s="7677"/>
      <c r="CN214" s="7675"/>
      <c r="CO214" s="7676"/>
      <c r="CP214" s="7676"/>
      <c r="CQ214" s="7676"/>
      <c r="CR214" s="7676"/>
      <c r="CS214" s="7676"/>
      <c r="CT214" s="7677"/>
      <c r="CU214" s="7677"/>
      <c r="CV214" s="1182" t="s">
        <v>574</v>
      </c>
      <c r="CW214" s="1562"/>
      <c r="CX214" s="1544"/>
      <c r="CY214" s="1544" t="str">
        <f t="shared" si="3"/>
        <v>Территория действия тарифа</v>
      </c>
      <c r="CZ214" s="1544"/>
      <c r="DA214" s="1544"/>
    </row>
    <row r="215" spans="1:105" s="1827" customFormat="1" ht="23.25" customHeight="1">
      <c r="A215" s="1284"/>
      <c r="B215" s="1284"/>
      <c r="C215" s="1284" t="s">
        <v>380</v>
      </c>
      <c r="D215" s="1284"/>
      <c r="E215" s="7690" t="s">
        <v>102</v>
      </c>
      <c r="F215" s="7690"/>
      <c r="G215" s="7689">
        <v>1</v>
      </c>
      <c r="H215" s="1284"/>
      <c r="I215" s="1284"/>
      <c r="J215" s="1284"/>
      <c r="K215" s="1284"/>
      <c r="L215" s="1290"/>
      <c r="M215" s="1286"/>
      <c r="N215" s="1286"/>
      <c r="O215" s="1286"/>
      <c r="P215" s="275"/>
      <c r="Q215" s="273"/>
      <c r="R215" s="274"/>
      <c r="S215" s="1813" t="str">
        <f>INDEX(PT_DIFFERENTIATION_NUM_CS,MATCH(C215,PT_DIFFERENTIATION_CS_ID,0))</f>
        <v>12.1.1</v>
      </c>
      <c r="T215" s="225" t="s">
        <v>654</v>
      </c>
      <c r="U215" s="214"/>
      <c r="V215" s="7675"/>
      <c r="W215" s="7676"/>
      <c r="X215" s="7676"/>
      <c r="Y215" s="7676"/>
      <c r="Z215" s="7676"/>
      <c r="AA215" s="7676"/>
      <c r="AB215" s="7677"/>
      <c r="AC215" s="7675" t="str">
        <f>INDEX(PT_DIFFERENTIATION_CS,MATCH(C215,PT_DIFFERENTIATION_CS_ID,0))</f>
        <v>без дифференциации</v>
      </c>
      <c r="AD215" s="7676"/>
      <c r="AE215" s="7676"/>
      <c r="AF215" s="7676"/>
      <c r="AG215" s="7676"/>
      <c r="AH215" s="7676"/>
      <c r="AI215" s="7676"/>
      <c r="AJ215" s="7675"/>
      <c r="AK215" s="7676"/>
      <c r="AL215" s="7676"/>
      <c r="AM215" s="7676"/>
      <c r="AN215" s="7676"/>
      <c r="AO215" s="7676"/>
      <c r="AP215" s="7677"/>
      <c r="AQ215" s="7675"/>
      <c r="AR215" s="7676"/>
      <c r="AS215" s="7676"/>
      <c r="AT215" s="7676"/>
      <c r="AU215" s="7676"/>
      <c r="AV215" s="7676"/>
      <c r="AW215" s="7677"/>
      <c r="AX215" s="7675"/>
      <c r="AY215" s="7676"/>
      <c r="AZ215" s="7676"/>
      <c r="BA215" s="7676"/>
      <c r="BB215" s="7676"/>
      <c r="BC215" s="7676"/>
      <c r="BD215" s="7677"/>
      <c r="BE215" s="7675"/>
      <c r="BF215" s="7676"/>
      <c r="BG215" s="7676"/>
      <c r="BH215" s="7676"/>
      <c r="BI215" s="7676"/>
      <c r="BJ215" s="7676"/>
      <c r="BK215" s="7677"/>
      <c r="BL215" s="7675"/>
      <c r="BM215" s="7676"/>
      <c r="BN215" s="7676"/>
      <c r="BO215" s="7676"/>
      <c r="BP215" s="7676"/>
      <c r="BQ215" s="7676"/>
      <c r="BR215" s="7677"/>
      <c r="BS215" s="7675"/>
      <c r="BT215" s="7676"/>
      <c r="BU215" s="7676"/>
      <c r="BV215" s="7676"/>
      <c r="BW215" s="7676"/>
      <c r="BX215" s="7676"/>
      <c r="BY215" s="7677"/>
      <c r="BZ215" s="7675"/>
      <c r="CA215" s="7676"/>
      <c r="CB215" s="7676"/>
      <c r="CC215" s="7676"/>
      <c r="CD215" s="7676"/>
      <c r="CE215" s="7676"/>
      <c r="CF215" s="7677"/>
      <c r="CG215" s="7675"/>
      <c r="CH215" s="7676"/>
      <c r="CI215" s="7676"/>
      <c r="CJ215" s="7676"/>
      <c r="CK215" s="7676"/>
      <c r="CL215" s="7676"/>
      <c r="CM215" s="7677"/>
      <c r="CN215" s="7675"/>
      <c r="CO215" s="7676"/>
      <c r="CP215" s="7676"/>
      <c r="CQ215" s="7676"/>
      <c r="CR215" s="7676"/>
      <c r="CS215" s="7676"/>
      <c r="CT215" s="7677"/>
      <c r="CU215" s="7677"/>
      <c r="CV215" s="1182" t="s">
        <v>655</v>
      </c>
      <c r="CW215" s="1562"/>
      <c r="CX215" s="1544"/>
      <c r="CY215" s="1544" t="str">
        <f t="shared" si="3"/>
        <v>Наименование централизованной системы холодного водоснабжения</v>
      </c>
      <c r="CZ215" s="1544"/>
      <c r="DA215" s="1544"/>
    </row>
    <row r="216" spans="1:105" s="1827" customFormat="1" ht="23.25" customHeight="1">
      <c r="A216" s="1284"/>
      <c r="B216" s="1284"/>
      <c r="C216" s="1284"/>
      <c r="D216" s="1284"/>
      <c r="E216" s="7690" t="s">
        <v>102</v>
      </c>
      <c r="F216" s="7690"/>
      <c r="G216" s="7690"/>
      <c r="H216" s="7690"/>
      <c r="I216" s="7687" t="str">
        <f>S215&amp;".1"</f>
        <v>12.1.1.1</v>
      </c>
      <c r="J216" s="1284"/>
      <c r="K216" s="1284"/>
      <c r="L216" s="1290"/>
      <c r="M216" s="1696"/>
      <c r="N216" s="1696"/>
      <c r="O216" s="1696"/>
      <c r="P216" s="7688">
        <v>1</v>
      </c>
      <c r="Q216" s="1816"/>
      <c r="R216" s="277"/>
      <c r="S216" s="1813" t="str">
        <f>$I216</f>
        <v>12.1.1.1</v>
      </c>
      <c r="T216" s="200" t="s">
        <v>656</v>
      </c>
      <c r="U216" s="214"/>
      <c r="V216" s="7748"/>
      <c r="W216" s="7749"/>
      <c r="X216" s="7749"/>
      <c r="Y216" s="7749"/>
      <c r="Z216" s="7749"/>
      <c r="AA216" s="7749"/>
      <c r="AB216" s="7750"/>
      <c r="AC216" s="7751"/>
      <c r="AD216" s="7752"/>
      <c r="AE216" s="7752"/>
      <c r="AF216" s="7752"/>
      <c r="AG216" s="7752"/>
      <c r="AH216" s="7752"/>
      <c r="AI216" s="7752"/>
      <c r="AJ216" s="7748"/>
      <c r="AK216" s="7749"/>
      <c r="AL216" s="7749"/>
      <c r="AM216" s="7749"/>
      <c r="AN216" s="7749"/>
      <c r="AO216" s="7749"/>
      <c r="AP216" s="7750"/>
      <c r="AQ216" s="7748"/>
      <c r="AR216" s="7749"/>
      <c r="AS216" s="7749"/>
      <c r="AT216" s="7749"/>
      <c r="AU216" s="7749"/>
      <c r="AV216" s="7749"/>
      <c r="AW216" s="7750"/>
      <c r="AX216" s="7748"/>
      <c r="AY216" s="7749"/>
      <c r="AZ216" s="7749"/>
      <c r="BA216" s="7749"/>
      <c r="BB216" s="7749"/>
      <c r="BC216" s="7749"/>
      <c r="BD216" s="7750"/>
      <c r="BE216" s="7748"/>
      <c r="BF216" s="7749"/>
      <c r="BG216" s="7749"/>
      <c r="BH216" s="7749"/>
      <c r="BI216" s="7749"/>
      <c r="BJ216" s="7749"/>
      <c r="BK216" s="7750"/>
      <c r="BL216" s="7748"/>
      <c r="BM216" s="7749"/>
      <c r="BN216" s="7749"/>
      <c r="BO216" s="7749"/>
      <c r="BP216" s="7749"/>
      <c r="BQ216" s="7749"/>
      <c r="BR216" s="7750"/>
      <c r="BS216" s="7748"/>
      <c r="BT216" s="7749"/>
      <c r="BU216" s="7749"/>
      <c r="BV216" s="7749"/>
      <c r="BW216" s="7749"/>
      <c r="BX216" s="7749"/>
      <c r="BY216" s="7750"/>
      <c r="BZ216" s="7748"/>
      <c r="CA216" s="7749"/>
      <c r="CB216" s="7749"/>
      <c r="CC216" s="7749"/>
      <c r="CD216" s="7749"/>
      <c r="CE216" s="7749"/>
      <c r="CF216" s="7750"/>
      <c r="CG216" s="7748"/>
      <c r="CH216" s="7749"/>
      <c r="CI216" s="7749"/>
      <c r="CJ216" s="7749"/>
      <c r="CK216" s="7749"/>
      <c r="CL216" s="7749"/>
      <c r="CM216" s="7750"/>
      <c r="CN216" s="7748"/>
      <c r="CO216" s="7749"/>
      <c r="CP216" s="7749"/>
      <c r="CQ216" s="7749"/>
      <c r="CR216" s="7749"/>
      <c r="CS216" s="7749"/>
      <c r="CT216" s="7750"/>
      <c r="CU216" s="7753"/>
      <c r="CV216" s="1182" t="s">
        <v>657</v>
      </c>
      <c r="CW216" s="1562"/>
      <c r="CX216" s="1544"/>
      <c r="CY216" s="1544" t="str">
        <f t="shared" si="3"/>
        <v>Наименование признака дифференциации</v>
      </c>
      <c r="CZ216" s="1544"/>
      <c r="DA216" s="1544"/>
    </row>
    <row r="217" spans="1:105" s="1827" customFormat="1" ht="23.25" customHeight="1">
      <c r="A217" s="1284"/>
      <c r="B217" s="1284"/>
      <c r="C217" s="1284"/>
      <c r="D217" s="1284"/>
      <c r="E217" s="7690" t="s">
        <v>102</v>
      </c>
      <c r="F217" s="7690"/>
      <c r="G217" s="7690"/>
      <c r="H217" s="7690"/>
      <c r="I217" s="7710"/>
      <c r="J217" s="7687" t="str">
        <f>I216&amp;".1"</f>
        <v>12.1.1.1.1</v>
      </c>
      <c r="K217" s="1284"/>
      <c r="L217" s="1290" t="s">
        <v>582</v>
      </c>
      <c r="M217" s="1696"/>
      <c r="N217" s="1696"/>
      <c r="O217" s="1696"/>
      <c r="P217" s="7688"/>
      <c r="Q217" s="7688">
        <v>1</v>
      </c>
      <c r="R217" s="278"/>
      <c r="S217" s="1813" t="str">
        <f>$J217</f>
        <v>12.1.1.1.1</v>
      </c>
      <c r="T217" s="201" t="s">
        <v>583</v>
      </c>
      <c r="U217" s="214"/>
      <c r="V217" s="7678"/>
      <c r="W217" s="7679"/>
      <c r="X217" s="7679"/>
      <c r="Y217" s="7679"/>
      <c r="Z217" s="7679"/>
      <c r="AA217" s="7679"/>
      <c r="AB217" s="7680"/>
      <c r="AC217" s="7678" t="s">
        <v>671</v>
      </c>
      <c r="AD217" s="7679"/>
      <c r="AE217" s="7679"/>
      <c r="AF217" s="7679"/>
      <c r="AG217" s="7679"/>
      <c r="AH217" s="7679"/>
      <c r="AI217" s="7679"/>
      <c r="AJ217" s="7678"/>
      <c r="AK217" s="7679"/>
      <c r="AL217" s="7679"/>
      <c r="AM217" s="7679"/>
      <c r="AN217" s="7679"/>
      <c r="AO217" s="7679"/>
      <c r="AP217" s="7680"/>
      <c r="AQ217" s="7678"/>
      <c r="AR217" s="7679"/>
      <c r="AS217" s="7679"/>
      <c r="AT217" s="7679"/>
      <c r="AU217" s="7679"/>
      <c r="AV217" s="7679"/>
      <c r="AW217" s="7680"/>
      <c r="AX217" s="7678"/>
      <c r="AY217" s="7679"/>
      <c r="AZ217" s="7679"/>
      <c r="BA217" s="7679"/>
      <c r="BB217" s="7679"/>
      <c r="BC217" s="7679"/>
      <c r="BD217" s="7680"/>
      <c r="BE217" s="7678"/>
      <c r="BF217" s="7679"/>
      <c r="BG217" s="7679"/>
      <c r="BH217" s="7679"/>
      <c r="BI217" s="7679"/>
      <c r="BJ217" s="7679"/>
      <c r="BK217" s="7680"/>
      <c r="BL217" s="7678"/>
      <c r="BM217" s="7679"/>
      <c r="BN217" s="7679"/>
      <c r="BO217" s="7679"/>
      <c r="BP217" s="7679"/>
      <c r="BQ217" s="7679"/>
      <c r="BR217" s="7680"/>
      <c r="BS217" s="7678"/>
      <c r="BT217" s="7679"/>
      <c r="BU217" s="7679"/>
      <c r="BV217" s="7679"/>
      <c r="BW217" s="7679"/>
      <c r="BX217" s="7679"/>
      <c r="BY217" s="7680"/>
      <c r="BZ217" s="7678"/>
      <c r="CA217" s="7679"/>
      <c r="CB217" s="7679"/>
      <c r="CC217" s="7679"/>
      <c r="CD217" s="7679"/>
      <c r="CE217" s="7679"/>
      <c r="CF217" s="7680"/>
      <c r="CG217" s="7678"/>
      <c r="CH217" s="7679"/>
      <c r="CI217" s="7679"/>
      <c r="CJ217" s="7679"/>
      <c r="CK217" s="7679"/>
      <c r="CL217" s="7679"/>
      <c r="CM217" s="7680"/>
      <c r="CN217" s="7678"/>
      <c r="CO217" s="7679"/>
      <c r="CP217" s="7679"/>
      <c r="CQ217" s="7679"/>
      <c r="CR217" s="7679"/>
      <c r="CS217" s="7679"/>
      <c r="CT217" s="7680"/>
      <c r="CU217" s="7680"/>
      <c r="CV217" s="1231" t="s">
        <v>658</v>
      </c>
      <c r="CW217" s="1562"/>
      <c r="CX217" s="1544"/>
      <c r="CY217" s="1544" t="str">
        <f t="shared" si="3"/>
        <v>Группа потребителей</v>
      </c>
      <c r="CZ217" s="1544"/>
      <c r="DA217" s="1544"/>
    </row>
    <row r="218" spans="1:105" s="1827" customFormat="1" ht="23.25" customHeight="1">
      <c r="A218" s="1284"/>
      <c r="B218" s="1284"/>
      <c r="C218" s="1284"/>
      <c r="D218" s="1284"/>
      <c r="E218" s="7690" t="s">
        <v>102</v>
      </c>
      <c r="F218" s="7690"/>
      <c r="G218" s="7690"/>
      <c r="H218" s="7690"/>
      <c r="I218" s="7710"/>
      <c r="J218" s="7710"/>
      <c r="K218" s="7687" t="str">
        <f>J217&amp;".1"</f>
        <v>12.1.1.1.1.1</v>
      </c>
      <c r="L218" s="1290"/>
      <c r="M218" s="1696"/>
      <c r="N218" s="1696"/>
      <c r="O218" s="1696"/>
      <c r="P218" s="7688"/>
      <c r="Q218" s="7688"/>
      <c r="R218" s="278">
        <v>1</v>
      </c>
      <c r="S218" s="1813" t="str">
        <f>$K218</f>
        <v>12.1.1.1.1.1</v>
      </c>
      <c r="T218" s="1357" t="s">
        <v>672</v>
      </c>
      <c r="U218" s="214"/>
      <c r="V218" s="666"/>
      <c r="W218" s="666"/>
      <c r="X218" s="1181"/>
      <c r="Y218" s="7692"/>
      <c r="Z218" s="7540" t="s">
        <v>60</v>
      </c>
      <c r="AA218" s="7692"/>
      <c r="AB218" s="7540" t="s">
        <v>60</v>
      </c>
      <c r="AC218" s="666">
        <v>31.85</v>
      </c>
      <c r="AD218" s="666"/>
      <c r="AE218" s="1181"/>
      <c r="AF218" s="7692">
        <v>45292</v>
      </c>
      <c r="AG218" s="7540" t="s">
        <v>60</v>
      </c>
      <c r="AH218" s="7711">
        <v>45473</v>
      </c>
      <c r="AI218" s="7540" t="s">
        <v>60</v>
      </c>
      <c r="AJ218" s="666">
        <v>34.72</v>
      </c>
      <c r="AK218" s="666"/>
      <c r="AL218" s="1181"/>
      <c r="AM218" s="7692">
        <v>45474</v>
      </c>
      <c r="AN218" s="7540" t="s">
        <v>60</v>
      </c>
      <c r="AO218" s="7692">
        <v>45657</v>
      </c>
      <c r="AP218" s="7540" t="s">
        <v>60</v>
      </c>
      <c r="AQ218" s="666">
        <v>34.72</v>
      </c>
      <c r="AR218" s="666"/>
      <c r="AS218" s="1181"/>
      <c r="AT218" s="7692">
        <v>45658</v>
      </c>
      <c r="AU218" s="7540" t="s">
        <v>60</v>
      </c>
      <c r="AV218" s="7692">
        <v>45838</v>
      </c>
      <c r="AW218" s="7540" t="s">
        <v>60</v>
      </c>
      <c r="AX218" s="666">
        <v>36.700000000000003</v>
      </c>
      <c r="AY218" s="666"/>
      <c r="AZ218" s="1181"/>
      <c r="BA218" s="7692">
        <v>45839</v>
      </c>
      <c r="BB218" s="7540" t="s">
        <v>60</v>
      </c>
      <c r="BC218" s="7692">
        <v>46022</v>
      </c>
      <c r="BD218" s="7540" t="s">
        <v>60</v>
      </c>
      <c r="BE218" s="666">
        <v>36.700000000000003</v>
      </c>
      <c r="BF218" s="666"/>
      <c r="BG218" s="1181"/>
      <c r="BH218" s="7692">
        <v>46023</v>
      </c>
      <c r="BI218" s="7540" t="s">
        <v>60</v>
      </c>
      <c r="BJ218" s="7692">
        <v>46203</v>
      </c>
      <c r="BK218" s="7540" t="s">
        <v>60</v>
      </c>
      <c r="BL218" s="666">
        <v>38.17</v>
      </c>
      <c r="BM218" s="666"/>
      <c r="BN218" s="1181"/>
      <c r="BO218" s="7692">
        <v>46204</v>
      </c>
      <c r="BP218" s="7540" t="s">
        <v>60</v>
      </c>
      <c r="BQ218" s="7692">
        <v>46387</v>
      </c>
      <c r="BR218" s="7540" t="s">
        <v>60</v>
      </c>
      <c r="BS218" s="666">
        <v>38.17</v>
      </c>
      <c r="BT218" s="666"/>
      <c r="BU218" s="1181"/>
      <c r="BV218" s="7692">
        <v>46388</v>
      </c>
      <c r="BW218" s="7540" t="s">
        <v>60</v>
      </c>
      <c r="BX218" s="7692">
        <v>46568</v>
      </c>
      <c r="BY218" s="7540" t="s">
        <v>60</v>
      </c>
      <c r="BZ218" s="666">
        <v>39.700000000000003</v>
      </c>
      <c r="CA218" s="666"/>
      <c r="CB218" s="1181"/>
      <c r="CC218" s="7692">
        <v>46569</v>
      </c>
      <c r="CD218" s="7540" t="s">
        <v>60</v>
      </c>
      <c r="CE218" s="7692">
        <v>46752</v>
      </c>
      <c r="CF218" s="7540" t="s">
        <v>60</v>
      </c>
      <c r="CG218" s="666">
        <v>39.700000000000003</v>
      </c>
      <c r="CH218" s="666"/>
      <c r="CI218" s="1181"/>
      <c r="CJ218" s="7692">
        <v>46753</v>
      </c>
      <c r="CK218" s="7540" t="s">
        <v>60</v>
      </c>
      <c r="CL218" s="7692">
        <v>46934</v>
      </c>
      <c r="CM218" s="7540" t="s">
        <v>60</v>
      </c>
      <c r="CN218" s="666">
        <v>41.29</v>
      </c>
      <c r="CO218" s="666"/>
      <c r="CP218" s="1181"/>
      <c r="CQ218" s="7692">
        <v>46935</v>
      </c>
      <c r="CR218" s="7540" t="s">
        <v>60</v>
      </c>
      <c r="CS218" s="7692">
        <v>47118</v>
      </c>
      <c r="CT218" s="7540" t="s">
        <v>60</v>
      </c>
      <c r="CU218" s="1358"/>
      <c r="CV218"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18" s="1562" t="e">
        <f ca="1">STRCHECKDATE(V219:CU219)</f>
        <v>#NAME?</v>
      </c>
      <c r="CX218" s="1544"/>
      <c r="CY218" s="1544" t="str">
        <f t="shared" si="3"/>
        <v>Тариф для населения, руб. за 1 куб. метр с НДС</v>
      </c>
      <c r="CZ218" s="1544"/>
      <c r="DA218" s="1544"/>
    </row>
    <row r="219" spans="1:105" s="1827" customFormat="1" ht="14.25" customHeight="1">
      <c r="A219" s="1284"/>
      <c r="B219" s="1284"/>
      <c r="C219" s="1284"/>
      <c r="D219" s="1284"/>
      <c r="E219" s="7690" t="s">
        <v>102</v>
      </c>
      <c r="F219" s="7690"/>
      <c r="G219" s="7690"/>
      <c r="H219" s="7690"/>
      <c r="I219" s="7710"/>
      <c r="J219" s="7710"/>
      <c r="K219" s="7687"/>
      <c r="L219" s="1290"/>
      <c r="M219" s="1696"/>
      <c r="N219" s="1696"/>
      <c r="O219" s="1696"/>
      <c r="P219" s="7688"/>
      <c r="Q219" s="7688"/>
      <c r="R219" s="278"/>
      <c r="S219" s="1822"/>
      <c r="T219" s="214"/>
      <c r="U219" s="214"/>
      <c r="V219" s="246"/>
      <c r="W219" s="246"/>
      <c r="X219" s="250" t="str">
        <f>Y218&amp;"-"&amp;AA218</f>
        <v>-</v>
      </c>
      <c r="Y219" s="7693"/>
      <c r="Z219" s="7540"/>
      <c r="AA219" s="7693"/>
      <c r="AB219" s="7540"/>
      <c r="AC219" s="246"/>
      <c r="AD219" s="246"/>
      <c r="AE219" s="250" t="str">
        <f>AF218&amp;"-"&amp;AH218</f>
        <v>45292-45473</v>
      </c>
      <c r="AF219" s="7693"/>
      <c r="AG219" s="7540"/>
      <c r="AH219" s="7712"/>
      <c r="AI219" s="7540"/>
      <c r="AJ219" s="246"/>
      <c r="AK219" s="246"/>
      <c r="AL219" s="250" t="str">
        <f>AM218&amp;"-"&amp;AO218</f>
        <v>45474-45657</v>
      </c>
      <c r="AM219" s="7693"/>
      <c r="AN219" s="7540"/>
      <c r="AO219" s="7693"/>
      <c r="AP219" s="7540"/>
      <c r="AQ219" s="246"/>
      <c r="AR219" s="246"/>
      <c r="AS219" s="250" t="str">
        <f>AT218&amp;"-"&amp;AV218</f>
        <v>45658-45838</v>
      </c>
      <c r="AT219" s="7693"/>
      <c r="AU219" s="7540"/>
      <c r="AV219" s="7693"/>
      <c r="AW219" s="7540"/>
      <c r="AX219" s="246"/>
      <c r="AY219" s="246"/>
      <c r="AZ219" s="250" t="str">
        <f>BA218&amp;"-"&amp;BC218</f>
        <v>45839-46022</v>
      </c>
      <c r="BA219" s="7693"/>
      <c r="BB219" s="7540"/>
      <c r="BC219" s="7693"/>
      <c r="BD219" s="7540"/>
      <c r="BE219" s="246"/>
      <c r="BF219" s="246"/>
      <c r="BG219" s="250" t="str">
        <f>BH218&amp;"-"&amp;BJ218</f>
        <v>46023-46203</v>
      </c>
      <c r="BH219" s="7693"/>
      <c r="BI219" s="7540"/>
      <c r="BJ219" s="7693"/>
      <c r="BK219" s="7540"/>
      <c r="BL219" s="246"/>
      <c r="BM219" s="246"/>
      <c r="BN219" s="250" t="str">
        <f>BO218&amp;"-"&amp;BQ218</f>
        <v>46204-46387</v>
      </c>
      <c r="BO219" s="7693"/>
      <c r="BP219" s="7540"/>
      <c r="BQ219" s="7693"/>
      <c r="BR219" s="7540"/>
      <c r="BS219" s="246"/>
      <c r="BT219" s="246"/>
      <c r="BU219" s="250" t="str">
        <f>BV218&amp;"-"&amp;BX218</f>
        <v>46388-46568</v>
      </c>
      <c r="BV219" s="7693"/>
      <c r="BW219" s="7540"/>
      <c r="BX219" s="7693"/>
      <c r="BY219" s="7540"/>
      <c r="BZ219" s="246"/>
      <c r="CA219" s="246"/>
      <c r="CB219" s="250" t="str">
        <f>CC218&amp;"-"&amp;CE218</f>
        <v>46569-46752</v>
      </c>
      <c r="CC219" s="7693"/>
      <c r="CD219" s="7540"/>
      <c r="CE219" s="7693"/>
      <c r="CF219" s="7540"/>
      <c r="CG219" s="246"/>
      <c r="CH219" s="246"/>
      <c r="CI219" s="250" t="str">
        <f>CJ218&amp;"-"&amp;CL218</f>
        <v>46753-46934</v>
      </c>
      <c r="CJ219" s="7693"/>
      <c r="CK219" s="7540"/>
      <c r="CL219" s="7693"/>
      <c r="CM219" s="7540"/>
      <c r="CN219" s="246"/>
      <c r="CO219" s="246"/>
      <c r="CP219" s="250" t="str">
        <f>CQ218&amp;"-"&amp;CS218</f>
        <v>46935-47118</v>
      </c>
      <c r="CQ219" s="7693"/>
      <c r="CR219" s="7540"/>
      <c r="CS219" s="7693"/>
      <c r="CT219" s="7540"/>
      <c r="CU219" s="1359"/>
      <c r="CV219" s="7747"/>
      <c r="CW219" s="1562"/>
      <c r="CX219" s="1544"/>
      <c r="CY219" s="1544" t="str">
        <f t="shared" si="3"/>
        <v/>
      </c>
      <c r="CZ219" s="1544"/>
      <c r="DA219" s="1544"/>
    </row>
    <row r="220" spans="1:105" s="1827" customFormat="1" ht="21" customHeight="1">
      <c r="A220" s="1284"/>
      <c r="B220" s="1284"/>
      <c r="C220" s="1284"/>
      <c r="D220" s="1284"/>
      <c r="E220" s="7690" t="s">
        <v>102</v>
      </c>
      <c r="F220" s="7690"/>
      <c r="G220" s="7690"/>
      <c r="H220" s="7690"/>
      <c r="I220" s="7710"/>
      <c r="J220" s="7687"/>
      <c r="K220" s="1284"/>
      <c r="L220" s="1290"/>
      <c r="M220" s="1696"/>
      <c r="N220" s="1696"/>
      <c r="O220" s="1696"/>
      <c r="P220" s="7688"/>
      <c r="Q220" s="7688"/>
      <c r="R220" s="277"/>
      <c r="S220" s="5503"/>
      <c r="T220" s="5504" t="s">
        <v>659</v>
      </c>
      <c r="U220" s="5505"/>
      <c r="V220" s="5506"/>
      <c r="W220" s="5507"/>
      <c r="X220" s="5508"/>
      <c r="Y220" s="5509"/>
      <c r="Z220" s="5510"/>
      <c r="AA220" s="5511"/>
      <c r="AB220" s="5512"/>
      <c r="AC220" s="5513"/>
      <c r="AD220" s="5514"/>
      <c r="AE220" s="5515"/>
      <c r="AF220" s="5516"/>
      <c r="AG220" s="5517"/>
      <c r="AH220" s="5518"/>
      <c r="AI220" s="5519"/>
      <c r="AJ220" s="5520"/>
      <c r="AK220" s="5521"/>
      <c r="AL220" s="5522"/>
      <c r="AM220" s="5523"/>
      <c r="AN220" s="5524"/>
      <c r="AO220" s="5525"/>
      <c r="AP220" s="5526"/>
      <c r="AQ220" s="5527"/>
      <c r="AR220" s="5528"/>
      <c r="AS220" s="5529"/>
      <c r="AT220" s="5530"/>
      <c r="AU220" s="5531"/>
      <c r="AV220" s="5532"/>
      <c r="AW220" s="5533"/>
      <c r="AX220" s="5534"/>
      <c r="AY220" s="5535"/>
      <c r="AZ220" s="5536"/>
      <c r="BA220" s="5537"/>
      <c r="BB220" s="5538"/>
      <c r="BC220" s="5539"/>
      <c r="BD220" s="5540"/>
      <c r="BE220" s="5541"/>
      <c r="BF220" s="5542"/>
      <c r="BG220" s="5543"/>
      <c r="BH220" s="5544"/>
      <c r="BI220" s="5545"/>
      <c r="BJ220" s="5546"/>
      <c r="BK220" s="5547"/>
      <c r="BL220" s="5548"/>
      <c r="BM220" s="5549"/>
      <c r="BN220" s="5550"/>
      <c r="BO220" s="5551"/>
      <c r="BP220" s="5552"/>
      <c r="BQ220" s="5553"/>
      <c r="BR220" s="5554"/>
      <c r="BS220" s="5555"/>
      <c r="BT220" s="5556"/>
      <c r="BU220" s="5557"/>
      <c r="BV220" s="5558"/>
      <c r="BW220" s="5559"/>
      <c r="BX220" s="5560"/>
      <c r="BY220" s="5561"/>
      <c r="BZ220" s="5562"/>
      <c r="CA220" s="5563"/>
      <c r="CB220" s="5564"/>
      <c r="CC220" s="5565"/>
      <c r="CD220" s="5566"/>
      <c r="CE220" s="5567"/>
      <c r="CF220" s="5568"/>
      <c r="CG220" s="5569"/>
      <c r="CH220" s="5570"/>
      <c r="CI220" s="5571"/>
      <c r="CJ220" s="5572"/>
      <c r="CK220" s="5573"/>
      <c r="CL220" s="5574"/>
      <c r="CM220" s="5575"/>
      <c r="CN220" s="5576"/>
      <c r="CO220" s="5577"/>
      <c r="CP220" s="5578"/>
      <c r="CQ220" s="5579"/>
      <c r="CR220" s="5580"/>
      <c r="CS220" s="5581"/>
      <c r="CT220" s="5582"/>
      <c r="CU220" s="5583"/>
      <c r="CV220" s="1182" t="s">
        <v>660</v>
      </c>
      <c r="CW220" s="1562"/>
      <c r="CX220" s="1544"/>
      <c r="CY220" s="1544" t="str">
        <f t="shared" si="3"/>
        <v>Добавить значение признака дифференциации</v>
      </c>
      <c r="CZ220" s="1544"/>
      <c r="DA220" s="1544"/>
    </row>
    <row r="221" spans="1:105" s="1827" customFormat="1" ht="23.25" customHeight="1">
      <c r="A221" s="1284"/>
      <c r="B221" s="1284"/>
      <c r="C221" s="1284"/>
      <c r="D221" s="1284"/>
      <c r="E221" s="7690"/>
      <c r="F221" s="7690"/>
      <c r="G221" s="7690"/>
      <c r="H221" s="7690"/>
      <c r="I221" s="7710"/>
      <c r="J221" s="7687" t="str">
        <f>I216&amp;".2"</f>
        <v>12.1.1.1.2</v>
      </c>
      <c r="K221" s="1284"/>
      <c r="L221" s="1290" t="s">
        <v>582</v>
      </c>
      <c r="M221" s="1696"/>
      <c r="N221" s="1696"/>
      <c r="O221" s="1696"/>
      <c r="P221" s="7688"/>
      <c r="Q221" s="7754" t="s">
        <v>101</v>
      </c>
      <c r="R221" s="278"/>
      <c r="S221" s="1813" t="str">
        <f>$J221</f>
        <v>12.1.1.1.2</v>
      </c>
      <c r="T221" s="201" t="s">
        <v>583</v>
      </c>
      <c r="U221" s="214"/>
      <c r="V221" s="7678"/>
      <c r="W221" s="7679"/>
      <c r="X221" s="7679"/>
      <c r="Y221" s="7679"/>
      <c r="Z221" s="7679"/>
      <c r="AA221" s="7679"/>
      <c r="AB221" s="7680"/>
      <c r="AC221" s="7678" t="s">
        <v>669</v>
      </c>
      <c r="AD221" s="7679"/>
      <c r="AE221" s="7679"/>
      <c r="AF221" s="7679"/>
      <c r="AG221" s="7679"/>
      <c r="AH221" s="7679"/>
      <c r="AI221" s="7679"/>
      <c r="AJ221" s="7678"/>
      <c r="AK221" s="7679"/>
      <c r="AL221" s="7679"/>
      <c r="AM221" s="7679"/>
      <c r="AN221" s="7679"/>
      <c r="AO221" s="7679"/>
      <c r="AP221" s="7680"/>
      <c r="AQ221" s="7678"/>
      <c r="AR221" s="7679"/>
      <c r="AS221" s="7679"/>
      <c r="AT221" s="7679"/>
      <c r="AU221" s="7679"/>
      <c r="AV221" s="7679"/>
      <c r="AW221" s="7680"/>
      <c r="AX221" s="7678"/>
      <c r="AY221" s="7679"/>
      <c r="AZ221" s="7679"/>
      <c r="BA221" s="7679"/>
      <c r="BB221" s="7679"/>
      <c r="BC221" s="7679"/>
      <c r="BD221" s="7680"/>
      <c r="BE221" s="7678"/>
      <c r="BF221" s="7679"/>
      <c r="BG221" s="7679"/>
      <c r="BH221" s="7679"/>
      <c r="BI221" s="7679"/>
      <c r="BJ221" s="7679"/>
      <c r="BK221" s="7680"/>
      <c r="BL221" s="7678"/>
      <c r="BM221" s="7679"/>
      <c r="BN221" s="7679"/>
      <c r="BO221" s="7679"/>
      <c r="BP221" s="7679"/>
      <c r="BQ221" s="7679"/>
      <c r="BR221" s="7680"/>
      <c r="BS221" s="7678"/>
      <c r="BT221" s="7679"/>
      <c r="BU221" s="7679"/>
      <c r="BV221" s="7679"/>
      <c r="BW221" s="7679"/>
      <c r="BX221" s="7679"/>
      <c r="BY221" s="7680"/>
      <c r="BZ221" s="7678"/>
      <c r="CA221" s="7679"/>
      <c r="CB221" s="7679"/>
      <c r="CC221" s="7679"/>
      <c r="CD221" s="7679"/>
      <c r="CE221" s="7679"/>
      <c r="CF221" s="7680"/>
      <c r="CG221" s="7678"/>
      <c r="CH221" s="7679"/>
      <c r="CI221" s="7679"/>
      <c r="CJ221" s="7679"/>
      <c r="CK221" s="7679"/>
      <c r="CL221" s="7679"/>
      <c r="CM221" s="7680"/>
      <c r="CN221" s="7678"/>
      <c r="CO221" s="7679"/>
      <c r="CP221" s="7679"/>
      <c r="CQ221" s="7679"/>
      <c r="CR221" s="7679"/>
      <c r="CS221" s="7679"/>
      <c r="CT221" s="7680"/>
      <c r="CU221" s="7680"/>
      <c r="CV221" s="1231" t="s">
        <v>658</v>
      </c>
      <c r="CW221" s="1562"/>
      <c r="CX221" s="1544"/>
      <c r="CY221" s="1544" t="str">
        <f t="shared" si="3"/>
        <v>Группа потребителей</v>
      </c>
      <c r="CZ221" s="1544"/>
      <c r="DA221" s="1544"/>
    </row>
    <row r="222" spans="1:105" s="1827" customFormat="1" ht="23.25" customHeight="1">
      <c r="A222" s="1284"/>
      <c r="B222" s="1284"/>
      <c r="C222" s="1284"/>
      <c r="D222" s="1284"/>
      <c r="E222" s="7690"/>
      <c r="F222" s="7690"/>
      <c r="G222" s="7690"/>
      <c r="H222" s="7690"/>
      <c r="I222" s="7710"/>
      <c r="J222" s="7710" t="str">
        <f>I216&amp;".1"</f>
        <v>12.1.1.1.1</v>
      </c>
      <c r="K222" s="7687" t="str">
        <f>J221&amp;".1"</f>
        <v>12.1.1.1.2.1</v>
      </c>
      <c r="L222" s="1290"/>
      <c r="M222" s="1696"/>
      <c r="N222" s="1696"/>
      <c r="O222" s="1696"/>
      <c r="P222" s="7688"/>
      <c r="Q222" s="7688"/>
      <c r="R222" s="278">
        <v>1</v>
      </c>
      <c r="S222" s="1813" t="str">
        <f>$K222</f>
        <v>12.1.1.1.2.1</v>
      </c>
      <c r="T222" s="1357" t="s">
        <v>670</v>
      </c>
      <c r="U222" s="214"/>
      <c r="V222" s="666"/>
      <c r="W222" s="666"/>
      <c r="X222" s="1181"/>
      <c r="Y222" s="7692"/>
      <c r="Z222" s="7540" t="s">
        <v>60</v>
      </c>
      <c r="AA222" s="7692"/>
      <c r="AB222" s="7540" t="s">
        <v>60</v>
      </c>
      <c r="AC222" s="666">
        <v>61.08</v>
      </c>
      <c r="AD222" s="666"/>
      <c r="AE222" s="1181"/>
      <c r="AF222" s="7692">
        <v>45292</v>
      </c>
      <c r="AG222" s="7540" t="s">
        <v>60</v>
      </c>
      <c r="AH222" s="7711">
        <v>45473</v>
      </c>
      <c r="AI222" s="7540" t="s">
        <v>60</v>
      </c>
      <c r="AJ222" s="666">
        <v>84.09</v>
      </c>
      <c r="AK222" s="666"/>
      <c r="AL222" s="1181"/>
      <c r="AM222" s="7692">
        <v>45474</v>
      </c>
      <c r="AN222" s="7540" t="s">
        <v>60</v>
      </c>
      <c r="AO222" s="7692">
        <v>45657</v>
      </c>
      <c r="AP222" s="7540" t="s">
        <v>60</v>
      </c>
      <c r="AQ222" s="666">
        <v>77.19</v>
      </c>
      <c r="AR222" s="666"/>
      <c r="AS222" s="1181"/>
      <c r="AT222" s="7692">
        <v>45658</v>
      </c>
      <c r="AU222" s="7540" t="s">
        <v>60</v>
      </c>
      <c r="AV222" s="7692">
        <v>45838</v>
      </c>
      <c r="AW222" s="7540" t="s">
        <v>60</v>
      </c>
      <c r="AX222" s="666">
        <v>77.19</v>
      </c>
      <c r="AY222" s="666"/>
      <c r="AZ222" s="1181"/>
      <c r="BA222" s="7692">
        <v>45839</v>
      </c>
      <c r="BB222" s="7540" t="s">
        <v>60</v>
      </c>
      <c r="BC222" s="7692">
        <v>46022</v>
      </c>
      <c r="BD222" s="7540" t="s">
        <v>60</v>
      </c>
      <c r="BE222" s="666">
        <v>77.19</v>
      </c>
      <c r="BF222" s="666"/>
      <c r="BG222" s="1181"/>
      <c r="BH222" s="7692">
        <v>46023</v>
      </c>
      <c r="BI222" s="7540" t="s">
        <v>60</v>
      </c>
      <c r="BJ222" s="7692">
        <v>46203</v>
      </c>
      <c r="BK222" s="7540" t="s">
        <v>60</v>
      </c>
      <c r="BL222" s="666">
        <v>77.97</v>
      </c>
      <c r="BM222" s="666"/>
      <c r="BN222" s="1181"/>
      <c r="BO222" s="7692">
        <v>46204</v>
      </c>
      <c r="BP222" s="7540" t="s">
        <v>60</v>
      </c>
      <c r="BQ222" s="7692">
        <v>46387</v>
      </c>
      <c r="BR222" s="7540" t="s">
        <v>60</v>
      </c>
      <c r="BS222" s="666">
        <v>77.97</v>
      </c>
      <c r="BT222" s="666"/>
      <c r="BU222" s="1181"/>
      <c r="BV222" s="7692">
        <v>46388</v>
      </c>
      <c r="BW222" s="7540" t="s">
        <v>60</v>
      </c>
      <c r="BX222" s="7692">
        <v>46568</v>
      </c>
      <c r="BY222" s="7540" t="s">
        <v>60</v>
      </c>
      <c r="BZ222" s="666">
        <v>82.24</v>
      </c>
      <c r="CA222" s="666"/>
      <c r="CB222" s="1181"/>
      <c r="CC222" s="7692">
        <v>46569</v>
      </c>
      <c r="CD222" s="7540" t="s">
        <v>60</v>
      </c>
      <c r="CE222" s="7692">
        <v>46752</v>
      </c>
      <c r="CF222" s="7540" t="s">
        <v>60</v>
      </c>
      <c r="CG222" s="666">
        <v>82.24</v>
      </c>
      <c r="CH222" s="666"/>
      <c r="CI222" s="1181"/>
      <c r="CJ222" s="7692">
        <v>46753</v>
      </c>
      <c r="CK222" s="7540" t="s">
        <v>60</v>
      </c>
      <c r="CL222" s="7692">
        <v>46934</v>
      </c>
      <c r="CM222" s="7540" t="s">
        <v>60</v>
      </c>
      <c r="CN222" s="666">
        <v>84.74</v>
      </c>
      <c r="CO222" s="666"/>
      <c r="CP222" s="1181"/>
      <c r="CQ222" s="7692">
        <v>46935</v>
      </c>
      <c r="CR222" s="7540" t="s">
        <v>60</v>
      </c>
      <c r="CS222" s="7692">
        <v>47118</v>
      </c>
      <c r="CT222" s="7540" t="s">
        <v>60</v>
      </c>
      <c r="CU222" s="1358"/>
      <c r="CV222"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22" s="1562" t="e">
        <f ca="1">STRCHECKDATE(V223:CU223)</f>
        <v>#NAME?</v>
      </c>
      <c r="CX222" s="1544"/>
      <c r="CY222" s="1544" t="str">
        <f t="shared" si="3"/>
        <v>Тариф, руб. за 1 куб. метр без НДС</v>
      </c>
      <c r="CZ222" s="1544"/>
      <c r="DA222" s="1544"/>
    </row>
    <row r="223" spans="1:105" s="1827" customFormat="1" ht="14.25" customHeight="1">
      <c r="A223" s="1284"/>
      <c r="B223" s="1284"/>
      <c r="C223" s="1284"/>
      <c r="D223" s="1284"/>
      <c r="E223" s="7690"/>
      <c r="F223" s="7690"/>
      <c r="G223" s="7690"/>
      <c r="H223" s="7690"/>
      <c r="I223" s="7710"/>
      <c r="J223" s="7710" t="str">
        <f>I216&amp;".1"</f>
        <v>12.1.1.1.1</v>
      </c>
      <c r="K223" s="7687"/>
      <c r="L223" s="1290"/>
      <c r="M223" s="1696"/>
      <c r="N223" s="1696"/>
      <c r="O223" s="1696"/>
      <c r="P223" s="7688"/>
      <c r="Q223" s="7688"/>
      <c r="R223" s="278"/>
      <c r="S223" s="1822"/>
      <c r="T223" s="214"/>
      <c r="U223" s="214"/>
      <c r="V223" s="246"/>
      <c r="W223" s="246"/>
      <c r="X223" s="250" t="str">
        <f>Y222&amp;"-"&amp;AA222</f>
        <v>-</v>
      </c>
      <c r="Y223" s="7693"/>
      <c r="Z223" s="7540"/>
      <c r="AA223" s="7693"/>
      <c r="AB223" s="7540"/>
      <c r="AC223" s="246"/>
      <c r="AD223" s="246"/>
      <c r="AE223" s="250" t="str">
        <f>AF222&amp;"-"&amp;AH222</f>
        <v>45292-45473</v>
      </c>
      <c r="AF223" s="7693"/>
      <c r="AG223" s="7540"/>
      <c r="AH223" s="7712"/>
      <c r="AI223" s="7540"/>
      <c r="AJ223" s="246"/>
      <c r="AK223" s="246"/>
      <c r="AL223" s="250" t="str">
        <f>AM222&amp;"-"&amp;AO222</f>
        <v>45474-45657</v>
      </c>
      <c r="AM223" s="7693"/>
      <c r="AN223" s="7540"/>
      <c r="AO223" s="7693"/>
      <c r="AP223" s="7540"/>
      <c r="AQ223" s="246"/>
      <c r="AR223" s="246"/>
      <c r="AS223" s="250" t="str">
        <f>AT222&amp;"-"&amp;AV222</f>
        <v>45658-45838</v>
      </c>
      <c r="AT223" s="7693"/>
      <c r="AU223" s="7540"/>
      <c r="AV223" s="7693"/>
      <c r="AW223" s="7540"/>
      <c r="AX223" s="246"/>
      <c r="AY223" s="246"/>
      <c r="AZ223" s="250" t="str">
        <f>BA222&amp;"-"&amp;BC222</f>
        <v>45839-46022</v>
      </c>
      <c r="BA223" s="7693"/>
      <c r="BB223" s="7540"/>
      <c r="BC223" s="7693"/>
      <c r="BD223" s="7540"/>
      <c r="BE223" s="246"/>
      <c r="BF223" s="246"/>
      <c r="BG223" s="250" t="str">
        <f>BH222&amp;"-"&amp;BJ222</f>
        <v>46023-46203</v>
      </c>
      <c r="BH223" s="7693"/>
      <c r="BI223" s="7540"/>
      <c r="BJ223" s="7693"/>
      <c r="BK223" s="7540"/>
      <c r="BL223" s="246"/>
      <c r="BM223" s="246"/>
      <c r="BN223" s="250" t="str">
        <f>BO222&amp;"-"&amp;BQ222</f>
        <v>46204-46387</v>
      </c>
      <c r="BO223" s="7693"/>
      <c r="BP223" s="7540"/>
      <c r="BQ223" s="7693"/>
      <c r="BR223" s="7540"/>
      <c r="BS223" s="246"/>
      <c r="BT223" s="246"/>
      <c r="BU223" s="250" t="str">
        <f>BV222&amp;"-"&amp;BX222</f>
        <v>46388-46568</v>
      </c>
      <c r="BV223" s="7693"/>
      <c r="BW223" s="7540"/>
      <c r="BX223" s="7693"/>
      <c r="BY223" s="7540"/>
      <c r="BZ223" s="246"/>
      <c r="CA223" s="246"/>
      <c r="CB223" s="250" t="str">
        <f>CC222&amp;"-"&amp;CE222</f>
        <v>46569-46752</v>
      </c>
      <c r="CC223" s="7693"/>
      <c r="CD223" s="7540"/>
      <c r="CE223" s="7693"/>
      <c r="CF223" s="7540"/>
      <c r="CG223" s="246"/>
      <c r="CH223" s="246"/>
      <c r="CI223" s="250" t="str">
        <f>CJ222&amp;"-"&amp;CL222</f>
        <v>46753-46934</v>
      </c>
      <c r="CJ223" s="7693"/>
      <c r="CK223" s="7540"/>
      <c r="CL223" s="7693"/>
      <c r="CM223" s="7540"/>
      <c r="CN223" s="246"/>
      <c r="CO223" s="246"/>
      <c r="CP223" s="250" t="str">
        <f>CQ222&amp;"-"&amp;CS222</f>
        <v>46935-47118</v>
      </c>
      <c r="CQ223" s="7693"/>
      <c r="CR223" s="7540"/>
      <c r="CS223" s="7693"/>
      <c r="CT223" s="7540"/>
      <c r="CU223" s="1359"/>
      <c r="CV223" s="7747"/>
      <c r="CW223" s="1562"/>
      <c r="CX223" s="1544"/>
      <c r="CY223" s="1544" t="str">
        <f t="shared" si="3"/>
        <v/>
      </c>
      <c r="CZ223" s="1544"/>
      <c r="DA223" s="1544"/>
    </row>
    <row r="224" spans="1:105" s="1827" customFormat="1" ht="21" customHeight="1">
      <c r="A224" s="1284"/>
      <c r="B224" s="1284"/>
      <c r="C224" s="1284"/>
      <c r="D224" s="1284"/>
      <c r="E224" s="7690"/>
      <c r="F224" s="7690"/>
      <c r="G224" s="7690"/>
      <c r="H224" s="7690"/>
      <c r="I224" s="7710"/>
      <c r="J224" s="7687" t="str">
        <f>I216&amp;".1"</f>
        <v>12.1.1.1.1</v>
      </c>
      <c r="K224" s="1284"/>
      <c r="L224" s="1290"/>
      <c r="M224" s="1696"/>
      <c r="N224" s="1696"/>
      <c r="O224" s="1696"/>
      <c r="P224" s="7688"/>
      <c r="Q224" s="7688"/>
      <c r="R224" s="277"/>
      <c r="S224" s="5584"/>
      <c r="T224" s="5585" t="s">
        <v>659</v>
      </c>
      <c r="U224" s="5586"/>
      <c r="V224" s="5587"/>
      <c r="W224" s="5588"/>
      <c r="X224" s="5589"/>
      <c r="Y224" s="5590"/>
      <c r="Z224" s="5591"/>
      <c r="AA224" s="5592"/>
      <c r="AB224" s="5593"/>
      <c r="AC224" s="5594"/>
      <c r="AD224" s="5595"/>
      <c r="AE224" s="5596"/>
      <c r="AF224" s="5597"/>
      <c r="AG224" s="5598"/>
      <c r="AH224" s="5599"/>
      <c r="AI224" s="5600"/>
      <c r="AJ224" s="5601"/>
      <c r="AK224" s="5602"/>
      <c r="AL224" s="5603"/>
      <c r="AM224" s="5604"/>
      <c r="AN224" s="5605"/>
      <c r="AO224" s="5606"/>
      <c r="AP224" s="5607"/>
      <c r="AQ224" s="5608"/>
      <c r="AR224" s="5609"/>
      <c r="AS224" s="5610"/>
      <c r="AT224" s="5611"/>
      <c r="AU224" s="5612"/>
      <c r="AV224" s="5613"/>
      <c r="AW224" s="5614"/>
      <c r="AX224" s="5615"/>
      <c r="AY224" s="5616"/>
      <c r="AZ224" s="5617"/>
      <c r="BA224" s="5618"/>
      <c r="BB224" s="5619"/>
      <c r="BC224" s="5620"/>
      <c r="BD224" s="5621"/>
      <c r="BE224" s="5622"/>
      <c r="BF224" s="5623"/>
      <c r="BG224" s="5624"/>
      <c r="BH224" s="5625"/>
      <c r="BI224" s="5626"/>
      <c r="BJ224" s="5627"/>
      <c r="BK224" s="5628"/>
      <c r="BL224" s="5629"/>
      <c r="BM224" s="5630"/>
      <c r="BN224" s="5631"/>
      <c r="BO224" s="5632"/>
      <c r="BP224" s="5633"/>
      <c r="BQ224" s="5634"/>
      <c r="BR224" s="5635"/>
      <c r="BS224" s="5636"/>
      <c r="BT224" s="5637"/>
      <c r="BU224" s="5638"/>
      <c r="BV224" s="5639"/>
      <c r="BW224" s="5640"/>
      <c r="BX224" s="5641"/>
      <c r="BY224" s="5642"/>
      <c r="BZ224" s="5643"/>
      <c r="CA224" s="5644"/>
      <c r="CB224" s="5645"/>
      <c r="CC224" s="5646"/>
      <c r="CD224" s="5647"/>
      <c r="CE224" s="5648"/>
      <c r="CF224" s="5649"/>
      <c r="CG224" s="5650"/>
      <c r="CH224" s="5651"/>
      <c r="CI224" s="5652"/>
      <c r="CJ224" s="5653"/>
      <c r="CK224" s="5654"/>
      <c r="CL224" s="5655"/>
      <c r="CM224" s="5656"/>
      <c r="CN224" s="5657"/>
      <c r="CO224" s="5658"/>
      <c r="CP224" s="5659"/>
      <c r="CQ224" s="5660"/>
      <c r="CR224" s="5661"/>
      <c r="CS224" s="5662"/>
      <c r="CT224" s="5663"/>
      <c r="CU224" s="5664"/>
      <c r="CV224" s="1182" t="s">
        <v>660</v>
      </c>
      <c r="CW224" s="1562"/>
      <c r="CX224" s="1544"/>
      <c r="CY224" s="1544" t="str">
        <f t="shared" si="3"/>
        <v>Добавить значение признака дифференциации</v>
      </c>
      <c r="CZ224" s="1544"/>
      <c r="DA224" s="1544"/>
    </row>
    <row r="225" spans="1:105" s="1827" customFormat="1" ht="21" customHeight="1">
      <c r="A225" s="1284"/>
      <c r="B225" s="1284"/>
      <c r="C225" s="1284"/>
      <c r="D225" s="1284"/>
      <c r="E225" s="7690" t="s">
        <v>102</v>
      </c>
      <c r="F225" s="7690"/>
      <c r="G225" s="7690"/>
      <c r="H225" s="7690"/>
      <c r="I225" s="7687"/>
      <c r="J225" s="1284"/>
      <c r="K225" s="1284"/>
      <c r="L225" s="1290"/>
      <c r="M225" s="1696"/>
      <c r="N225" s="1696"/>
      <c r="O225" s="1696"/>
      <c r="P225" s="7688"/>
      <c r="Q225" s="1816"/>
      <c r="R225" s="277"/>
      <c r="S225" s="5665"/>
      <c r="T225" s="5666" t="s">
        <v>588</v>
      </c>
      <c r="U225" s="5667"/>
      <c r="V225" s="5668"/>
      <c r="W225" s="5669"/>
      <c r="X225" s="5670"/>
      <c r="Y225" s="5671"/>
      <c r="Z225" s="5672"/>
      <c r="AA225" s="5673"/>
      <c r="AB225" s="5674"/>
      <c r="AC225" s="5675"/>
      <c r="AD225" s="5676"/>
      <c r="AE225" s="5677"/>
      <c r="AF225" s="5678"/>
      <c r="AG225" s="5679"/>
      <c r="AH225" s="5680"/>
      <c r="AI225" s="5681"/>
      <c r="AJ225" s="5682"/>
      <c r="AK225" s="5683"/>
      <c r="AL225" s="5684"/>
      <c r="AM225" s="5685"/>
      <c r="AN225" s="5686"/>
      <c r="AO225" s="5687"/>
      <c r="AP225" s="5688"/>
      <c r="AQ225" s="5689"/>
      <c r="AR225" s="5690"/>
      <c r="AS225" s="5691"/>
      <c r="AT225" s="5692"/>
      <c r="AU225" s="5693"/>
      <c r="AV225" s="5694"/>
      <c r="AW225" s="5695"/>
      <c r="AX225" s="5696"/>
      <c r="AY225" s="5697"/>
      <c r="AZ225" s="5698"/>
      <c r="BA225" s="5699"/>
      <c r="BB225" s="5700"/>
      <c r="BC225" s="5701"/>
      <c r="BD225" s="5702"/>
      <c r="BE225" s="5703"/>
      <c r="BF225" s="5704"/>
      <c r="BG225" s="5705"/>
      <c r="BH225" s="5706"/>
      <c r="BI225" s="5707"/>
      <c r="BJ225" s="5708"/>
      <c r="BK225" s="5709"/>
      <c r="BL225" s="5710"/>
      <c r="BM225" s="5711"/>
      <c r="BN225" s="5712"/>
      <c r="BO225" s="5713"/>
      <c r="BP225" s="5714"/>
      <c r="BQ225" s="5715"/>
      <c r="BR225" s="5716"/>
      <c r="BS225" s="5717"/>
      <c r="BT225" s="5718"/>
      <c r="BU225" s="5719"/>
      <c r="BV225" s="5720"/>
      <c r="BW225" s="5721"/>
      <c r="BX225" s="5722"/>
      <c r="BY225" s="5723"/>
      <c r="BZ225" s="5724"/>
      <c r="CA225" s="5725"/>
      <c r="CB225" s="5726"/>
      <c r="CC225" s="5727"/>
      <c r="CD225" s="5728"/>
      <c r="CE225" s="5729"/>
      <c r="CF225" s="5730"/>
      <c r="CG225" s="5731"/>
      <c r="CH225" s="5732"/>
      <c r="CI225" s="5733"/>
      <c r="CJ225" s="5734"/>
      <c r="CK225" s="5735"/>
      <c r="CL225" s="5736"/>
      <c r="CM225" s="5737"/>
      <c r="CN225" s="5738"/>
      <c r="CO225" s="5739"/>
      <c r="CP225" s="5740"/>
      <c r="CQ225" s="5741"/>
      <c r="CR225" s="5742"/>
      <c r="CS225" s="5743"/>
      <c r="CT225" s="5744"/>
      <c r="CU225" s="5745"/>
      <c r="CV225" s="5746"/>
      <c r="CW225" s="1562"/>
      <c r="CX225" s="1544"/>
      <c r="CY225" s="1544" t="str">
        <f t="shared" si="3"/>
        <v>Добавить группу потребителей</v>
      </c>
      <c r="CZ225" s="1544"/>
      <c r="DA225" s="1544"/>
    </row>
    <row r="226" spans="1:105" s="1827" customFormat="1" ht="14.25" customHeight="1">
      <c r="A226" s="1284"/>
      <c r="B226" s="1284"/>
      <c r="C226" s="1284"/>
      <c r="D226" s="1284"/>
      <c r="E226" s="7690" t="s">
        <v>102</v>
      </c>
      <c r="F226" s="7690"/>
      <c r="G226" s="7690"/>
      <c r="H226" s="7689"/>
      <c r="I226" s="1284"/>
      <c r="J226" s="1284"/>
      <c r="K226" s="1284"/>
      <c r="L226" s="1290"/>
      <c r="M226" s="1286"/>
      <c r="N226" s="1286"/>
      <c r="O226" s="1287"/>
      <c r="P226" s="1742"/>
      <c r="Q226" s="299"/>
      <c r="R226" s="276"/>
      <c r="S226" s="5747"/>
      <c r="T226" s="5748" t="s">
        <v>661</v>
      </c>
      <c r="U226" s="5749"/>
      <c r="V226" s="5750"/>
      <c r="W226" s="5751"/>
      <c r="X226" s="5752"/>
      <c r="Y226" s="5753"/>
      <c r="Z226" s="5754"/>
      <c r="AA226" s="5755"/>
      <c r="AB226" s="5756"/>
      <c r="AC226" s="5757"/>
      <c r="AD226" s="5758"/>
      <c r="AE226" s="5759"/>
      <c r="AF226" s="5760"/>
      <c r="AG226" s="5761"/>
      <c r="AH226" s="5762"/>
      <c r="AI226" s="5763"/>
      <c r="AJ226" s="5764"/>
      <c r="AK226" s="5765"/>
      <c r="AL226" s="5766"/>
      <c r="AM226" s="5767"/>
      <c r="AN226" s="5768"/>
      <c r="AO226" s="5769"/>
      <c r="AP226" s="5770"/>
      <c r="AQ226" s="5771"/>
      <c r="AR226" s="5772"/>
      <c r="AS226" s="5773"/>
      <c r="AT226" s="5774"/>
      <c r="AU226" s="5775"/>
      <c r="AV226" s="5776"/>
      <c r="AW226" s="5777"/>
      <c r="AX226" s="5778"/>
      <c r="AY226" s="5779"/>
      <c r="AZ226" s="5780"/>
      <c r="BA226" s="5781"/>
      <c r="BB226" s="5782"/>
      <c r="BC226" s="5783"/>
      <c r="BD226" s="5784"/>
      <c r="BE226" s="5785"/>
      <c r="BF226" s="5786"/>
      <c r="BG226" s="5787"/>
      <c r="BH226" s="5788"/>
      <c r="BI226" s="5789"/>
      <c r="BJ226" s="5790"/>
      <c r="BK226" s="5791"/>
      <c r="BL226" s="5792"/>
      <c r="BM226" s="5793"/>
      <c r="BN226" s="5794"/>
      <c r="BO226" s="5795"/>
      <c r="BP226" s="5796"/>
      <c r="BQ226" s="5797"/>
      <c r="BR226" s="5798"/>
      <c r="BS226" s="5799"/>
      <c r="BT226" s="5800"/>
      <c r="BU226" s="5801"/>
      <c r="BV226" s="5802"/>
      <c r="BW226" s="5803"/>
      <c r="BX226" s="5804"/>
      <c r="BY226" s="5805"/>
      <c r="BZ226" s="5806"/>
      <c r="CA226" s="5807"/>
      <c r="CB226" s="5808"/>
      <c r="CC226" s="5809"/>
      <c r="CD226" s="5810"/>
      <c r="CE226" s="5811"/>
      <c r="CF226" s="5812"/>
      <c r="CG226" s="5813"/>
      <c r="CH226" s="5814"/>
      <c r="CI226" s="5815"/>
      <c r="CJ226" s="5816"/>
      <c r="CK226" s="5817"/>
      <c r="CL226" s="5818"/>
      <c r="CM226" s="5819"/>
      <c r="CN226" s="5820"/>
      <c r="CO226" s="5821"/>
      <c r="CP226" s="5822"/>
      <c r="CQ226" s="5823"/>
      <c r="CR226" s="5824"/>
      <c r="CS226" s="5825"/>
      <c r="CT226" s="5826"/>
      <c r="CU226" s="5827"/>
      <c r="CV226" s="5828"/>
      <c r="CW226" s="1562"/>
      <c r="CX226" s="1544"/>
      <c r="CY226" s="1544" t="str">
        <f t="shared" si="3"/>
        <v>Добавить наименование признака дифференциации</v>
      </c>
      <c r="CZ226" s="1544"/>
      <c r="DA226" s="1544"/>
    </row>
    <row r="227" spans="1:105" s="541" customFormat="1" ht="14.25" customHeight="1">
      <c r="A227" s="1265"/>
      <c r="B227" s="1265"/>
      <c r="C227" s="1265"/>
      <c r="D227" s="1265"/>
      <c r="E227" s="7690" t="s">
        <v>102</v>
      </c>
      <c r="F227" s="7689"/>
      <c r="G227" s="1265"/>
      <c r="H227" s="1265"/>
      <c r="I227" s="1265"/>
      <c r="J227" s="1265"/>
      <c r="K227" s="1265"/>
      <c r="L227" s="1466"/>
      <c r="M227" s="1244"/>
      <c r="N227" s="1244"/>
      <c r="O227" s="1562"/>
      <c r="P227" s="1239"/>
      <c r="Q227" s="1266"/>
      <c r="R227" s="1239"/>
      <c r="S227" s="1245"/>
      <c r="T227" s="1248" t="s">
        <v>325</v>
      </c>
      <c r="U227" s="1247"/>
      <c r="V227" s="1247"/>
      <c r="W227" s="1247"/>
      <c r="X227" s="1247"/>
      <c r="Y227" s="1247"/>
      <c r="Z227" s="1247"/>
      <c r="AA227" s="1247"/>
      <c r="AB227" s="1247"/>
      <c r="AC227" s="1247"/>
      <c r="AD227" s="1247"/>
      <c r="AE227" s="1247"/>
      <c r="AF227" s="1247"/>
      <c r="AG227" s="1247"/>
      <c r="AH227" s="1247"/>
      <c r="AI227" s="1247"/>
      <c r="AJ227" s="1247"/>
      <c r="AK227" s="1247"/>
      <c r="AL227" s="1247"/>
      <c r="AM227" s="1247"/>
      <c r="AN227" s="1247"/>
      <c r="AO227" s="1247"/>
      <c r="AP227" s="1247"/>
      <c r="AQ227" s="1247"/>
      <c r="AR227" s="1247"/>
      <c r="AS227" s="1247"/>
      <c r="AT227" s="1247"/>
      <c r="AU227" s="1247"/>
      <c r="AV227" s="1247"/>
      <c r="AW227" s="1247"/>
      <c r="AX227" s="1247"/>
      <c r="AY227" s="1247"/>
      <c r="AZ227" s="1247"/>
      <c r="BA227" s="1247"/>
      <c r="BB227" s="1247"/>
      <c r="BC227" s="1247"/>
      <c r="BD227" s="1247"/>
      <c r="BE227" s="1247"/>
      <c r="BF227" s="1247"/>
      <c r="BG227" s="1247"/>
      <c r="BH227" s="1247"/>
      <c r="BI227" s="1247"/>
      <c r="BJ227" s="1247"/>
      <c r="BK227" s="1247"/>
      <c r="BL227" s="1247"/>
      <c r="BM227" s="1247"/>
      <c r="BN227" s="1247"/>
      <c r="BO227" s="1247"/>
      <c r="BP227" s="1247"/>
      <c r="BQ227" s="1247"/>
      <c r="BR227" s="1247"/>
      <c r="BS227" s="1247"/>
      <c r="BT227" s="1247"/>
      <c r="BU227" s="1247"/>
      <c r="BV227" s="1247"/>
      <c r="BW227" s="1247"/>
      <c r="BX227" s="1247"/>
      <c r="BY227" s="1247"/>
      <c r="BZ227" s="1247"/>
      <c r="CA227" s="1247"/>
      <c r="CB227" s="1247"/>
      <c r="CC227" s="1247"/>
      <c r="CD227" s="1247"/>
      <c r="CE227" s="1247"/>
      <c r="CF227" s="1247"/>
      <c r="CG227" s="1247"/>
      <c r="CH227" s="1247"/>
      <c r="CI227" s="1247"/>
      <c r="CJ227" s="1247"/>
      <c r="CK227" s="1247"/>
      <c r="CL227" s="1247"/>
      <c r="CM227" s="1247"/>
      <c r="CN227" s="1247"/>
      <c r="CO227" s="1247"/>
      <c r="CP227" s="1247"/>
      <c r="CQ227" s="1247"/>
      <c r="CR227" s="1247"/>
      <c r="CS227" s="1247"/>
      <c r="CT227" s="1247"/>
      <c r="CU227" s="1247"/>
      <c r="CV227" s="1247"/>
      <c r="CW227" s="1562"/>
      <c r="CX227" s="1544"/>
      <c r="CY227" s="1544" t="str">
        <f t="shared" si="3"/>
        <v>Добавить централизованную систему для дифференциации</v>
      </c>
      <c r="CZ227" s="1544"/>
      <c r="DA227" s="1544"/>
    </row>
    <row r="228" spans="1:105" s="541" customFormat="1" ht="14.25" customHeight="1">
      <c r="A228" s="1265"/>
      <c r="B228" s="1265"/>
      <c r="C228" s="1265"/>
      <c r="D228" s="1265"/>
      <c r="E228" s="7689" t="s">
        <v>102</v>
      </c>
      <c r="F228" s="1265"/>
      <c r="G228" s="1265"/>
      <c r="H228" s="1265"/>
      <c r="I228" s="1265"/>
      <c r="J228" s="1265"/>
      <c r="K228" s="1265"/>
      <c r="L228" s="1466"/>
      <c r="M228" s="1244"/>
      <c r="N228" s="1244"/>
      <c r="O228" s="1562"/>
      <c r="P228" s="1239"/>
      <c r="Q228" s="1266"/>
      <c r="R228" s="1239"/>
      <c r="S228" s="1245"/>
      <c r="T228" s="1248" t="s">
        <v>326</v>
      </c>
      <c r="U228" s="1247"/>
      <c r="V228" s="1247"/>
      <c r="W228" s="1247"/>
      <c r="X228" s="1247"/>
      <c r="Y228" s="1247"/>
      <c r="Z228" s="1247"/>
      <c r="AA228" s="1247"/>
      <c r="AB228" s="1247"/>
      <c r="AC228" s="1247"/>
      <c r="AD228" s="1247"/>
      <c r="AE228" s="1247"/>
      <c r="AF228" s="1247"/>
      <c r="AG228" s="1247"/>
      <c r="AH228" s="1247"/>
      <c r="AI228" s="1247"/>
      <c r="AJ228" s="1247"/>
      <c r="AK228" s="1247"/>
      <c r="AL228" s="1247"/>
      <c r="AM228" s="1247"/>
      <c r="AN228" s="1247"/>
      <c r="AO228" s="1247"/>
      <c r="AP228" s="1247"/>
      <c r="AQ228" s="1247"/>
      <c r="AR228" s="1247"/>
      <c r="AS228" s="1247"/>
      <c r="AT228" s="1247"/>
      <c r="AU228" s="1247"/>
      <c r="AV228" s="1247"/>
      <c r="AW228" s="1247"/>
      <c r="AX228" s="1247"/>
      <c r="AY228" s="1247"/>
      <c r="AZ228" s="1247"/>
      <c r="BA228" s="1247"/>
      <c r="BB228" s="1247"/>
      <c r="BC228" s="1247"/>
      <c r="BD228" s="1247"/>
      <c r="BE228" s="1247"/>
      <c r="BF228" s="1247"/>
      <c r="BG228" s="1247"/>
      <c r="BH228" s="1247"/>
      <c r="BI228" s="1247"/>
      <c r="BJ228" s="1247"/>
      <c r="BK228" s="1247"/>
      <c r="BL228" s="1247"/>
      <c r="BM228" s="1247"/>
      <c r="BN228" s="1247"/>
      <c r="BO228" s="1247"/>
      <c r="BP228" s="1247"/>
      <c r="BQ228" s="1247"/>
      <c r="BR228" s="1247"/>
      <c r="BS228" s="1247"/>
      <c r="BT228" s="1247"/>
      <c r="BU228" s="1247"/>
      <c r="BV228" s="1247"/>
      <c r="BW228" s="1247"/>
      <c r="BX228" s="1247"/>
      <c r="BY228" s="1247"/>
      <c r="BZ228" s="1247"/>
      <c r="CA228" s="1247"/>
      <c r="CB228" s="1247"/>
      <c r="CC228" s="1247"/>
      <c r="CD228" s="1247"/>
      <c r="CE228" s="1247"/>
      <c r="CF228" s="1247"/>
      <c r="CG228" s="1247"/>
      <c r="CH228" s="1247"/>
      <c r="CI228" s="1247"/>
      <c r="CJ228" s="1247"/>
      <c r="CK228" s="1247"/>
      <c r="CL228" s="1247"/>
      <c r="CM228" s="1247"/>
      <c r="CN228" s="1247"/>
      <c r="CO228" s="1247"/>
      <c r="CP228" s="1247"/>
      <c r="CQ228" s="1247"/>
      <c r="CR228" s="1247"/>
      <c r="CS228" s="1247"/>
      <c r="CT228" s="1247"/>
      <c r="CU228" s="1247"/>
      <c r="CV228" s="1247"/>
      <c r="CW228" s="1562"/>
      <c r="CX228" s="1544"/>
      <c r="CY228" s="1544" t="str">
        <f t="shared" si="3"/>
        <v>Добавить территорию для дифференциации</v>
      </c>
      <c r="CZ228" s="1544"/>
      <c r="DA228" s="1544"/>
    </row>
    <row r="229" spans="1:105" s="1827" customFormat="1" ht="23.25" customHeight="1">
      <c r="A229" s="1284" t="s">
        <v>383</v>
      </c>
      <c r="B229" s="1284"/>
      <c r="C229" s="1284"/>
      <c r="D229" s="1284"/>
      <c r="E229" s="7689" t="s">
        <v>140</v>
      </c>
      <c r="F229" s="1284"/>
      <c r="G229" s="1284"/>
      <c r="H229" s="1284"/>
      <c r="I229" s="1284"/>
      <c r="J229" s="1284"/>
      <c r="K229" s="1284"/>
      <c r="L229" s="1290"/>
      <c r="M229" s="1286"/>
      <c r="N229" s="1286"/>
      <c r="O229" s="1286"/>
      <c r="P229" s="1817"/>
      <c r="Q229" s="1742"/>
      <c r="R229" s="276"/>
      <c r="S229" s="1813" t="str">
        <f>INDEX(PT_DIFFERENTIATION_NUM_NTAR,MATCH(A229,PT_DIFFERENTIATION_NTAR_ID,0))</f>
        <v>13</v>
      </c>
      <c r="T229" s="1440" t="s">
        <v>237</v>
      </c>
      <c r="U229" s="214"/>
      <c r="V229" s="7675"/>
      <c r="W229" s="7676"/>
      <c r="X229" s="7676"/>
      <c r="Y229" s="7676"/>
      <c r="Z229" s="7676"/>
      <c r="AA229" s="7676"/>
      <c r="AB229" s="7677"/>
      <c r="AC229" s="7675" t="str">
        <f>INDEX(PT_DIFFERENTIATION_NTAR,MATCH(A229,PT_DIFFERENTIATION_NTAR_ID,0))</f>
        <v>Тарифы на питьевую воду для потребителей, присоединенных к централизованным системам водоснабжения села Константиновского и села Кугуты Петровского муниципального округа, ранее эксплуатируемым ГУП СК "Пчелка"</v>
      </c>
      <c r="AD229" s="7676"/>
      <c r="AE229" s="7676"/>
      <c r="AF229" s="7676"/>
      <c r="AG229" s="7676"/>
      <c r="AH229" s="7676"/>
      <c r="AI229" s="7676"/>
      <c r="AJ229" s="7675"/>
      <c r="AK229" s="7676"/>
      <c r="AL229" s="7676"/>
      <c r="AM229" s="7676"/>
      <c r="AN229" s="7676"/>
      <c r="AO229" s="7676"/>
      <c r="AP229" s="7677"/>
      <c r="AQ229" s="7675"/>
      <c r="AR229" s="7676"/>
      <c r="AS229" s="7676"/>
      <c r="AT229" s="7676"/>
      <c r="AU229" s="7676"/>
      <c r="AV229" s="7676"/>
      <c r="AW229" s="7677"/>
      <c r="AX229" s="7675"/>
      <c r="AY229" s="7676"/>
      <c r="AZ229" s="7676"/>
      <c r="BA229" s="7676"/>
      <c r="BB229" s="7676"/>
      <c r="BC229" s="7676"/>
      <c r="BD229" s="7677"/>
      <c r="BE229" s="7675"/>
      <c r="BF229" s="7676"/>
      <c r="BG229" s="7676"/>
      <c r="BH229" s="7676"/>
      <c r="BI229" s="7676"/>
      <c r="BJ229" s="7676"/>
      <c r="BK229" s="7677"/>
      <c r="BL229" s="7675"/>
      <c r="BM229" s="7676"/>
      <c r="BN229" s="7676"/>
      <c r="BO229" s="7676"/>
      <c r="BP229" s="7676"/>
      <c r="BQ229" s="7676"/>
      <c r="BR229" s="7677"/>
      <c r="BS229" s="7675"/>
      <c r="BT229" s="7676"/>
      <c r="BU229" s="7676"/>
      <c r="BV229" s="7676"/>
      <c r="BW229" s="7676"/>
      <c r="BX229" s="7676"/>
      <c r="BY229" s="7677"/>
      <c r="BZ229" s="7675"/>
      <c r="CA229" s="7676"/>
      <c r="CB229" s="7676"/>
      <c r="CC229" s="7676"/>
      <c r="CD229" s="7676"/>
      <c r="CE229" s="7676"/>
      <c r="CF229" s="7677"/>
      <c r="CG229" s="7675"/>
      <c r="CH229" s="7676"/>
      <c r="CI229" s="7676"/>
      <c r="CJ229" s="7676"/>
      <c r="CK229" s="7676"/>
      <c r="CL229" s="7676"/>
      <c r="CM229" s="7677"/>
      <c r="CN229" s="7675"/>
      <c r="CO229" s="7676"/>
      <c r="CP229" s="7676"/>
      <c r="CQ229" s="7676"/>
      <c r="CR229" s="7676"/>
      <c r="CS229" s="7676"/>
      <c r="CT229" s="7677"/>
      <c r="CU229" s="7677"/>
      <c r="CV229"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229" s="1562"/>
      <c r="CX229" s="1544"/>
      <c r="CY229" s="1544" t="str">
        <f t="shared" si="3"/>
        <v>Наименование тарифа</v>
      </c>
      <c r="CZ229" s="1544"/>
      <c r="DA229" s="1544"/>
    </row>
    <row r="230" spans="1:105" s="1827" customFormat="1" ht="23.25" customHeight="1">
      <c r="A230" s="1284"/>
      <c r="B230" s="1284" t="s">
        <v>384</v>
      </c>
      <c r="C230" s="1284"/>
      <c r="D230" s="1284"/>
      <c r="E230" s="7690" t="s">
        <v>136</v>
      </c>
      <c r="F230" s="7689">
        <v>1</v>
      </c>
      <c r="G230" s="1284"/>
      <c r="H230" s="1284"/>
      <c r="I230" s="1284"/>
      <c r="J230" s="1284"/>
      <c r="K230" s="1284"/>
      <c r="L230" s="1290"/>
      <c r="M230" s="1286"/>
      <c r="N230" s="1286"/>
      <c r="O230" s="1286"/>
      <c r="P230" s="1807"/>
      <c r="Q230" s="273"/>
      <c r="R230" s="274"/>
      <c r="S230" s="1813" t="str">
        <f>INDEX(PT_DIFFERENTIATION_NUM_TER,MATCH(B230,PT_DIFFERENTIATION_TER_ID,0))</f>
        <v>13.1</v>
      </c>
      <c r="T230" s="1437" t="s">
        <v>573</v>
      </c>
      <c r="U230" s="214"/>
      <c r="V230" s="7675"/>
      <c r="W230" s="7676"/>
      <c r="X230" s="7676"/>
      <c r="Y230" s="7676"/>
      <c r="Z230" s="7676"/>
      <c r="AA230" s="7676"/>
      <c r="AB230" s="7677"/>
      <c r="AC230" s="7675" t="str">
        <f>INDEX(PT_DIFFERENTIATION_TER,MATCH(B230,PT_DIFFERENTIATION_TER_ID,0))</f>
        <v>Территория 7</v>
      </c>
      <c r="AD230" s="7676"/>
      <c r="AE230" s="7676"/>
      <c r="AF230" s="7676"/>
      <c r="AG230" s="7676"/>
      <c r="AH230" s="7676"/>
      <c r="AI230" s="7676"/>
      <c r="AJ230" s="7675"/>
      <c r="AK230" s="7676"/>
      <c r="AL230" s="7676"/>
      <c r="AM230" s="7676"/>
      <c r="AN230" s="7676"/>
      <c r="AO230" s="7676"/>
      <c r="AP230" s="7677"/>
      <c r="AQ230" s="7675"/>
      <c r="AR230" s="7676"/>
      <c r="AS230" s="7676"/>
      <c r="AT230" s="7676"/>
      <c r="AU230" s="7676"/>
      <c r="AV230" s="7676"/>
      <c r="AW230" s="7677"/>
      <c r="AX230" s="7675"/>
      <c r="AY230" s="7676"/>
      <c r="AZ230" s="7676"/>
      <c r="BA230" s="7676"/>
      <c r="BB230" s="7676"/>
      <c r="BC230" s="7676"/>
      <c r="BD230" s="7677"/>
      <c r="BE230" s="7675"/>
      <c r="BF230" s="7676"/>
      <c r="BG230" s="7676"/>
      <c r="BH230" s="7676"/>
      <c r="BI230" s="7676"/>
      <c r="BJ230" s="7676"/>
      <c r="BK230" s="7677"/>
      <c r="BL230" s="7675"/>
      <c r="BM230" s="7676"/>
      <c r="BN230" s="7676"/>
      <c r="BO230" s="7676"/>
      <c r="BP230" s="7676"/>
      <c r="BQ230" s="7676"/>
      <c r="BR230" s="7677"/>
      <c r="BS230" s="7675"/>
      <c r="BT230" s="7676"/>
      <c r="BU230" s="7676"/>
      <c r="BV230" s="7676"/>
      <c r="BW230" s="7676"/>
      <c r="BX230" s="7676"/>
      <c r="BY230" s="7677"/>
      <c r="BZ230" s="7675"/>
      <c r="CA230" s="7676"/>
      <c r="CB230" s="7676"/>
      <c r="CC230" s="7676"/>
      <c r="CD230" s="7676"/>
      <c r="CE230" s="7676"/>
      <c r="CF230" s="7677"/>
      <c r="CG230" s="7675"/>
      <c r="CH230" s="7676"/>
      <c r="CI230" s="7676"/>
      <c r="CJ230" s="7676"/>
      <c r="CK230" s="7676"/>
      <c r="CL230" s="7676"/>
      <c r="CM230" s="7677"/>
      <c r="CN230" s="7675"/>
      <c r="CO230" s="7676"/>
      <c r="CP230" s="7676"/>
      <c r="CQ230" s="7676"/>
      <c r="CR230" s="7676"/>
      <c r="CS230" s="7676"/>
      <c r="CT230" s="7677"/>
      <c r="CU230" s="7677"/>
      <c r="CV230" s="1182" t="s">
        <v>574</v>
      </c>
      <c r="CW230" s="1562"/>
      <c r="CX230" s="1544"/>
      <c r="CY230" s="1544" t="str">
        <f t="shared" si="3"/>
        <v>Территория действия тарифа</v>
      </c>
      <c r="CZ230" s="1544"/>
      <c r="DA230" s="1544"/>
    </row>
    <row r="231" spans="1:105" s="1827" customFormat="1" ht="23.25" customHeight="1">
      <c r="A231" s="1284"/>
      <c r="B231" s="1284"/>
      <c r="C231" s="1284" t="s">
        <v>385</v>
      </c>
      <c r="D231" s="1284"/>
      <c r="E231" s="7690" t="s">
        <v>136</v>
      </c>
      <c r="F231" s="7690"/>
      <c r="G231" s="7689">
        <v>1</v>
      </c>
      <c r="H231" s="1284"/>
      <c r="I231" s="1284"/>
      <c r="J231" s="1284"/>
      <c r="K231" s="1284"/>
      <c r="L231" s="1290"/>
      <c r="M231" s="1286"/>
      <c r="N231" s="1286"/>
      <c r="O231" s="1286"/>
      <c r="P231" s="275"/>
      <c r="Q231" s="273"/>
      <c r="R231" s="274"/>
      <c r="S231" s="1813" t="str">
        <f>INDEX(PT_DIFFERENTIATION_NUM_CS,MATCH(C231,PT_DIFFERENTIATION_CS_ID,0))</f>
        <v>13.1.1</v>
      </c>
      <c r="T231" s="225" t="s">
        <v>654</v>
      </c>
      <c r="U231" s="214"/>
      <c r="V231" s="7675"/>
      <c r="W231" s="7676"/>
      <c r="X231" s="7676"/>
      <c r="Y231" s="7676"/>
      <c r="Z231" s="7676"/>
      <c r="AA231" s="7676"/>
      <c r="AB231" s="7677"/>
      <c r="AC231" s="7675" t="str">
        <f>INDEX(PT_DIFFERENTIATION_CS,MATCH(C231,PT_DIFFERENTIATION_CS_ID,0))</f>
        <v>без дифференциации</v>
      </c>
      <c r="AD231" s="7676"/>
      <c r="AE231" s="7676"/>
      <c r="AF231" s="7676"/>
      <c r="AG231" s="7676"/>
      <c r="AH231" s="7676"/>
      <c r="AI231" s="7676"/>
      <c r="AJ231" s="7675"/>
      <c r="AK231" s="7676"/>
      <c r="AL231" s="7676"/>
      <c r="AM231" s="7676"/>
      <c r="AN231" s="7676"/>
      <c r="AO231" s="7676"/>
      <c r="AP231" s="7677"/>
      <c r="AQ231" s="7675"/>
      <c r="AR231" s="7676"/>
      <c r="AS231" s="7676"/>
      <c r="AT231" s="7676"/>
      <c r="AU231" s="7676"/>
      <c r="AV231" s="7676"/>
      <c r="AW231" s="7677"/>
      <c r="AX231" s="7675"/>
      <c r="AY231" s="7676"/>
      <c r="AZ231" s="7676"/>
      <c r="BA231" s="7676"/>
      <c r="BB231" s="7676"/>
      <c r="BC231" s="7676"/>
      <c r="BD231" s="7677"/>
      <c r="BE231" s="7675"/>
      <c r="BF231" s="7676"/>
      <c r="BG231" s="7676"/>
      <c r="BH231" s="7676"/>
      <c r="BI231" s="7676"/>
      <c r="BJ231" s="7676"/>
      <c r="BK231" s="7677"/>
      <c r="BL231" s="7675"/>
      <c r="BM231" s="7676"/>
      <c r="BN231" s="7676"/>
      <c r="BO231" s="7676"/>
      <c r="BP231" s="7676"/>
      <c r="BQ231" s="7676"/>
      <c r="BR231" s="7677"/>
      <c r="BS231" s="7675"/>
      <c r="BT231" s="7676"/>
      <c r="BU231" s="7676"/>
      <c r="BV231" s="7676"/>
      <c r="BW231" s="7676"/>
      <c r="BX231" s="7676"/>
      <c r="BY231" s="7677"/>
      <c r="BZ231" s="7675"/>
      <c r="CA231" s="7676"/>
      <c r="CB231" s="7676"/>
      <c r="CC231" s="7676"/>
      <c r="CD231" s="7676"/>
      <c r="CE231" s="7676"/>
      <c r="CF231" s="7677"/>
      <c r="CG231" s="7675"/>
      <c r="CH231" s="7676"/>
      <c r="CI231" s="7676"/>
      <c r="CJ231" s="7676"/>
      <c r="CK231" s="7676"/>
      <c r="CL231" s="7676"/>
      <c r="CM231" s="7677"/>
      <c r="CN231" s="7675"/>
      <c r="CO231" s="7676"/>
      <c r="CP231" s="7676"/>
      <c r="CQ231" s="7676"/>
      <c r="CR231" s="7676"/>
      <c r="CS231" s="7676"/>
      <c r="CT231" s="7677"/>
      <c r="CU231" s="7677"/>
      <c r="CV231" s="1182" t="s">
        <v>655</v>
      </c>
      <c r="CW231" s="1562"/>
      <c r="CX231" s="1544"/>
      <c r="CY231" s="1544" t="str">
        <f t="shared" si="3"/>
        <v>Наименование централизованной системы холодного водоснабжения</v>
      </c>
      <c r="CZ231" s="1544"/>
      <c r="DA231" s="1544"/>
    </row>
    <row r="232" spans="1:105" s="1827" customFormat="1" ht="23.25" customHeight="1">
      <c r="A232" s="1284"/>
      <c r="B232" s="1284"/>
      <c r="C232" s="1284"/>
      <c r="D232" s="1284"/>
      <c r="E232" s="7690" t="s">
        <v>136</v>
      </c>
      <c r="F232" s="7690"/>
      <c r="G232" s="7690"/>
      <c r="H232" s="7690"/>
      <c r="I232" s="7687" t="str">
        <f>S231&amp;".1"</f>
        <v>13.1.1.1</v>
      </c>
      <c r="J232" s="1284"/>
      <c r="K232" s="1284"/>
      <c r="L232" s="1290"/>
      <c r="M232" s="1696"/>
      <c r="N232" s="1696"/>
      <c r="O232" s="1696"/>
      <c r="P232" s="7688">
        <v>1</v>
      </c>
      <c r="Q232" s="1816"/>
      <c r="R232" s="277"/>
      <c r="S232" s="1813" t="str">
        <f>$I232</f>
        <v>13.1.1.1</v>
      </c>
      <c r="T232" s="200" t="s">
        <v>656</v>
      </c>
      <c r="U232" s="214"/>
      <c r="V232" s="7748"/>
      <c r="W232" s="7749"/>
      <c r="X232" s="7749"/>
      <c r="Y232" s="7749"/>
      <c r="Z232" s="7749"/>
      <c r="AA232" s="7749"/>
      <c r="AB232" s="7750"/>
      <c r="AC232" s="7751"/>
      <c r="AD232" s="7752"/>
      <c r="AE232" s="7752"/>
      <c r="AF232" s="7752"/>
      <c r="AG232" s="7752"/>
      <c r="AH232" s="7752"/>
      <c r="AI232" s="7752"/>
      <c r="AJ232" s="7748"/>
      <c r="AK232" s="7749"/>
      <c r="AL232" s="7749"/>
      <c r="AM232" s="7749"/>
      <c r="AN232" s="7749"/>
      <c r="AO232" s="7749"/>
      <c r="AP232" s="7750"/>
      <c r="AQ232" s="7748"/>
      <c r="AR232" s="7749"/>
      <c r="AS232" s="7749"/>
      <c r="AT232" s="7749"/>
      <c r="AU232" s="7749"/>
      <c r="AV232" s="7749"/>
      <c r="AW232" s="7750"/>
      <c r="AX232" s="7748"/>
      <c r="AY232" s="7749"/>
      <c r="AZ232" s="7749"/>
      <c r="BA232" s="7749"/>
      <c r="BB232" s="7749"/>
      <c r="BC232" s="7749"/>
      <c r="BD232" s="7750"/>
      <c r="BE232" s="7748"/>
      <c r="BF232" s="7749"/>
      <c r="BG232" s="7749"/>
      <c r="BH232" s="7749"/>
      <c r="BI232" s="7749"/>
      <c r="BJ232" s="7749"/>
      <c r="BK232" s="7750"/>
      <c r="BL232" s="7748"/>
      <c r="BM232" s="7749"/>
      <c r="BN232" s="7749"/>
      <c r="BO232" s="7749"/>
      <c r="BP232" s="7749"/>
      <c r="BQ232" s="7749"/>
      <c r="BR232" s="7750"/>
      <c r="BS232" s="7748"/>
      <c r="BT232" s="7749"/>
      <c r="BU232" s="7749"/>
      <c r="BV232" s="7749"/>
      <c r="BW232" s="7749"/>
      <c r="BX232" s="7749"/>
      <c r="BY232" s="7750"/>
      <c r="BZ232" s="7748"/>
      <c r="CA232" s="7749"/>
      <c r="CB232" s="7749"/>
      <c r="CC232" s="7749"/>
      <c r="CD232" s="7749"/>
      <c r="CE232" s="7749"/>
      <c r="CF232" s="7750"/>
      <c r="CG232" s="7748"/>
      <c r="CH232" s="7749"/>
      <c r="CI232" s="7749"/>
      <c r="CJ232" s="7749"/>
      <c r="CK232" s="7749"/>
      <c r="CL232" s="7749"/>
      <c r="CM232" s="7750"/>
      <c r="CN232" s="7748"/>
      <c r="CO232" s="7749"/>
      <c r="CP232" s="7749"/>
      <c r="CQ232" s="7749"/>
      <c r="CR232" s="7749"/>
      <c r="CS232" s="7749"/>
      <c r="CT232" s="7750"/>
      <c r="CU232" s="7753"/>
      <c r="CV232" s="1182" t="s">
        <v>657</v>
      </c>
      <c r="CW232" s="1562"/>
      <c r="CX232" s="1544"/>
      <c r="CY232" s="1544" t="str">
        <f t="shared" si="3"/>
        <v>Наименование признака дифференциации</v>
      </c>
      <c r="CZ232" s="1544"/>
      <c r="DA232" s="1544"/>
    </row>
    <row r="233" spans="1:105" s="1827" customFormat="1" ht="23.25" customHeight="1">
      <c r="A233" s="1284"/>
      <c r="B233" s="1284"/>
      <c r="C233" s="1284"/>
      <c r="D233" s="1284"/>
      <c r="E233" s="7690" t="s">
        <v>136</v>
      </c>
      <c r="F233" s="7690"/>
      <c r="G233" s="7690"/>
      <c r="H233" s="7690"/>
      <c r="I233" s="7710"/>
      <c r="J233" s="7687" t="str">
        <f>I232&amp;".1"</f>
        <v>13.1.1.1.1</v>
      </c>
      <c r="K233" s="1284"/>
      <c r="L233" s="1290" t="s">
        <v>582</v>
      </c>
      <c r="M233" s="1696"/>
      <c r="N233" s="1696"/>
      <c r="O233" s="1696"/>
      <c r="P233" s="7688"/>
      <c r="Q233" s="7688">
        <v>1</v>
      </c>
      <c r="R233" s="278"/>
      <c r="S233" s="1813" t="str">
        <f>$J233</f>
        <v>13.1.1.1.1</v>
      </c>
      <c r="T233" s="201" t="s">
        <v>583</v>
      </c>
      <c r="U233" s="214"/>
      <c r="V233" s="7678"/>
      <c r="W233" s="7679"/>
      <c r="X233" s="7679"/>
      <c r="Y233" s="7679"/>
      <c r="Z233" s="7679"/>
      <c r="AA233" s="7679"/>
      <c r="AB233" s="7680"/>
      <c r="AC233" s="7678" t="s">
        <v>671</v>
      </c>
      <c r="AD233" s="7679"/>
      <c r="AE233" s="7679"/>
      <c r="AF233" s="7679"/>
      <c r="AG233" s="7679"/>
      <c r="AH233" s="7679"/>
      <c r="AI233" s="7679"/>
      <c r="AJ233" s="7678"/>
      <c r="AK233" s="7679"/>
      <c r="AL233" s="7679"/>
      <c r="AM233" s="7679"/>
      <c r="AN233" s="7679"/>
      <c r="AO233" s="7679"/>
      <c r="AP233" s="7680"/>
      <c r="AQ233" s="7678"/>
      <c r="AR233" s="7679"/>
      <c r="AS233" s="7679"/>
      <c r="AT233" s="7679"/>
      <c r="AU233" s="7679"/>
      <c r="AV233" s="7679"/>
      <c r="AW233" s="7680"/>
      <c r="AX233" s="7678"/>
      <c r="AY233" s="7679"/>
      <c r="AZ233" s="7679"/>
      <c r="BA233" s="7679"/>
      <c r="BB233" s="7679"/>
      <c r="BC233" s="7679"/>
      <c r="BD233" s="7680"/>
      <c r="BE233" s="7678"/>
      <c r="BF233" s="7679"/>
      <c r="BG233" s="7679"/>
      <c r="BH233" s="7679"/>
      <c r="BI233" s="7679"/>
      <c r="BJ233" s="7679"/>
      <c r="BK233" s="7680"/>
      <c r="BL233" s="7678"/>
      <c r="BM233" s="7679"/>
      <c r="BN233" s="7679"/>
      <c r="BO233" s="7679"/>
      <c r="BP233" s="7679"/>
      <c r="BQ233" s="7679"/>
      <c r="BR233" s="7680"/>
      <c r="BS233" s="7678"/>
      <c r="BT233" s="7679"/>
      <c r="BU233" s="7679"/>
      <c r="BV233" s="7679"/>
      <c r="BW233" s="7679"/>
      <c r="BX233" s="7679"/>
      <c r="BY233" s="7680"/>
      <c r="BZ233" s="7678"/>
      <c r="CA233" s="7679"/>
      <c r="CB233" s="7679"/>
      <c r="CC233" s="7679"/>
      <c r="CD233" s="7679"/>
      <c r="CE233" s="7679"/>
      <c r="CF233" s="7680"/>
      <c r="CG233" s="7678"/>
      <c r="CH233" s="7679"/>
      <c r="CI233" s="7679"/>
      <c r="CJ233" s="7679"/>
      <c r="CK233" s="7679"/>
      <c r="CL233" s="7679"/>
      <c r="CM233" s="7680"/>
      <c r="CN233" s="7678"/>
      <c r="CO233" s="7679"/>
      <c r="CP233" s="7679"/>
      <c r="CQ233" s="7679"/>
      <c r="CR233" s="7679"/>
      <c r="CS233" s="7679"/>
      <c r="CT233" s="7680"/>
      <c r="CU233" s="7680"/>
      <c r="CV233" s="1231" t="s">
        <v>658</v>
      </c>
      <c r="CW233" s="1562"/>
      <c r="CX233" s="1544"/>
      <c r="CY233" s="1544" t="str">
        <f t="shared" ref="CY233:CY293" si="4">IF(T233="","",T233)</f>
        <v>Группа потребителей</v>
      </c>
      <c r="CZ233" s="1544"/>
      <c r="DA233" s="1544"/>
    </row>
    <row r="234" spans="1:105" s="1827" customFormat="1" ht="23.25" customHeight="1">
      <c r="A234" s="1284"/>
      <c r="B234" s="1284"/>
      <c r="C234" s="1284"/>
      <c r="D234" s="1284"/>
      <c r="E234" s="7690" t="s">
        <v>136</v>
      </c>
      <c r="F234" s="7690"/>
      <c r="G234" s="7690"/>
      <c r="H234" s="7690"/>
      <c r="I234" s="7710"/>
      <c r="J234" s="7710"/>
      <c r="K234" s="7687" t="str">
        <f>J233&amp;".1"</f>
        <v>13.1.1.1.1.1</v>
      </c>
      <c r="L234" s="1290"/>
      <c r="M234" s="1696"/>
      <c r="N234" s="1696"/>
      <c r="O234" s="1696"/>
      <c r="P234" s="7688"/>
      <c r="Q234" s="7688"/>
      <c r="R234" s="278">
        <v>1</v>
      </c>
      <c r="S234" s="1813" t="str">
        <f>$K234</f>
        <v>13.1.1.1.1.1</v>
      </c>
      <c r="T234" s="1357" t="s">
        <v>672</v>
      </c>
      <c r="U234" s="214"/>
      <c r="V234" s="666"/>
      <c r="W234" s="666"/>
      <c r="X234" s="1181"/>
      <c r="Y234" s="7692"/>
      <c r="Z234" s="7540" t="s">
        <v>60</v>
      </c>
      <c r="AA234" s="7692"/>
      <c r="AB234" s="7540" t="s">
        <v>60</v>
      </c>
      <c r="AC234" s="666">
        <v>52.1</v>
      </c>
      <c r="AD234" s="666"/>
      <c r="AE234" s="1181"/>
      <c r="AF234" s="7692">
        <v>45292</v>
      </c>
      <c r="AG234" s="7540" t="s">
        <v>60</v>
      </c>
      <c r="AH234" s="7711">
        <v>45473</v>
      </c>
      <c r="AI234" s="7540" t="s">
        <v>60</v>
      </c>
      <c r="AJ234" s="666">
        <v>56.8</v>
      </c>
      <c r="AK234" s="666"/>
      <c r="AL234" s="1181"/>
      <c r="AM234" s="7692">
        <v>45474</v>
      </c>
      <c r="AN234" s="7540" t="s">
        <v>60</v>
      </c>
      <c r="AO234" s="7692">
        <v>45657</v>
      </c>
      <c r="AP234" s="7540" t="s">
        <v>60</v>
      </c>
      <c r="AQ234" s="666">
        <v>56.8</v>
      </c>
      <c r="AR234" s="666"/>
      <c r="AS234" s="1181"/>
      <c r="AT234" s="7692">
        <v>45658</v>
      </c>
      <c r="AU234" s="7540" t="s">
        <v>60</v>
      </c>
      <c r="AV234" s="7692">
        <v>45838</v>
      </c>
      <c r="AW234" s="7540" t="s">
        <v>60</v>
      </c>
      <c r="AX234" s="666">
        <v>60.04</v>
      </c>
      <c r="AY234" s="666"/>
      <c r="AZ234" s="1181"/>
      <c r="BA234" s="7692">
        <v>45839</v>
      </c>
      <c r="BB234" s="7540" t="s">
        <v>60</v>
      </c>
      <c r="BC234" s="7692">
        <v>46022</v>
      </c>
      <c r="BD234" s="7540" t="s">
        <v>60</v>
      </c>
      <c r="BE234" s="666">
        <v>60.04</v>
      </c>
      <c r="BF234" s="666"/>
      <c r="BG234" s="1181"/>
      <c r="BH234" s="7692">
        <v>46023</v>
      </c>
      <c r="BI234" s="7540" t="s">
        <v>60</v>
      </c>
      <c r="BJ234" s="7692">
        <v>46203</v>
      </c>
      <c r="BK234" s="7540" t="s">
        <v>60</v>
      </c>
      <c r="BL234" s="666">
        <v>62.44</v>
      </c>
      <c r="BM234" s="666"/>
      <c r="BN234" s="1181"/>
      <c r="BO234" s="7692">
        <v>46204</v>
      </c>
      <c r="BP234" s="7540" t="s">
        <v>60</v>
      </c>
      <c r="BQ234" s="7692">
        <v>46387</v>
      </c>
      <c r="BR234" s="7540" t="s">
        <v>60</v>
      </c>
      <c r="BS234" s="666">
        <v>62.44</v>
      </c>
      <c r="BT234" s="666"/>
      <c r="BU234" s="1181"/>
      <c r="BV234" s="7692">
        <v>46388</v>
      </c>
      <c r="BW234" s="7540" t="s">
        <v>60</v>
      </c>
      <c r="BX234" s="7692">
        <v>46568</v>
      </c>
      <c r="BY234" s="7540" t="s">
        <v>60</v>
      </c>
      <c r="BZ234" s="666">
        <v>64.94</v>
      </c>
      <c r="CA234" s="666"/>
      <c r="CB234" s="1181"/>
      <c r="CC234" s="7692">
        <v>46569</v>
      </c>
      <c r="CD234" s="7540" t="s">
        <v>60</v>
      </c>
      <c r="CE234" s="7692">
        <v>46752</v>
      </c>
      <c r="CF234" s="7540" t="s">
        <v>60</v>
      </c>
      <c r="CG234" s="666">
        <v>64.94</v>
      </c>
      <c r="CH234" s="666"/>
      <c r="CI234" s="1181"/>
      <c r="CJ234" s="7692">
        <v>46753</v>
      </c>
      <c r="CK234" s="7540" t="s">
        <v>60</v>
      </c>
      <c r="CL234" s="7692">
        <v>46934</v>
      </c>
      <c r="CM234" s="7540" t="s">
        <v>60</v>
      </c>
      <c r="CN234" s="666">
        <v>67.540000000000006</v>
      </c>
      <c r="CO234" s="666"/>
      <c r="CP234" s="1181"/>
      <c r="CQ234" s="7692">
        <v>46935</v>
      </c>
      <c r="CR234" s="7540" t="s">
        <v>60</v>
      </c>
      <c r="CS234" s="7692">
        <v>47118</v>
      </c>
      <c r="CT234" s="7540" t="s">
        <v>60</v>
      </c>
      <c r="CU234" s="1358"/>
      <c r="CV234"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34" s="1562" t="e">
        <f ca="1">STRCHECKDATE(V235:CU235)</f>
        <v>#NAME?</v>
      </c>
      <c r="CX234" s="1544"/>
      <c r="CY234" s="1544" t="str">
        <f t="shared" si="4"/>
        <v>Тариф для населения, руб. за 1 куб. метр с НДС</v>
      </c>
      <c r="CZ234" s="1544"/>
      <c r="DA234" s="1544"/>
    </row>
    <row r="235" spans="1:105" s="1827" customFormat="1" ht="14.25" customHeight="1">
      <c r="A235" s="1284"/>
      <c r="B235" s="1284"/>
      <c r="C235" s="1284"/>
      <c r="D235" s="1284"/>
      <c r="E235" s="7690" t="s">
        <v>136</v>
      </c>
      <c r="F235" s="7690"/>
      <c r="G235" s="7690"/>
      <c r="H235" s="7690"/>
      <c r="I235" s="7710"/>
      <c r="J235" s="7710"/>
      <c r="K235" s="7687"/>
      <c r="L235" s="1290"/>
      <c r="M235" s="1696"/>
      <c r="N235" s="1696"/>
      <c r="O235" s="1696"/>
      <c r="P235" s="7688"/>
      <c r="Q235" s="7688"/>
      <c r="R235" s="278"/>
      <c r="S235" s="1822"/>
      <c r="T235" s="214"/>
      <c r="U235" s="214"/>
      <c r="V235" s="246"/>
      <c r="W235" s="246"/>
      <c r="X235" s="250" t="str">
        <f>Y234&amp;"-"&amp;AA234</f>
        <v>-</v>
      </c>
      <c r="Y235" s="7693"/>
      <c r="Z235" s="7540"/>
      <c r="AA235" s="7693"/>
      <c r="AB235" s="7540"/>
      <c r="AC235" s="246"/>
      <c r="AD235" s="246"/>
      <c r="AE235" s="250" t="str">
        <f>AF234&amp;"-"&amp;AH234</f>
        <v>45292-45473</v>
      </c>
      <c r="AF235" s="7693"/>
      <c r="AG235" s="7540"/>
      <c r="AH235" s="7712"/>
      <c r="AI235" s="7540"/>
      <c r="AJ235" s="246"/>
      <c r="AK235" s="246"/>
      <c r="AL235" s="250" t="str">
        <f>AM234&amp;"-"&amp;AO234</f>
        <v>45474-45657</v>
      </c>
      <c r="AM235" s="7693"/>
      <c r="AN235" s="7540"/>
      <c r="AO235" s="7693"/>
      <c r="AP235" s="7540"/>
      <c r="AQ235" s="246"/>
      <c r="AR235" s="246"/>
      <c r="AS235" s="250" t="str">
        <f>AT234&amp;"-"&amp;AV234</f>
        <v>45658-45838</v>
      </c>
      <c r="AT235" s="7693"/>
      <c r="AU235" s="7540"/>
      <c r="AV235" s="7693"/>
      <c r="AW235" s="7540"/>
      <c r="AX235" s="246"/>
      <c r="AY235" s="246"/>
      <c r="AZ235" s="250" t="str">
        <f>BA234&amp;"-"&amp;BC234</f>
        <v>45839-46022</v>
      </c>
      <c r="BA235" s="7693"/>
      <c r="BB235" s="7540"/>
      <c r="BC235" s="7693"/>
      <c r="BD235" s="7540"/>
      <c r="BE235" s="246"/>
      <c r="BF235" s="246"/>
      <c r="BG235" s="250" t="str">
        <f>BH234&amp;"-"&amp;BJ234</f>
        <v>46023-46203</v>
      </c>
      <c r="BH235" s="7693"/>
      <c r="BI235" s="7540"/>
      <c r="BJ235" s="7693"/>
      <c r="BK235" s="7540"/>
      <c r="BL235" s="246"/>
      <c r="BM235" s="246"/>
      <c r="BN235" s="250" t="str">
        <f>BO234&amp;"-"&amp;BQ234</f>
        <v>46204-46387</v>
      </c>
      <c r="BO235" s="7693"/>
      <c r="BP235" s="7540"/>
      <c r="BQ235" s="7693"/>
      <c r="BR235" s="7540"/>
      <c r="BS235" s="246"/>
      <c r="BT235" s="246"/>
      <c r="BU235" s="250" t="str">
        <f>BV234&amp;"-"&amp;BX234</f>
        <v>46388-46568</v>
      </c>
      <c r="BV235" s="7693"/>
      <c r="BW235" s="7540"/>
      <c r="BX235" s="7693"/>
      <c r="BY235" s="7540"/>
      <c r="BZ235" s="246"/>
      <c r="CA235" s="246"/>
      <c r="CB235" s="250" t="str">
        <f>CC234&amp;"-"&amp;CE234</f>
        <v>46569-46752</v>
      </c>
      <c r="CC235" s="7693"/>
      <c r="CD235" s="7540"/>
      <c r="CE235" s="7693"/>
      <c r="CF235" s="7540"/>
      <c r="CG235" s="246"/>
      <c r="CH235" s="246"/>
      <c r="CI235" s="250" t="str">
        <f>CJ234&amp;"-"&amp;CL234</f>
        <v>46753-46934</v>
      </c>
      <c r="CJ235" s="7693"/>
      <c r="CK235" s="7540"/>
      <c r="CL235" s="7693"/>
      <c r="CM235" s="7540"/>
      <c r="CN235" s="246"/>
      <c r="CO235" s="246"/>
      <c r="CP235" s="250" t="str">
        <f>CQ234&amp;"-"&amp;CS234</f>
        <v>46935-47118</v>
      </c>
      <c r="CQ235" s="7693"/>
      <c r="CR235" s="7540"/>
      <c r="CS235" s="7693"/>
      <c r="CT235" s="7540"/>
      <c r="CU235" s="1359"/>
      <c r="CV235" s="7747"/>
      <c r="CW235" s="1562"/>
      <c r="CX235" s="1544"/>
      <c r="CY235" s="1544" t="str">
        <f t="shared" si="4"/>
        <v/>
      </c>
      <c r="CZ235" s="1544"/>
      <c r="DA235" s="1544"/>
    </row>
    <row r="236" spans="1:105" s="1827" customFormat="1" ht="21" customHeight="1">
      <c r="A236" s="1284"/>
      <c r="B236" s="1284"/>
      <c r="C236" s="1284"/>
      <c r="D236" s="1284"/>
      <c r="E236" s="7690" t="s">
        <v>136</v>
      </c>
      <c r="F236" s="7690"/>
      <c r="G236" s="7690"/>
      <c r="H236" s="7690"/>
      <c r="I236" s="7710"/>
      <c r="J236" s="7687"/>
      <c r="K236" s="1284"/>
      <c r="L236" s="1290"/>
      <c r="M236" s="1696"/>
      <c r="N236" s="1696"/>
      <c r="O236" s="1696"/>
      <c r="P236" s="7688"/>
      <c r="Q236" s="7688"/>
      <c r="R236" s="277"/>
      <c r="S236" s="5829"/>
      <c r="T236" s="5830" t="s">
        <v>659</v>
      </c>
      <c r="U236" s="5831"/>
      <c r="V236" s="5832"/>
      <c r="W236" s="5833"/>
      <c r="X236" s="5834"/>
      <c r="Y236" s="5835"/>
      <c r="Z236" s="5836"/>
      <c r="AA236" s="5837"/>
      <c r="AB236" s="5838"/>
      <c r="AC236" s="5839"/>
      <c r="AD236" s="5840"/>
      <c r="AE236" s="5841"/>
      <c r="AF236" s="5842"/>
      <c r="AG236" s="5843"/>
      <c r="AH236" s="5844"/>
      <c r="AI236" s="5845"/>
      <c r="AJ236" s="5846"/>
      <c r="AK236" s="5847"/>
      <c r="AL236" s="5848"/>
      <c r="AM236" s="5849"/>
      <c r="AN236" s="5850"/>
      <c r="AO236" s="5851"/>
      <c r="AP236" s="5852"/>
      <c r="AQ236" s="5853"/>
      <c r="AR236" s="5854"/>
      <c r="AS236" s="5855"/>
      <c r="AT236" s="5856"/>
      <c r="AU236" s="5857"/>
      <c r="AV236" s="5858"/>
      <c r="AW236" s="5859"/>
      <c r="AX236" s="5860"/>
      <c r="AY236" s="5861"/>
      <c r="AZ236" s="5862"/>
      <c r="BA236" s="5863"/>
      <c r="BB236" s="5864"/>
      <c r="BC236" s="5865"/>
      <c r="BD236" s="5866"/>
      <c r="BE236" s="5867"/>
      <c r="BF236" s="5868"/>
      <c r="BG236" s="5869"/>
      <c r="BH236" s="5870"/>
      <c r="BI236" s="5871"/>
      <c r="BJ236" s="5872"/>
      <c r="BK236" s="5873"/>
      <c r="BL236" s="5874"/>
      <c r="BM236" s="5875"/>
      <c r="BN236" s="5876"/>
      <c r="BO236" s="5877"/>
      <c r="BP236" s="5878"/>
      <c r="BQ236" s="5879"/>
      <c r="BR236" s="5880"/>
      <c r="BS236" s="5881"/>
      <c r="BT236" s="5882"/>
      <c r="BU236" s="5883"/>
      <c r="BV236" s="5884"/>
      <c r="BW236" s="5885"/>
      <c r="BX236" s="5886"/>
      <c r="BY236" s="5887"/>
      <c r="BZ236" s="5888"/>
      <c r="CA236" s="5889"/>
      <c r="CB236" s="5890"/>
      <c r="CC236" s="5891"/>
      <c r="CD236" s="5892"/>
      <c r="CE236" s="5893"/>
      <c r="CF236" s="5894"/>
      <c r="CG236" s="5895"/>
      <c r="CH236" s="5896"/>
      <c r="CI236" s="5897"/>
      <c r="CJ236" s="5898"/>
      <c r="CK236" s="5899"/>
      <c r="CL236" s="5900"/>
      <c r="CM236" s="5901"/>
      <c r="CN236" s="5902"/>
      <c r="CO236" s="5903"/>
      <c r="CP236" s="5904"/>
      <c r="CQ236" s="5905"/>
      <c r="CR236" s="5906"/>
      <c r="CS236" s="5907"/>
      <c r="CT236" s="5908"/>
      <c r="CU236" s="5909"/>
      <c r="CV236" s="1182" t="s">
        <v>660</v>
      </c>
      <c r="CW236" s="1562"/>
      <c r="CX236" s="1544"/>
      <c r="CY236" s="1544" t="str">
        <f t="shared" si="4"/>
        <v>Добавить значение признака дифференциации</v>
      </c>
      <c r="CZ236" s="1544"/>
      <c r="DA236" s="1544"/>
    </row>
    <row r="237" spans="1:105" s="1827" customFormat="1" ht="23.25" customHeight="1">
      <c r="A237" s="1284"/>
      <c r="B237" s="1284"/>
      <c r="C237" s="1284"/>
      <c r="D237" s="1284"/>
      <c r="E237" s="7690"/>
      <c r="F237" s="7690"/>
      <c r="G237" s="7690"/>
      <c r="H237" s="7690"/>
      <c r="I237" s="7710"/>
      <c r="J237" s="7687" t="str">
        <f>I232&amp;".2"</f>
        <v>13.1.1.1.2</v>
      </c>
      <c r="K237" s="1284"/>
      <c r="L237" s="1290" t="s">
        <v>582</v>
      </c>
      <c r="M237" s="1696"/>
      <c r="N237" s="1696"/>
      <c r="O237" s="1696"/>
      <c r="P237" s="7688"/>
      <c r="Q237" s="7754" t="s">
        <v>101</v>
      </c>
      <c r="R237" s="278"/>
      <c r="S237" s="1813" t="str">
        <f>$J237</f>
        <v>13.1.1.1.2</v>
      </c>
      <c r="T237" s="201" t="s">
        <v>583</v>
      </c>
      <c r="U237" s="214"/>
      <c r="V237" s="7678"/>
      <c r="W237" s="7679"/>
      <c r="X237" s="7679"/>
      <c r="Y237" s="7679"/>
      <c r="Z237" s="7679"/>
      <c r="AA237" s="7679"/>
      <c r="AB237" s="7680"/>
      <c r="AC237" s="7678" t="s">
        <v>669</v>
      </c>
      <c r="AD237" s="7679"/>
      <c r="AE237" s="7679"/>
      <c r="AF237" s="7679"/>
      <c r="AG237" s="7679"/>
      <c r="AH237" s="7679"/>
      <c r="AI237" s="7679"/>
      <c r="AJ237" s="7678"/>
      <c r="AK237" s="7679"/>
      <c r="AL237" s="7679"/>
      <c r="AM237" s="7679"/>
      <c r="AN237" s="7679"/>
      <c r="AO237" s="7679"/>
      <c r="AP237" s="7680"/>
      <c r="AQ237" s="7678"/>
      <c r="AR237" s="7679"/>
      <c r="AS237" s="7679"/>
      <c r="AT237" s="7679"/>
      <c r="AU237" s="7679"/>
      <c r="AV237" s="7679"/>
      <c r="AW237" s="7680"/>
      <c r="AX237" s="7678"/>
      <c r="AY237" s="7679"/>
      <c r="AZ237" s="7679"/>
      <c r="BA237" s="7679"/>
      <c r="BB237" s="7679"/>
      <c r="BC237" s="7679"/>
      <c r="BD237" s="7680"/>
      <c r="BE237" s="7678"/>
      <c r="BF237" s="7679"/>
      <c r="BG237" s="7679"/>
      <c r="BH237" s="7679"/>
      <c r="BI237" s="7679"/>
      <c r="BJ237" s="7679"/>
      <c r="BK237" s="7680"/>
      <c r="BL237" s="7678"/>
      <c r="BM237" s="7679"/>
      <c r="BN237" s="7679"/>
      <c r="BO237" s="7679"/>
      <c r="BP237" s="7679"/>
      <c r="BQ237" s="7679"/>
      <c r="BR237" s="7680"/>
      <c r="BS237" s="7678"/>
      <c r="BT237" s="7679"/>
      <c r="BU237" s="7679"/>
      <c r="BV237" s="7679"/>
      <c r="BW237" s="7679"/>
      <c r="BX237" s="7679"/>
      <c r="BY237" s="7680"/>
      <c r="BZ237" s="7678"/>
      <c r="CA237" s="7679"/>
      <c r="CB237" s="7679"/>
      <c r="CC237" s="7679"/>
      <c r="CD237" s="7679"/>
      <c r="CE237" s="7679"/>
      <c r="CF237" s="7680"/>
      <c r="CG237" s="7678"/>
      <c r="CH237" s="7679"/>
      <c r="CI237" s="7679"/>
      <c r="CJ237" s="7679"/>
      <c r="CK237" s="7679"/>
      <c r="CL237" s="7679"/>
      <c r="CM237" s="7680"/>
      <c r="CN237" s="7678"/>
      <c r="CO237" s="7679"/>
      <c r="CP237" s="7679"/>
      <c r="CQ237" s="7679"/>
      <c r="CR237" s="7679"/>
      <c r="CS237" s="7679"/>
      <c r="CT237" s="7680"/>
      <c r="CU237" s="7680"/>
      <c r="CV237" s="1231" t="s">
        <v>658</v>
      </c>
      <c r="CW237" s="1562"/>
      <c r="CX237" s="1544"/>
      <c r="CY237" s="1544" t="str">
        <f t="shared" si="4"/>
        <v>Группа потребителей</v>
      </c>
      <c r="CZ237" s="1544"/>
      <c r="DA237" s="1544"/>
    </row>
    <row r="238" spans="1:105" s="1827" customFormat="1" ht="23.25" customHeight="1">
      <c r="A238" s="1284"/>
      <c r="B238" s="1284"/>
      <c r="C238" s="1284"/>
      <c r="D238" s="1284"/>
      <c r="E238" s="7690"/>
      <c r="F238" s="7690"/>
      <c r="G238" s="7690"/>
      <c r="H238" s="7690"/>
      <c r="I238" s="7710"/>
      <c r="J238" s="7710" t="str">
        <f>I232&amp;".1"</f>
        <v>13.1.1.1.1</v>
      </c>
      <c r="K238" s="7687" t="str">
        <f>J237&amp;".1"</f>
        <v>13.1.1.1.2.1</v>
      </c>
      <c r="L238" s="1290"/>
      <c r="M238" s="1696"/>
      <c r="N238" s="1696"/>
      <c r="O238" s="1696"/>
      <c r="P238" s="7688"/>
      <c r="Q238" s="7688"/>
      <c r="R238" s="278">
        <v>1</v>
      </c>
      <c r="S238" s="1813" t="str">
        <f>$K238</f>
        <v>13.1.1.1.2.1</v>
      </c>
      <c r="T238" s="1357" t="s">
        <v>670</v>
      </c>
      <c r="U238" s="214"/>
      <c r="V238" s="666"/>
      <c r="W238" s="666"/>
      <c r="X238" s="1181"/>
      <c r="Y238" s="7692"/>
      <c r="Z238" s="7540" t="s">
        <v>60</v>
      </c>
      <c r="AA238" s="7692"/>
      <c r="AB238" s="7540" t="s">
        <v>60</v>
      </c>
      <c r="AC238" s="666">
        <v>61.08</v>
      </c>
      <c r="AD238" s="666"/>
      <c r="AE238" s="1181"/>
      <c r="AF238" s="7692">
        <v>45292</v>
      </c>
      <c r="AG238" s="7540" t="s">
        <v>60</v>
      </c>
      <c r="AH238" s="7711">
        <v>45473</v>
      </c>
      <c r="AI238" s="7540" t="s">
        <v>60</v>
      </c>
      <c r="AJ238" s="666">
        <v>84.09</v>
      </c>
      <c r="AK238" s="666"/>
      <c r="AL238" s="1181"/>
      <c r="AM238" s="7692">
        <v>45474</v>
      </c>
      <c r="AN238" s="7540" t="s">
        <v>60</v>
      </c>
      <c r="AO238" s="7692">
        <v>45657</v>
      </c>
      <c r="AP238" s="7540" t="s">
        <v>60</v>
      </c>
      <c r="AQ238" s="666">
        <v>77.19</v>
      </c>
      <c r="AR238" s="666"/>
      <c r="AS238" s="1181"/>
      <c r="AT238" s="7692">
        <v>45658</v>
      </c>
      <c r="AU238" s="7540" t="s">
        <v>60</v>
      </c>
      <c r="AV238" s="7692">
        <v>45838</v>
      </c>
      <c r="AW238" s="7540" t="s">
        <v>60</v>
      </c>
      <c r="AX238" s="666">
        <v>77.19</v>
      </c>
      <c r="AY238" s="666"/>
      <c r="AZ238" s="1181"/>
      <c r="BA238" s="7692">
        <v>45839</v>
      </c>
      <c r="BB238" s="7540" t="s">
        <v>60</v>
      </c>
      <c r="BC238" s="7692">
        <v>46022</v>
      </c>
      <c r="BD238" s="7540" t="s">
        <v>60</v>
      </c>
      <c r="BE238" s="666">
        <v>77.19</v>
      </c>
      <c r="BF238" s="666"/>
      <c r="BG238" s="1181"/>
      <c r="BH238" s="7692">
        <v>46023</v>
      </c>
      <c r="BI238" s="7540" t="s">
        <v>60</v>
      </c>
      <c r="BJ238" s="7692">
        <v>46203</v>
      </c>
      <c r="BK238" s="7540" t="s">
        <v>60</v>
      </c>
      <c r="BL238" s="666">
        <v>77.97</v>
      </c>
      <c r="BM238" s="666"/>
      <c r="BN238" s="1181"/>
      <c r="BO238" s="7692">
        <v>46204</v>
      </c>
      <c r="BP238" s="7540" t="s">
        <v>60</v>
      </c>
      <c r="BQ238" s="7692">
        <v>46387</v>
      </c>
      <c r="BR238" s="7540" t="s">
        <v>60</v>
      </c>
      <c r="BS238" s="666">
        <v>77.97</v>
      </c>
      <c r="BT238" s="666"/>
      <c r="BU238" s="1181"/>
      <c r="BV238" s="7692">
        <v>46388</v>
      </c>
      <c r="BW238" s="7540" t="s">
        <v>60</v>
      </c>
      <c r="BX238" s="7692">
        <v>46568</v>
      </c>
      <c r="BY238" s="7540" t="s">
        <v>60</v>
      </c>
      <c r="BZ238" s="666">
        <v>82.24</v>
      </c>
      <c r="CA238" s="666"/>
      <c r="CB238" s="1181"/>
      <c r="CC238" s="7692">
        <v>46569</v>
      </c>
      <c r="CD238" s="7540" t="s">
        <v>60</v>
      </c>
      <c r="CE238" s="7692">
        <v>46752</v>
      </c>
      <c r="CF238" s="7540" t="s">
        <v>60</v>
      </c>
      <c r="CG238" s="666">
        <v>82.24</v>
      </c>
      <c r="CH238" s="666"/>
      <c r="CI238" s="1181"/>
      <c r="CJ238" s="7692">
        <v>46753</v>
      </c>
      <c r="CK238" s="7540" t="s">
        <v>60</v>
      </c>
      <c r="CL238" s="7692">
        <v>46934</v>
      </c>
      <c r="CM238" s="7540" t="s">
        <v>60</v>
      </c>
      <c r="CN238" s="666">
        <v>84.74</v>
      </c>
      <c r="CO238" s="666"/>
      <c r="CP238" s="1181"/>
      <c r="CQ238" s="7692">
        <v>46935</v>
      </c>
      <c r="CR238" s="7540" t="s">
        <v>60</v>
      </c>
      <c r="CS238" s="7692">
        <v>47118</v>
      </c>
      <c r="CT238" s="7540" t="s">
        <v>60</v>
      </c>
      <c r="CU238" s="1358"/>
      <c r="CV238"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38" s="1562" t="e">
        <f ca="1">STRCHECKDATE(V239:CU239)</f>
        <v>#NAME?</v>
      </c>
      <c r="CX238" s="1544"/>
      <c r="CY238" s="1544" t="str">
        <f t="shared" si="4"/>
        <v>Тариф, руб. за 1 куб. метр без НДС</v>
      </c>
      <c r="CZ238" s="1544"/>
      <c r="DA238" s="1544"/>
    </row>
    <row r="239" spans="1:105" s="1827" customFormat="1" ht="14.25" customHeight="1">
      <c r="A239" s="1284"/>
      <c r="B239" s="1284"/>
      <c r="C239" s="1284"/>
      <c r="D239" s="1284"/>
      <c r="E239" s="7690"/>
      <c r="F239" s="7690"/>
      <c r="G239" s="7690"/>
      <c r="H239" s="7690"/>
      <c r="I239" s="7710"/>
      <c r="J239" s="7710" t="str">
        <f>I232&amp;".1"</f>
        <v>13.1.1.1.1</v>
      </c>
      <c r="K239" s="7687"/>
      <c r="L239" s="1290"/>
      <c r="M239" s="1696"/>
      <c r="N239" s="1696"/>
      <c r="O239" s="1696"/>
      <c r="P239" s="7688"/>
      <c r="Q239" s="7688"/>
      <c r="R239" s="278"/>
      <c r="S239" s="1822"/>
      <c r="T239" s="214"/>
      <c r="U239" s="214"/>
      <c r="V239" s="246"/>
      <c r="W239" s="246"/>
      <c r="X239" s="250" t="str">
        <f>Y238&amp;"-"&amp;AA238</f>
        <v>-</v>
      </c>
      <c r="Y239" s="7693"/>
      <c r="Z239" s="7540"/>
      <c r="AA239" s="7693"/>
      <c r="AB239" s="7540"/>
      <c r="AC239" s="246"/>
      <c r="AD239" s="246"/>
      <c r="AE239" s="250" t="str">
        <f>AF238&amp;"-"&amp;AH238</f>
        <v>45292-45473</v>
      </c>
      <c r="AF239" s="7693"/>
      <c r="AG239" s="7540"/>
      <c r="AH239" s="7712"/>
      <c r="AI239" s="7540"/>
      <c r="AJ239" s="246"/>
      <c r="AK239" s="246"/>
      <c r="AL239" s="250" t="str">
        <f>AM238&amp;"-"&amp;AO238</f>
        <v>45474-45657</v>
      </c>
      <c r="AM239" s="7693"/>
      <c r="AN239" s="7540"/>
      <c r="AO239" s="7693"/>
      <c r="AP239" s="7540"/>
      <c r="AQ239" s="246"/>
      <c r="AR239" s="246"/>
      <c r="AS239" s="250" t="str">
        <f>AT238&amp;"-"&amp;AV238</f>
        <v>45658-45838</v>
      </c>
      <c r="AT239" s="7693"/>
      <c r="AU239" s="7540"/>
      <c r="AV239" s="7693"/>
      <c r="AW239" s="7540"/>
      <c r="AX239" s="246"/>
      <c r="AY239" s="246"/>
      <c r="AZ239" s="250" t="str">
        <f>BA238&amp;"-"&amp;BC238</f>
        <v>45839-46022</v>
      </c>
      <c r="BA239" s="7693"/>
      <c r="BB239" s="7540"/>
      <c r="BC239" s="7693"/>
      <c r="BD239" s="7540"/>
      <c r="BE239" s="246"/>
      <c r="BF239" s="246"/>
      <c r="BG239" s="250" t="str">
        <f>BH238&amp;"-"&amp;BJ238</f>
        <v>46023-46203</v>
      </c>
      <c r="BH239" s="7693"/>
      <c r="BI239" s="7540"/>
      <c r="BJ239" s="7693"/>
      <c r="BK239" s="7540"/>
      <c r="BL239" s="246"/>
      <c r="BM239" s="246"/>
      <c r="BN239" s="250" t="str">
        <f>BO238&amp;"-"&amp;BQ238</f>
        <v>46204-46387</v>
      </c>
      <c r="BO239" s="7693"/>
      <c r="BP239" s="7540"/>
      <c r="BQ239" s="7693"/>
      <c r="BR239" s="7540"/>
      <c r="BS239" s="246"/>
      <c r="BT239" s="246"/>
      <c r="BU239" s="250" t="str">
        <f>BV238&amp;"-"&amp;BX238</f>
        <v>46388-46568</v>
      </c>
      <c r="BV239" s="7693"/>
      <c r="BW239" s="7540"/>
      <c r="BX239" s="7693"/>
      <c r="BY239" s="7540"/>
      <c r="BZ239" s="246"/>
      <c r="CA239" s="246"/>
      <c r="CB239" s="250" t="str">
        <f>CC238&amp;"-"&amp;CE238</f>
        <v>46569-46752</v>
      </c>
      <c r="CC239" s="7693"/>
      <c r="CD239" s="7540"/>
      <c r="CE239" s="7693"/>
      <c r="CF239" s="7540"/>
      <c r="CG239" s="246"/>
      <c r="CH239" s="246"/>
      <c r="CI239" s="250" t="str">
        <f>CJ238&amp;"-"&amp;CL238</f>
        <v>46753-46934</v>
      </c>
      <c r="CJ239" s="7693"/>
      <c r="CK239" s="7540"/>
      <c r="CL239" s="7693"/>
      <c r="CM239" s="7540"/>
      <c r="CN239" s="246"/>
      <c r="CO239" s="246"/>
      <c r="CP239" s="250" t="str">
        <f>CQ238&amp;"-"&amp;CS238</f>
        <v>46935-47118</v>
      </c>
      <c r="CQ239" s="7693"/>
      <c r="CR239" s="7540"/>
      <c r="CS239" s="7693"/>
      <c r="CT239" s="7540"/>
      <c r="CU239" s="1359"/>
      <c r="CV239" s="7747"/>
      <c r="CW239" s="1562"/>
      <c r="CX239" s="1544"/>
      <c r="CY239" s="1544" t="str">
        <f t="shared" si="4"/>
        <v/>
      </c>
      <c r="CZ239" s="1544"/>
      <c r="DA239" s="1544"/>
    </row>
    <row r="240" spans="1:105" s="1827" customFormat="1" ht="21" customHeight="1">
      <c r="A240" s="1284"/>
      <c r="B240" s="1284"/>
      <c r="C240" s="1284"/>
      <c r="D240" s="1284"/>
      <c r="E240" s="7690"/>
      <c r="F240" s="7690"/>
      <c r="G240" s="7690"/>
      <c r="H240" s="7690"/>
      <c r="I240" s="7710"/>
      <c r="J240" s="7687" t="str">
        <f>I232&amp;".1"</f>
        <v>13.1.1.1.1</v>
      </c>
      <c r="K240" s="1284"/>
      <c r="L240" s="1290"/>
      <c r="M240" s="1696"/>
      <c r="N240" s="1696"/>
      <c r="O240" s="1696"/>
      <c r="P240" s="7688"/>
      <c r="Q240" s="7688"/>
      <c r="R240" s="277"/>
      <c r="S240" s="5910"/>
      <c r="T240" s="5911" t="s">
        <v>659</v>
      </c>
      <c r="U240" s="5912"/>
      <c r="V240" s="5913"/>
      <c r="W240" s="5914"/>
      <c r="X240" s="5915"/>
      <c r="Y240" s="5916"/>
      <c r="Z240" s="5917"/>
      <c r="AA240" s="5918"/>
      <c r="AB240" s="5919"/>
      <c r="AC240" s="5920"/>
      <c r="AD240" s="5921"/>
      <c r="AE240" s="5922"/>
      <c r="AF240" s="5923"/>
      <c r="AG240" s="5924"/>
      <c r="AH240" s="5925"/>
      <c r="AI240" s="5926"/>
      <c r="AJ240" s="5927"/>
      <c r="AK240" s="5928"/>
      <c r="AL240" s="5929"/>
      <c r="AM240" s="5930"/>
      <c r="AN240" s="5931"/>
      <c r="AO240" s="5932"/>
      <c r="AP240" s="5933"/>
      <c r="AQ240" s="5934"/>
      <c r="AR240" s="5935"/>
      <c r="AS240" s="5936"/>
      <c r="AT240" s="5937"/>
      <c r="AU240" s="5938"/>
      <c r="AV240" s="5939"/>
      <c r="AW240" s="5940"/>
      <c r="AX240" s="5941"/>
      <c r="AY240" s="5942"/>
      <c r="AZ240" s="5943"/>
      <c r="BA240" s="5944"/>
      <c r="BB240" s="5945"/>
      <c r="BC240" s="5946"/>
      <c r="BD240" s="5947"/>
      <c r="BE240" s="5948"/>
      <c r="BF240" s="5949"/>
      <c r="BG240" s="5950"/>
      <c r="BH240" s="5951"/>
      <c r="BI240" s="5952"/>
      <c r="BJ240" s="5953"/>
      <c r="BK240" s="5954"/>
      <c r="BL240" s="5955"/>
      <c r="BM240" s="5956"/>
      <c r="BN240" s="5957"/>
      <c r="BO240" s="5958"/>
      <c r="BP240" s="5959"/>
      <c r="BQ240" s="5960"/>
      <c r="BR240" s="5961"/>
      <c r="BS240" s="5962"/>
      <c r="BT240" s="5963"/>
      <c r="BU240" s="5964"/>
      <c r="BV240" s="5965"/>
      <c r="BW240" s="5966"/>
      <c r="BX240" s="5967"/>
      <c r="BY240" s="5968"/>
      <c r="BZ240" s="5969"/>
      <c r="CA240" s="5970"/>
      <c r="CB240" s="5971"/>
      <c r="CC240" s="5972"/>
      <c r="CD240" s="5973"/>
      <c r="CE240" s="5974"/>
      <c r="CF240" s="5975"/>
      <c r="CG240" s="5976"/>
      <c r="CH240" s="5977"/>
      <c r="CI240" s="5978"/>
      <c r="CJ240" s="5979"/>
      <c r="CK240" s="5980"/>
      <c r="CL240" s="5981"/>
      <c r="CM240" s="5982"/>
      <c r="CN240" s="5983"/>
      <c r="CO240" s="5984"/>
      <c r="CP240" s="5985"/>
      <c r="CQ240" s="5986"/>
      <c r="CR240" s="5987"/>
      <c r="CS240" s="5988"/>
      <c r="CT240" s="5989"/>
      <c r="CU240" s="5990"/>
      <c r="CV240" s="1182" t="s">
        <v>660</v>
      </c>
      <c r="CW240" s="1562"/>
      <c r="CX240" s="1544"/>
      <c r="CY240" s="1544" t="str">
        <f t="shared" si="4"/>
        <v>Добавить значение признака дифференциации</v>
      </c>
      <c r="CZ240" s="1544"/>
      <c r="DA240" s="1544"/>
    </row>
    <row r="241" spans="1:105" s="1827" customFormat="1" ht="21" customHeight="1">
      <c r="A241" s="1284"/>
      <c r="B241" s="1284"/>
      <c r="C241" s="1284"/>
      <c r="D241" s="1284"/>
      <c r="E241" s="7690" t="s">
        <v>136</v>
      </c>
      <c r="F241" s="7690"/>
      <c r="G241" s="7690"/>
      <c r="H241" s="7690"/>
      <c r="I241" s="7687"/>
      <c r="J241" s="1284"/>
      <c r="K241" s="1284"/>
      <c r="L241" s="1290"/>
      <c r="M241" s="1696"/>
      <c r="N241" s="1696"/>
      <c r="O241" s="1696"/>
      <c r="P241" s="7688"/>
      <c r="Q241" s="1816"/>
      <c r="R241" s="277"/>
      <c r="S241" s="5991"/>
      <c r="T241" s="5992" t="s">
        <v>588</v>
      </c>
      <c r="U241" s="5993"/>
      <c r="V241" s="5994"/>
      <c r="W241" s="5995"/>
      <c r="X241" s="5996"/>
      <c r="Y241" s="5997"/>
      <c r="Z241" s="5998"/>
      <c r="AA241" s="5999"/>
      <c r="AB241" s="6000"/>
      <c r="AC241" s="6001"/>
      <c r="AD241" s="6002"/>
      <c r="AE241" s="6003"/>
      <c r="AF241" s="6004"/>
      <c r="AG241" s="6005"/>
      <c r="AH241" s="6006"/>
      <c r="AI241" s="6007"/>
      <c r="AJ241" s="6008"/>
      <c r="AK241" s="6009"/>
      <c r="AL241" s="6010"/>
      <c r="AM241" s="6011"/>
      <c r="AN241" s="6012"/>
      <c r="AO241" s="6013"/>
      <c r="AP241" s="6014"/>
      <c r="AQ241" s="6015"/>
      <c r="AR241" s="6016"/>
      <c r="AS241" s="6017"/>
      <c r="AT241" s="6018"/>
      <c r="AU241" s="6019"/>
      <c r="AV241" s="6020"/>
      <c r="AW241" s="6021"/>
      <c r="AX241" s="6022"/>
      <c r="AY241" s="6023"/>
      <c r="AZ241" s="6024"/>
      <c r="BA241" s="6025"/>
      <c r="BB241" s="6026"/>
      <c r="BC241" s="6027"/>
      <c r="BD241" s="6028"/>
      <c r="BE241" s="6029"/>
      <c r="BF241" s="6030"/>
      <c r="BG241" s="6031"/>
      <c r="BH241" s="6032"/>
      <c r="BI241" s="6033"/>
      <c r="BJ241" s="6034"/>
      <c r="BK241" s="6035"/>
      <c r="BL241" s="6036"/>
      <c r="BM241" s="6037"/>
      <c r="BN241" s="6038"/>
      <c r="BO241" s="6039"/>
      <c r="BP241" s="6040"/>
      <c r="BQ241" s="6041"/>
      <c r="BR241" s="6042"/>
      <c r="BS241" s="6043"/>
      <c r="BT241" s="6044"/>
      <c r="BU241" s="6045"/>
      <c r="BV241" s="6046"/>
      <c r="BW241" s="6047"/>
      <c r="BX241" s="6048"/>
      <c r="BY241" s="6049"/>
      <c r="BZ241" s="6050"/>
      <c r="CA241" s="6051"/>
      <c r="CB241" s="6052"/>
      <c r="CC241" s="6053"/>
      <c r="CD241" s="6054"/>
      <c r="CE241" s="6055"/>
      <c r="CF241" s="6056"/>
      <c r="CG241" s="6057"/>
      <c r="CH241" s="6058"/>
      <c r="CI241" s="6059"/>
      <c r="CJ241" s="6060"/>
      <c r="CK241" s="6061"/>
      <c r="CL241" s="6062"/>
      <c r="CM241" s="6063"/>
      <c r="CN241" s="6064"/>
      <c r="CO241" s="6065"/>
      <c r="CP241" s="6066"/>
      <c r="CQ241" s="6067"/>
      <c r="CR241" s="6068"/>
      <c r="CS241" s="6069"/>
      <c r="CT241" s="6070"/>
      <c r="CU241" s="6071"/>
      <c r="CV241" s="6072"/>
      <c r="CW241" s="1562"/>
      <c r="CX241" s="1544"/>
      <c r="CY241" s="1544" t="str">
        <f t="shared" si="4"/>
        <v>Добавить группу потребителей</v>
      </c>
      <c r="CZ241" s="1544"/>
      <c r="DA241" s="1544"/>
    </row>
    <row r="242" spans="1:105" s="1827" customFormat="1" ht="14.25" customHeight="1">
      <c r="A242" s="1284"/>
      <c r="B242" s="1284"/>
      <c r="C242" s="1284"/>
      <c r="D242" s="1284"/>
      <c r="E242" s="7690" t="s">
        <v>136</v>
      </c>
      <c r="F242" s="7690"/>
      <c r="G242" s="7690"/>
      <c r="H242" s="7689"/>
      <c r="I242" s="1284"/>
      <c r="J242" s="1284"/>
      <c r="K242" s="1284"/>
      <c r="L242" s="1290"/>
      <c r="M242" s="1286"/>
      <c r="N242" s="1286"/>
      <c r="O242" s="1287"/>
      <c r="P242" s="1742"/>
      <c r="Q242" s="299"/>
      <c r="R242" s="276"/>
      <c r="S242" s="6073"/>
      <c r="T242" s="6074" t="s">
        <v>661</v>
      </c>
      <c r="U242" s="6075"/>
      <c r="V242" s="6076"/>
      <c r="W242" s="6077"/>
      <c r="X242" s="6078"/>
      <c r="Y242" s="6079"/>
      <c r="Z242" s="6080"/>
      <c r="AA242" s="6081"/>
      <c r="AB242" s="6082"/>
      <c r="AC242" s="6083"/>
      <c r="AD242" s="6084"/>
      <c r="AE242" s="6085"/>
      <c r="AF242" s="6086"/>
      <c r="AG242" s="6087"/>
      <c r="AH242" s="6088"/>
      <c r="AI242" s="6089"/>
      <c r="AJ242" s="6090"/>
      <c r="AK242" s="6091"/>
      <c r="AL242" s="6092"/>
      <c r="AM242" s="6093"/>
      <c r="AN242" s="6094"/>
      <c r="AO242" s="6095"/>
      <c r="AP242" s="6096"/>
      <c r="AQ242" s="6097"/>
      <c r="AR242" s="6098"/>
      <c r="AS242" s="6099"/>
      <c r="AT242" s="6100"/>
      <c r="AU242" s="6101"/>
      <c r="AV242" s="6102"/>
      <c r="AW242" s="6103"/>
      <c r="AX242" s="6104"/>
      <c r="AY242" s="6105"/>
      <c r="AZ242" s="6106"/>
      <c r="BA242" s="6107"/>
      <c r="BB242" s="6108"/>
      <c r="BC242" s="6109"/>
      <c r="BD242" s="6110"/>
      <c r="BE242" s="6111"/>
      <c r="BF242" s="6112"/>
      <c r="BG242" s="6113"/>
      <c r="BH242" s="6114"/>
      <c r="BI242" s="6115"/>
      <c r="BJ242" s="6116"/>
      <c r="BK242" s="6117"/>
      <c r="BL242" s="6118"/>
      <c r="BM242" s="6119"/>
      <c r="BN242" s="6120"/>
      <c r="BO242" s="6121"/>
      <c r="BP242" s="6122"/>
      <c r="BQ242" s="6123"/>
      <c r="BR242" s="6124"/>
      <c r="BS242" s="6125"/>
      <c r="BT242" s="6126"/>
      <c r="BU242" s="6127"/>
      <c r="BV242" s="6128"/>
      <c r="BW242" s="6129"/>
      <c r="BX242" s="6130"/>
      <c r="BY242" s="6131"/>
      <c r="BZ242" s="6132"/>
      <c r="CA242" s="6133"/>
      <c r="CB242" s="6134"/>
      <c r="CC242" s="6135"/>
      <c r="CD242" s="6136"/>
      <c r="CE242" s="6137"/>
      <c r="CF242" s="6138"/>
      <c r="CG242" s="6139"/>
      <c r="CH242" s="6140"/>
      <c r="CI242" s="6141"/>
      <c r="CJ242" s="6142"/>
      <c r="CK242" s="6143"/>
      <c r="CL242" s="6144"/>
      <c r="CM242" s="6145"/>
      <c r="CN242" s="6146"/>
      <c r="CO242" s="6147"/>
      <c r="CP242" s="6148"/>
      <c r="CQ242" s="6149"/>
      <c r="CR242" s="6150"/>
      <c r="CS242" s="6151"/>
      <c r="CT242" s="6152"/>
      <c r="CU242" s="6153"/>
      <c r="CV242" s="6154"/>
      <c r="CW242" s="1562"/>
      <c r="CX242" s="1544"/>
      <c r="CY242" s="1544" t="str">
        <f t="shared" si="4"/>
        <v>Добавить наименование признака дифференциации</v>
      </c>
      <c r="CZ242" s="1544"/>
      <c r="DA242" s="1544"/>
    </row>
    <row r="243" spans="1:105" s="541" customFormat="1" ht="14.25" customHeight="1">
      <c r="A243" s="1265"/>
      <c r="B243" s="1265"/>
      <c r="C243" s="1265"/>
      <c r="D243" s="1265"/>
      <c r="E243" s="7690" t="s">
        <v>136</v>
      </c>
      <c r="F243" s="7689"/>
      <c r="G243" s="1265"/>
      <c r="H243" s="1265"/>
      <c r="I243" s="1265"/>
      <c r="J243" s="1265"/>
      <c r="K243" s="1265"/>
      <c r="L243" s="1466"/>
      <c r="M243" s="1244"/>
      <c r="N243" s="1244"/>
      <c r="O243" s="1562"/>
      <c r="P243" s="1239"/>
      <c r="Q243" s="1266"/>
      <c r="R243" s="1239"/>
      <c r="S243" s="1245"/>
      <c r="T243" s="1248" t="s">
        <v>325</v>
      </c>
      <c r="U243" s="1247"/>
      <c r="V243" s="1247"/>
      <c r="W243" s="1247"/>
      <c r="X243" s="1247"/>
      <c r="Y243" s="1247"/>
      <c r="Z243" s="1247"/>
      <c r="AA243" s="1247"/>
      <c r="AB243" s="1247"/>
      <c r="AC243" s="1247"/>
      <c r="AD243" s="1247"/>
      <c r="AE243" s="1247"/>
      <c r="AF243" s="1247"/>
      <c r="AG243" s="1247"/>
      <c r="AH243" s="1247"/>
      <c r="AI243" s="1247"/>
      <c r="AJ243" s="1247"/>
      <c r="AK243" s="1247"/>
      <c r="AL243" s="1247"/>
      <c r="AM243" s="1247"/>
      <c r="AN243" s="1247"/>
      <c r="AO243" s="1247"/>
      <c r="AP243" s="1247"/>
      <c r="AQ243" s="1247"/>
      <c r="AR243" s="1247"/>
      <c r="AS243" s="1247"/>
      <c r="AT243" s="1247"/>
      <c r="AU243" s="1247"/>
      <c r="AV243" s="1247"/>
      <c r="AW243" s="1247"/>
      <c r="AX243" s="1247"/>
      <c r="AY243" s="1247"/>
      <c r="AZ243" s="1247"/>
      <c r="BA243" s="1247"/>
      <c r="BB243" s="1247"/>
      <c r="BC243" s="1247"/>
      <c r="BD243" s="1247"/>
      <c r="BE243" s="1247"/>
      <c r="BF243" s="1247"/>
      <c r="BG243" s="1247"/>
      <c r="BH243" s="1247"/>
      <c r="BI243" s="1247"/>
      <c r="BJ243" s="1247"/>
      <c r="BK243" s="1247"/>
      <c r="BL243" s="1247"/>
      <c r="BM243" s="1247"/>
      <c r="BN243" s="1247"/>
      <c r="BO243" s="1247"/>
      <c r="BP243" s="1247"/>
      <c r="BQ243" s="1247"/>
      <c r="BR243" s="1247"/>
      <c r="BS243" s="1247"/>
      <c r="BT243" s="1247"/>
      <c r="BU243" s="1247"/>
      <c r="BV243" s="1247"/>
      <c r="BW243" s="1247"/>
      <c r="BX243" s="1247"/>
      <c r="BY243" s="1247"/>
      <c r="BZ243" s="1247"/>
      <c r="CA243" s="1247"/>
      <c r="CB243" s="1247"/>
      <c r="CC243" s="1247"/>
      <c r="CD243" s="1247"/>
      <c r="CE243" s="1247"/>
      <c r="CF243" s="1247"/>
      <c r="CG243" s="1247"/>
      <c r="CH243" s="1247"/>
      <c r="CI243" s="1247"/>
      <c r="CJ243" s="1247"/>
      <c r="CK243" s="1247"/>
      <c r="CL243" s="1247"/>
      <c r="CM243" s="1247"/>
      <c r="CN243" s="1247"/>
      <c r="CO243" s="1247"/>
      <c r="CP243" s="1247"/>
      <c r="CQ243" s="1247"/>
      <c r="CR243" s="1247"/>
      <c r="CS243" s="1247"/>
      <c r="CT243" s="1247"/>
      <c r="CU243" s="1247"/>
      <c r="CV243" s="1247"/>
      <c r="CW243" s="1562"/>
      <c r="CX243" s="1544"/>
      <c r="CY243" s="1544" t="str">
        <f t="shared" si="4"/>
        <v>Добавить централизованную систему для дифференциации</v>
      </c>
      <c r="CZ243" s="1544"/>
      <c r="DA243" s="1544"/>
    </row>
    <row r="244" spans="1:105" s="541" customFormat="1" ht="14.25" customHeight="1">
      <c r="A244" s="1265"/>
      <c r="B244" s="1265"/>
      <c r="C244" s="1265"/>
      <c r="D244" s="1265"/>
      <c r="E244" s="7689" t="s">
        <v>136</v>
      </c>
      <c r="F244" s="1265"/>
      <c r="G244" s="1265"/>
      <c r="H244" s="1265"/>
      <c r="I244" s="1265"/>
      <c r="J244" s="1265"/>
      <c r="K244" s="1265"/>
      <c r="L244" s="1466"/>
      <c r="M244" s="1244"/>
      <c r="N244" s="1244"/>
      <c r="O244" s="1562"/>
      <c r="P244" s="1239"/>
      <c r="Q244" s="1266"/>
      <c r="R244" s="1239"/>
      <c r="S244" s="1245"/>
      <c r="T244" s="1248" t="s">
        <v>326</v>
      </c>
      <c r="U244" s="1247"/>
      <c r="V244" s="1247"/>
      <c r="W244" s="1247"/>
      <c r="X244" s="1247"/>
      <c r="Y244" s="1247"/>
      <c r="Z244" s="1247"/>
      <c r="AA244" s="1247"/>
      <c r="AB244" s="1247"/>
      <c r="AC244" s="1247"/>
      <c r="AD244" s="1247"/>
      <c r="AE244" s="1247"/>
      <c r="AF244" s="1247"/>
      <c r="AG244" s="1247"/>
      <c r="AH244" s="1247"/>
      <c r="AI244" s="1247"/>
      <c r="AJ244" s="1247"/>
      <c r="AK244" s="1247"/>
      <c r="AL244" s="1247"/>
      <c r="AM244" s="1247"/>
      <c r="AN244" s="1247"/>
      <c r="AO244" s="1247"/>
      <c r="AP244" s="1247"/>
      <c r="AQ244" s="1247"/>
      <c r="AR244" s="1247"/>
      <c r="AS244" s="1247"/>
      <c r="AT244" s="1247"/>
      <c r="AU244" s="1247"/>
      <c r="AV244" s="1247"/>
      <c r="AW244" s="1247"/>
      <c r="AX244" s="1247"/>
      <c r="AY244" s="1247"/>
      <c r="AZ244" s="1247"/>
      <c r="BA244" s="1247"/>
      <c r="BB244" s="1247"/>
      <c r="BC244" s="1247"/>
      <c r="BD244" s="1247"/>
      <c r="BE244" s="1247"/>
      <c r="BF244" s="1247"/>
      <c r="BG244" s="1247"/>
      <c r="BH244" s="1247"/>
      <c r="BI244" s="1247"/>
      <c r="BJ244" s="1247"/>
      <c r="BK244" s="1247"/>
      <c r="BL244" s="1247"/>
      <c r="BM244" s="1247"/>
      <c r="BN244" s="1247"/>
      <c r="BO244" s="1247"/>
      <c r="BP244" s="1247"/>
      <c r="BQ244" s="1247"/>
      <c r="BR244" s="1247"/>
      <c r="BS244" s="1247"/>
      <c r="BT244" s="1247"/>
      <c r="BU244" s="1247"/>
      <c r="BV244" s="1247"/>
      <c r="BW244" s="1247"/>
      <c r="BX244" s="1247"/>
      <c r="BY244" s="1247"/>
      <c r="BZ244" s="1247"/>
      <c r="CA244" s="1247"/>
      <c r="CB244" s="1247"/>
      <c r="CC244" s="1247"/>
      <c r="CD244" s="1247"/>
      <c r="CE244" s="1247"/>
      <c r="CF244" s="1247"/>
      <c r="CG244" s="1247"/>
      <c r="CH244" s="1247"/>
      <c r="CI244" s="1247"/>
      <c r="CJ244" s="1247"/>
      <c r="CK244" s="1247"/>
      <c r="CL244" s="1247"/>
      <c r="CM244" s="1247"/>
      <c r="CN244" s="1247"/>
      <c r="CO244" s="1247"/>
      <c r="CP244" s="1247"/>
      <c r="CQ244" s="1247"/>
      <c r="CR244" s="1247"/>
      <c r="CS244" s="1247"/>
      <c r="CT244" s="1247"/>
      <c r="CU244" s="1247"/>
      <c r="CV244" s="1247"/>
      <c r="CW244" s="1562"/>
      <c r="CX244" s="1544"/>
      <c r="CY244" s="1544" t="str">
        <f t="shared" si="4"/>
        <v>Добавить территорию для дифференциации</v>
      </c>
      <c r="CZ244" s="1544"/>
      <c r="DA244" s="1544"/>
    </row>
    <row r="245" spans="1:105" s="1827" customFormat="1" ht="23.25" customHeight="1">
      <c r="A245" s="1284" t="s">
        <v>388</v>
      </c>
      <c r="B245" s="1284"/>
      <c r="C245" s="1284"/>
      <c r="D245" s="1284"/>
      <c r="E245" s="7689" t="s">
        <v>144</v>
      </c>
      <c r="F245" s="1284"/>
      <c r="G245" s="1284"/>
      <c r="H245" s="1284"/>
      <c r="I245" s="1284"/>
      <c r="J245" s="1284"/>
      <c r="K245" s="1284"/>
      <c r="L245" s="1290"/>
      <c r="M245" s="1286"/>
      <c r="N245" s="1286"/>
      <c r="O245" s="1286"/>
      <c r="P245" s="1817"/>
      <c r="Q245" s="1742"/>
      <c r="R245" s="276"/>
      <c r="S245" s="1813" t="str">
        <f>INDEX(PT_DIFFERENTIATION_NUM_NTAR,MATCH(A245,PT_DIFFERENTIATION_NTAR_ID,0))</f>
        <v>14</v>
      </c>
      <c r="T245" s="1440" t="s">
        <v>237</v>
      </c>
      <c r="U245" s="214"/>
      <c r="V245" s="7675"/>
      <c r="W245" s="7676"/>
      <c r="X245" s="7676"/>
      <c r="Y245" s="7676"/>
      <c r="Z245" s="7676"/>
      <c r="AA245" s="7676"/>
      <c r="AB245" s="7677"/>
      <c r="AC245" s="7675" t="str">
        <f>INDEX(PT_DIFFERENTIATION_NTAR,MATCH(A245,PT_DIFFERENTIATION_NTAR_ID,0))</f>
        <v>Тарифы на питьевую воду для потребителей, присоединенных к централизованным системам водоснабжения села Просянки Петровского муниципального округа</v>
      </c>
      <c r="AD245" s="7676"/>
      <c r="AE245" s="7676"/>
      <c r="AF245" s="7676"/>
      <c r="AG245" s="7676"/>
      <c r="AH245" s="7676"/>
      <c r="AI245" s="7676"/>
      <c r="AJ245" s="7675"/>
      <c r="AK245" s="7676"/>
      <c r="AL245" s="7676"/>
      <c r="AM245" s="7676"/>
      <c r="AN245" s="7676"/>
      <c r="AO245" s="7676"/>
      <c r="AP245" s="7677"/>
      <c r="AQ245" s="7675"/>
      <c r="AR245" s="7676"/>
      <c r="AS245" s="7676"/>
      <c r="AT245" s="7676"/>
      <c r="AU245" s="7676"/>
      <c r="AV245" s="7676"/>
      <c r="AW245" s="7677"/>
      <c r="AX245" s="7675"/>
      <c r="AY245" s="7676"/>
      <c r="AZ245" s="7676"/>
      <c r="BA245" s="7676"/>
      <c r="BB245" s="7676"/>
      <c r="BC245" s="7676"/>
      <c r="BD245" s="7677"/>
      <c r="BE245" s="7675"/>
      <c r="BF245" s="7676"/>
      <c r="BG245" s="7676"/>
      <c r="BH245" s="7676"/>
      <c r="BI245" s="7676"/>
      <c r="BJ245" s="7676"/>
      <c r="BK245" s="7677"/>
      <c r="BL245" s="7675"/>
      <c r="BM245" s="7676"/>
      <c r="BN245" s="7676"/>
      <c r="BO245" s="7676"/>
      <c r="BP245" s="7676"/>
      <c r="BQ245" s="7676"/>
      <c r="BR245" s="7677"/>
      <c r="BS245" s="7675"/>
      <c r="BT245" s="7676"/>
      <c r="BU245" s="7676"/>
      <c r="BV245" s="7676"/>
      <c r="BW245" s="7676"/>
      <c r="BX245" s="7676"/>
      <c r="BY245" s="7677"/>
      <c r="BZ245" s="7675"/>
      <c r="CA245" s="7676"/>
      <c r="CB245" s="7676"/>
      <c r="CC245" s="7676"/>
      <c r="CD245" s="7676"/>
      <c r="CE245" s="7676"/>
      <c r="CF245" s="7677"/>
      <c r="CG245" s="7675"/>
      <c r="CH245" s="7676"/>
      <c r="CI245" s="7676"/>
      <c r="CJ245" s="7676"/>
      <c r="CK245" s="7676"/>
      <c r="CL245" s="7676"/>
      <c r="CM245" s="7677"/>
      <c r="CN245" s="7675"/>
      <c r="CO245" s="7676"/>
      <c r="CP245" s="7676"/>
      <c r="CQ245" s="7676"/>
      <c r="CR245" s="7676"/>
      <c r="CS245" s="7676"/>
      <c r="CT245" s="7677"/>
      <c r="CU245" s="7677"/>
      <c r="CV245"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245" s="1562"/>
      <c r="CX245" s="1544"/>
      <c r="CY245" s="1544" t="str">
        <f t="shared" si="4"/>
        <v>Наименование тарифа</v>
      </c>
      <c r="CZ245" s="1544"/>
      <c r="DA245" s="1544"/>
    </row>
    <row r="246" spans="1:105" s="1827" customFormat="1" ht="23.25" customHeight="1">
      <c r="A246" s="1284"/>
      <c r="B246" s="1284" t="s">
        <v>389</v>
      </c>
      <c r="C246" s="1284"/>
      <c r="D246" s="1284"/>
      <c r="E246" s="7690" t="s">
        <v>140</v>
      </c>
      <c r="F246" s="7689">
        <v>1</v>
      </c>
      <c r="G246" s="1284"/>
      <c r="H246" s="1284"/>
      <c r="I246" s="1284"/>
      <c r="J246" s="1284"/>
      <c r="K246" s="1284"/>
      <c r="L246" s="1290"/>
      <c r="M246" s="1286"/>
      <c r="N246" s="1286"/>
      <c r="O246" s="1286"/>
      <c r="P246" s="1807"/>
      <c r="Q246" s="273"/>
      <c r="R246" s="274"/>
      <c r="S246" s="1813" t="str">
        <f>INDEX(PT_DIFFERENTIATION_NUM_TER,MATCH(B246,PT_DIFFERENTIATION_TER_ID,0))</f>
        <v>14.1</v>
      </c>
      <c r="T246" s="1437" t="s">
        <v>573</v>
      </c>
      <c r="U246" s="214"/>
      <c r="V246" s="7675"/>
      <c r="W246" s="7676"/>
      <c r="X246" s="7676"/>
      <c r="Y246" s="7676"/>
      <c r="Z246" s="7676"/>
      <c r="AA246" s="7676"/>
      <c r="AB246" s="7677"/>
      <c r="AC246" s="7675" t="str">
        <f>INDEX(PT_DIFFERENTIATION_TER,MATCH(B246,PT_DIFFERENTIATION_TER_ID,0))</f>
        <v>Территория 7</v>
      </c>
      <c r="AD246" s="7676"/>
      <c r="AE246" s="7676"/>
      <c r="AF246" s="7676"/>
      <c r="AG246" s="7676"/>
      <c r="AH246" s="7676"/>
      <c r="AI246" s="7676"/>
      <c r="AJ246" s="7675"/>
      <c r="AK246" s="7676"/>
      <c r="AL246" s="7676"/>
      <c r="AM246" s="7676"/>
      <c r="AN246" s="7676"/>
      <c r="AO246" s="7676"/>
      <c r="AP246" s="7677"/>
      <c r="AQ246" s="7675"/>
      <c r="AR246" s="7676"/>
      <c r="AS246" s="7676"/>
      <c r="AT246" s="7676"/>
      <c r="AU246" s="7676"/>
      <c r="AV246" s="7676"/>
      <c r="AW246" s="7677"/>
      <c r="AX246" s="7675"/>
      <c r="AY246" s="7676"/>
      <c r="AZ246" s="7676"/>
      <c r="BA246" s="7676"/>
      <c r="BB246" s="7676"/>
      <c r="BC246" s="7676"/>
      <c r="BD246" s="7677"/>
      <c r="BE246" s="7675"/>
      <c r="BF246" s="7676"/>
      <c r="BG246" s="7676"/>
      <c r="BH246" s="7676"/>
      <c r="BI246" s="7676"/>
      <c r="BJ246" s="7676"/>
      <c r="BK246" s="7677"/>
      <c r="BL246" s="7675"/>
      <c r="BM246" s="7676"/>
      <c r="BN246" s="7676"/>
      <c r="BO246" s="7676"/>
      <c r="BP246" s="7676"/>
      <c r="BQ246" s="7676"/>
      <c r="BR246" s="7677"/>
      <c r="BS246" s="7675"/>
      <c r="BT246" s="7676"/>
      <c r="BU246" s="7676"/>
      <c r="BV246" s="7676"/>
      <c r="BW246" s="7676"/>
      <c r="BX246" s="7676"/>
      <c r="BY246" s="7677"/>
      <c r="BZ246" s="7675"/>
      <c r="CA246" s="7676"/>
      <c r="CB246" s="7676"/>
      <c r="CC246" s="7676"/>
      <c r="CD246" s="7676"/>
      <c r="CE246" s="7676"/>
      <c r="CF246" s="7677"/>
      <c r="CG246" s="7675"/>
      <c r="CH246" s="7676"/>
      <c r="CI246" s="7676"/>
      <c r="CJ246" s="7676"/>
      <c r="CK246" s="7676"/>
      <c r="CL246" s="7676"/>
      <c r="CM246" s="7677"/>
      <c r="CN246" s="7675"/>
      <c r="CO246" s="7676"/>
      <c r="CP246" s="7676"/>
      <c r="CQ246" s="7676"/>
      <c r="CR246" s="7676"/>
      <c r="CS246" s="7676"/>
      <c r="CT246" s="7677"/>
      <c r="CU246" s="7677"/>
      <c r="CV246" s="1182" t="s">
        <v>574</v>
      </c>
      <c r="CW246" s="1562"/>
      <c r="CX246" s="1544"/>
      <c r="CY246" s="1544" t="str">
        <f t="shared" si="4"/>
        <v>Территория действия тарифа</v>
      </c>
      <c r="CZ246" s="1544"/>
      <c r="DA246" s="1544"/>
    </row>
    <row r="247" spans="1:105" s="1827" customFormat="1" ht="23.25" customHeight="1">
      <c r="A247" s="1284"/>
      <c r="B247" s="1284"/>
      <c r="C247" s="1284" t="s">
        <v>390</v>
      </c>
      <c r="D247" s="1284"/>
      <c r="E247" s="7690" t="s">
        <v>140</v>
      </c>
      <c r="F247" s="7690"/>
      <c r="G247" s="7689">
        <v>1</v>
      </c>
      <c r="H247" s="1284"/>
      <c r="I247" s="1284"/>
      <c r="J247" s="1284"/>
      <c r="K247" s="1284"/>
      <c r="L247" s="1290"/>
      <c r="M247" s="1286"/>
      <c r="N247" s="1286"/>
      <c r="O247" s="1286"/>
      <c r="P247" s="275"/>
      <c r="Q247" s="273"/>
      <c r="R247" s="274"/>
      <c r="S247" s="1813" t="str">
        <f>INDEX(PT_DIFFERENTIATION_NUM_CS,MATCH(C247,PT_DIFFERENTIATION_CS_ID,0))</f>
        <v>14.1.1</v>
      </c>
      <c r="T247" s="225" t="s">
        <v>654</v>
      </c>
      <c r="U247" s="214"/>
      <c r="V247" s="7675"/>
      <c r="W247" s="7676"/>
      <c r="X247" s="7676"/>
      <c r="Y247" s="7676"/>
      <c r="Z247" s="7676"/>
      <c r="AA247" s="7676"/>
      <c r="AB247" s="7677"/>
      <c r="AC247" s="7675" t="str">
        <f>INDEX(PT_DIFFERENTIATION_CS,MATCH(C247,PT_DIFFERENTIATION_CS_ID,0))</f>
        <v>без дифференциации</v>
      </c>
      <c r="AD247" s="7676"/>
      <c r="AE247" s="7676"/>
      <c r="AF247" s="7676"/>
      <c r="AG247" s="7676"/>
      <c r="AH247" s="7676"/>
      <c r="AI247" s="7676"/>
      <c r="AJ247" s="7675"/>
      <c r="AK247" s="7676"/>
      <c r="AL247" s="7676"/>
      <c r="AM247" s="7676"/>
      <c r="AN247" s="7676"/>
      <c r="AO247" s="7676"/>
      <c r="AP247" s="7677"/>
      <c r="AQ247" s="7675"/>
      <c r="AR247" s="7676"/>
      <c r="AS247" s="7676"/>
      <c r="AT247" s="7676"/>
      <c r="AU247" s="7676"/>
      <c r="AV247" s="7676"/>
      <c r="AW247" s="7677"/>
      <c r="AX247" s="7675"/>
      <c r="AY247" s="7676"/>
      <c r="AZ247" s="7676"/>
      <c r="BA247" s="7676"/>
      <c r="BB247" s="7676"/>
      <c r="BC247" s="7676"/>
      <c r="BD247" s="7677"/>
      <c r="BE247" s="7675"/>
      <c r="BF247" s="7676"/>
      <c r="BG247" s="7676"/>
      <c r="BH247" s="7676"/>
      <c r="BI247" s="7676"/>
      <c r="BJ247" s="7676"/>
      <c r="BK247" s="7677"/>
      <c r="BL247" s="7675"/>
      <c r="BM247" s="7676"/>
      <c r="BN247" s="7676"/>
      <c r="BO247" s="7676"/>
      <c r="BP247" s="7676"/>
      <c r="BQ247" s="7676"/>
      <c r="BR247" s="7677"/>
      <c r="BS247" s="7675"/>
      <c r="BT247" s="7676"/>
      <c r="BU247" s="7676"/>
      <c r="BV247" s="7676"/>
      <c r="BW247" s="7676"/>
      <c r="BX247" s="7676"/>
      <c r="BY247" s="7677"/>
      <c r="BZ247" s="7675"/>
      <c r="CA247" s="7676"/>
      <c r="CB247" s="7676"/>
      <c r="CC247" s="7676"/>
      <c r="CD247" s="7676"/>
      <c r="CE247" s="7676"/>
      <c r="CF247" s="7677"/>
      <c r="CG247" s="7675"/>
      <c r="CH247" s="7676"/>
      <c r="CI247" s="7676"/>
      <c r="CJ247" s="7676"/>
      <c r="CK247" s="7676"/>
      <c r="CL247" s="7676"/>
      <c r="CM247" s="7677"/>
      <c r="CN247" s="7675"/>
      <c r="CO247" s="7676"/>
      <c r="CP247" s="7676"/>
      <c r="CQ247" s="7676"/>
      <c r="CR247" s="7676"/>
      <c r="CS247" s="7676"/>
      <c r="CT247" s="7677"/>
      <c r="CU247" s="7677"/>
      <c r="CV247" s="1182" t="s">
        <v>655</v>
      </c>
      <c r="CW247" s="1562"/>
      <c r="CX247" s="1544"/>
      <c r="CY247" s="1544" t="str">
        <f t="shared" si="4"/>
        <v>Наименование централизованной системы холодного водоснабжения</v>
      </c>
      <c r="CZ247" s="1544"/>
      <c r="DA247" s="1544"/>
    </row>
    <row r="248" spans="1:105" s="1827" customFormat="1" ht="23.25" customHeight="1">
      <c r="A248" s="1284"/>
      <c r="B248" s="1284"/>
      <c r="C248" s="1284"/>
      <c r="D248" s="1284"/>
      <c r="E248" s="7690" t="s">
        <v>140</v>
      </c>
      <c r="F248" s="7690"/>
      <c r="G248" s="7690"/>
      <c r="H248" s="7690"/>
      <c r="I248" s="7687" t="str">
        <f>S247&amp;".1"</f>
        <v>14.1.1.1</v>
      </c>
      <c r="J248" s="1284"/>
      <c r="K248" s="1284"/>
      <c r="L248" s="1290"/>
      <c r="M248" s="1696"/>
      <c r="N248" s="1696"/>
      <c r="O248" s="1696"/>
      <c r="P248" s="7688">
        <v>1</v>
      </c>
      <c r="Q248" s="1816"/>
      <c r="R248" s="277"/>
      <c r="S248" s="1813" t="str">
        <f>$I248</f>
        <v>14.1.1.1</v>
      </c>
      <c r="T248" s="200" t="s">
        <v>656</v>
      </c>
      <c r="U248" s="214"/>
      <c r="V248" s="7748"/>
      <c r="W248" s="7749"/>
      <c r="X248" s="7749"/>
      <c r="Y248" s="7749"/>
      <c r="Z248" s="7749"/>
      <c r="AA248" s="7749"/>
      <c r="AB248" s="7750"/>
      <c r="AC248" s="7751"/>
      <c r="AD248" s="7752"/>
      <c r="AE248" s="7752"/>
      <c r="AF248" s="7752"/>
      <c r="AG248" s="7752"/>
      <c r="AH248" s="7752"/>
      <c r="AI248" s="7752"/>
      <c r="AJ248" s="7748"/>
      <c r="AK248" s="7749"/>
      <c r="AL248" s="7749"/>
      <c r="AM248" s="7749"/>
      <c r="AN248" s="7749"/>
      <c r="AO248" s="7749"/>
      <c r="AP248" s="7750"/>
      <c r="AQ248" s="7748"/>
      <c r="AR248" s="7749"/>
      <c r="AS248" s="7749"/>
      <c r="AT248" s="7749"/>
      <c r="AU248" s="7749"/>
      <c r="AV248" s="7749"/>
      <c r="AW248" s="7750"/>
      <c r="AX248" s="7748"/>
      <c r="AY248" s="7749"/>
      <c r="AZ248" s="7749"/>
      <c r="BA248" s="7749"/>
      <c r="BB248" s="7749"/>
      <c r="BC248" s="7749"/>
      <c r="BD248" s="7750"/>
      <c r="BE248" s="7748"/>
      <c r="BF248" s="7749"/>
      <c r="BG248" s="7749"/>
      <c r="BH248" s="7749"/>
      <c r="BI248" s="7749"/>
      <c r="BJ248" s="7749"/>
      <c r="BK248" s="7750"/>
      <c r="BL248" s="7748"/>
      <c r="BM248" s="7749"/>
      <c r="BN248" s="7749"/>
      <c r="BO248" s="7749"/>
      <c r="BP248" s="7749"/>
      <c r="BQ248" s="7749"/>
      <c r="BR248" s="7750"/>
      <c r="BS248" s="7748"/>
      <c r="BT248" s="7749"/>
      <c r="BU248" s="7749"/>
      <c r="BV248" s="7749"/>
      <c r="BW248" s="7749"/>
      <c r="BX248" s="7749"/>
      <c r="BY248" s="7750"/>
      <c r="BZ248" s="7748"/>
      <c r="CA248" s="7749"/>
      <c r="CB248" s="7749"/>
      <c r="CC248" s="7749"/>
      <c r="CD248" s="7749"/>
      <c r="CE248" s="7749"/>
      <c r="CF248" s="7750"/>
      <c r="CG248" s="7748"/>
      <c r="CH248" s="7749"/>
      <c r="CI248" s="7749"/>
      <c r="CJ248" s="7749"/>
      <c r="CK248" s="7749"/>
      <c r="CL248" s="7749"/>
      <c r="CM248" s="7750"/>
      <c r="CN248" s="7748"/>
      <c r="CO248" s="7749"/>
      <c r="CP248" s="7749"/>
      <c r="CQ248" s="7749"/>
      <c r="CR248" s="7749"/>
      <c r="CS248" s="7749"/>
      <c r="CT248" s="7750"/>
      <c r="CU248" s="7753"/>
      <c r="CV248" s="1182" t="s">
        <v>657</v>
      </c>
      <c r="CW248" s="1562"/>
      <c r="CX248" s="1544"/>
      <c r="CY248" s="1544" t="str">
        <f t="shared" si="4"/>
        <v>Наименование признака дифференциации</v>
      </c>
      <c r="CZ248" s="1544"/>
      <c r="DA248" s="1544"/>
    </row>
    <row r="249" spans="1:105" s="1827" customFormat="1" ht="23.25" customHeight="1">
      <c r="A249" s="1284"/>
      <c r="B249" s="1284"/>
      <c r="C249" s="1284"/>
      <c r="D249" s="1284"/>
      <c r="E249" s="7690" t="s">
        <v>140</v>
      </c>
      <c r="F249" s="7690"/>
      <c r="G249" s="7690"/>
      <c r="H249" s="7690"/>
      <c r="I249" s="7710"/>
      <c r="J249" s="7687" t="str">
        <f>I248&amp;".1"</f>
        <v>14.1.1.1.1</v>
      </c>
      <c r="K249" s="1284"/>
      <c r="L249" s="1290" t="s">
        <v>582</v>
      </c>
      <c r="M249" s="1696"/>
      <c r="N249" s="1696"/>
      <c r="O249" s="1696"/>
      <c r="P249" s="7688"/>
      <c r="Q249" s="7688">
        <v>1</v>
      </c>
      <c r="R249" s="278"/>
      <c r="S249" s="1813" t="str">
        <f>$J249</f>
        <v>14.1.1.1.1</v>
      </c>
      <c r="T249" s="201" t="s">
        <v>583</v>
      </c>
      <c r="U249" s="214"/>
      <c r="V249" s="7678"/>
      <c r="W249" s="7679"/>
      <c r="X249" s="7679"/>
      <c r="Y249" s="7679"/>
      <c r="Z249" s="7679"/>
      <c r="AA249" s="7679"/>
      <c r="AB249" s="7680"/>
      <c r="AC249" s="7678" t="s">
        <v>671</v>
      </c>
      <c r="AD249" s="7679"/>
      <c r="AE249" s="7679"/>
      <c r="AF249" s="7679"/>
      <c r="AG249" s="7679"/>
      <c r="AH249" s="7679"/>
      <c r="AI249" s="7679"/>
      <c r="AJ249" s="7678"/>
      <c r="AK249" s="7679"/>
      <c r="AL249" s="7679"/>
      <c r="AM249" s="7679"/>
      <c r="AN249" s="7679"/>
      <c r="AO249" s="7679"/>
      <c r="AP249" s="7680"/>
      <c r="AQ249" s="7678"/>
      <c r="AR249" s="7679"/>
      <c r="AS249" s="7679"/>
      <c r="AT249" s="7679"/>
      <c r="AU249" s="7679"/>
      <c r="AV249" s="7679"/>
      <c r="AW249" s="7680"/>
      <c r="AX249" s="7678"/>
      <c r="AY249" s="7679"/>
      <c r="AZ249" s="7679"/>
      <c r="BA249" s="7679"/>
      <c r="BB249" s="7679"/>
      <c r="BC249" s="7679"/>
      <c r="BD249" s="7680"/>
      <c r="BE249" s="7678"/>
      <c r="BF249" s="7679"/>
      <c r="BG249" s="7679"/>
      <c r="BH249" s="7679"/>
      <c r="BI249" s="7679"/>
      <c r="BJ249" s="7679"/>
      <c r="BK249" s="7680"/>
      <c r="BL249" s="7678"/>
      <c r="BM249" s="7679"/>
      <c r="BN249" s="7679"/>
      <c r="BO249" s="7679"/>
      <c r="BP249" s="7679"/>
      <c r="BQ249" s="7679"/>
      <c r="BR249" s="7680"/>
      <c r="BS249" s="7678"/>
      <c r="BT249" s="7679"/>
      <c r="BU249" s="7679"/>
      <c r="BV249" s="7679"/>
      <c r="BW249" s="7679"/>
      <c r="BX249" s="7679"/>
      <c r="BY249" s="7680"/>
      <c r="BZ249" s="7678"/>
      <c r="CA249" s="7679"/>
      <c r="CB249" s="7679"/>
      <c r="CC249" s="7679"/>
      <c r="CD249" s="7679"/>
      <c r="CE249" s="7679"/>
      <c r="CF249" s="7680"/>
      <c r="CG249" s="7678"/>
      <c r="CH249" s="7679"/>
      <c r="CI249" s="7679"/>
      <c r="CJ249" s="7679"/>
      <c r="CK249" s="7679"/>
      <c r="CL249" s="7679"/>
      <c r="CM249" s="7680"/>
      <c r="CN249" s="7678"/>
      <c r="CO249" s="7679"/>
      <c r="CP249" s="7679"/>
      <c r="CQ249" s="7679"/>
      <c r="CR249" s="7679"/>
      <c r="CS249" s="7679"/>
      <c r="CT249" s="7680"/>
      <c r="CU249" s="7680"/>
      <c r="CV249" s="1231" t="s">
        <v>658</v>
      </c>
      <c r="CW249" s="1562"/>
      <c r="CX249" s="1544"/>
      <c r="CY249" s="1544" t="str">
        <f t="shared" si="4"/>
        <v>Группа потребителей</v>
      </c>
      <c r="CZ249" s="1544"/>
      <c r="DA249" s="1544"/>
    </row>
    <row r="250" spans="1:105" s="1827" customFormat="1" ht="23.25" customHeight="1">
      <c r="A250" s="1284"/>
      <c r="B250" s="1284"/>
      <c r="C250" s="1284"/>
      <c r="D250" s="1284"/>
      <c r="E250" s="7690" t="s">
        <v>140</v>
      </c>
      <c r="F250" s="7690"/>
      <c r="G250" s="7690"/>
      <c r="H250" s="7690"/>
      <c r="I250" s="7710"/>
      <c r="J250" s="7710"/>
      <c r="K250" s="7687" t="str">
        <f>J249&amp;".1"</f>
        <v>14.1.1.1.1.1</v>
      </c>
      <c r="L250" s="1290"/>
      <c r="M250" s="1696"/>
      <c r="N250" s="1696"/>
      <c r="O250" s="1696"/>
      <c r="P250" s="7688"/>
      <c r="Q250" s="7688"/>
      <c r="R250" s="278">
        <v>1</v>
      </c>
      <c r="S250" s="1813" t="str">
        <f>$K250</f>
        <v>14.1.1.1.1.1</v>
      </c>
      <c r="T250" s="1357" t="s">
        <v>672</v>
      </c>
      <c r="U250" s="214"/>
      <c r="V250" s="666"/>
      <c r="W250" s="666"/>
      <c r="X250" s="1181"/>
      <c r="Y250" s="7692"/>
      <c r="Z250" s="7540" t="s">
        <v>60</v>
      </c>
      <c r="AA250" s="7692"/>
      <c r="AB250" s="7540" t="s">
        <v>60</v>
      </c>
      <c r="AC250" s="666">
        <v>40.26</v>
      </c>
      <c r="AD250" s="666"/>
      <c r="AE250" s="1181"/>
      <c r="AF250" s="7692">
        <v>45292</v>
      </c>
      <c r="AG250" s="7540" t="s">
        <v>60</v>
      </c>
      <c r="AH250" s="7711">
        <v>45473</v>
      </c>
      <c r="AI250" s="7540" t="s">
        <v>60</v>
      </c>
      <c r="AJ250" s="666">
        <v>43.88</v>
      </c>
      <c r="AK250" s="666"/>
      <c r="AL250" s="1181"/>
      <c r="AM250" s="7692">
        <v>45474</v>
      </c>
      <c r="AN250" s="7540" t="s">
        <v>60</v>
      </c>
      <c r="AO250" s="7692">
        <v>45657</v>
      </c>
      <c r="AP250" s="7540" t="s">
        <v>60</v>
      </c>
      <c r="AQ250" s="666">
        <v>43.88</v>
      </c>
      <c r="AR250" s="666"/>
      <c r="AS250" s="1181"/>
      <c r="AT250" s="7692">
        <v>45658</v>
      </c>
      <c r="AU250" s="7540" t="s">
        <v>60</v>
      </c>
      <c r="AV250" s="7692">
        <v>45838</v>
      </c>
      <c r="AW250" s="7540" t="s">
        <v>60</v>
      </c>
      <c r="AX250" s="666">
        <v>46.38</v>
      </c>
      <c r="AY250" s="666"/>
      <c r="AZ250" s="1181"/>
      <c r="BA250" s="7692">
        <v>45839</v>
      </c>
      <c r="BB250" s="7540" t="s">
        <v>60</v>
      </c>
      <c r="BC250" s="7692">
        <v>46022</v>
      </c>
      <c r="BD250" s="7540" t="s">
        <v>60</v>
      </c>
      <c r="BE250" s="666">
        <v>46.38</v>
      </c>
      <c r="BF250" s="666"/>
      <c r="BG250" s="1181"/>
      <c r="BH250" s="7692">
        <v>46023</v>
      </c>
      <c r="BI250" s="7540" t="s">
        <v>60</v>
      </c>
      <c r="BJ250" s="7692">
        <v>46203</v>
      </c>
      <c r="BK250" s="7540" t="s">
        <v>60</v>
      </c>
      <c r="BL250" s="666">
        <v>48.24</v>
      </c>
      <c r="BM250" s="666"/>
      <c r="BN250" s="1181"/>
      <c r="BO250" s="7692">
        <v>46204</v>
      </c>
      <c r="BP250" s="7540" t="s">
        <v>60</v>
      </c>
      <c r="BQ250" s="7692">
        <v>46387</v>
      </c>
      <c r="BR250" s="7540" t="s">
        <v>60</v>
      </c>
      <c r="BS250" s="666">
        <v>48.24</v>
      </c>
      <c r="BT250" s="666"/>
      <c r="BU250" s="1181"/>
      <c r="BV250" s="7692">
        <v>46388</v>
      </c>
      <c r="BW250" s="7540" t="s">
        <v>60</v>
      </c>
      <c r="BX250" s="7692">
        <v>46568</v>
      </c>
      <c r="BY250" s="7540" t="s">
        <v>60</v>
      </c>
      <c r="BZ250" s="666">
        <v>50.17</v>
      </c>
      <c r="CA250" s="666"/>
      <c r="CB250" s="1181"/>
      <c r="CC250" s="7692">
        <v>46569</v>
      </c>
      <c r="CD250" s="7540" t="s">
        <v>60</v>
      </c>
      <c r="CE250" s="7692">
        <v>46752</v>
      </c>
      <c r="CF250" s="7540" t="s">
        <v>60</v>
      </c>
      <c r="CG250" s="666">
        <v>50.17</v>
      </c>
      <c r="CH250" s="666"/>
      <c r="CI250" s="1181"/>
      <c r="CJ250" s="7692">
        <v>46753</v>
      </c>
      <c r="CK250" s="7540" t="s">
        <v>60</v>
      </c>
      <c r="CL250" s="7692">
        <v>46934</v>
      </c>
      <c r="CM250" s="7540" t="s">
        <v>60</v>
      </c>
      <c r="CN250" s="666">
        <v>52.18</v>
      </c>
      <c r="CO250" s="666"/>
      <c r="CP250" s="1181"/>
      <c r="CQ250" s="7692">
        <v>46935</v>
      </c>
      <c r="CR250" s="7540" t="s">
        <v>60</v>
      </c>
      <c r="CS250" s="7692">
        <v>47118</v>
      </c>
      <c r="CT250" s="7540" t="s">
        <v>60</v>
      </c>
      <c r="CU250" s="1358"/>
      <c r="CV250"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50" s="1562" t="e">
        <f ca="1">STRCHECKDATE(V251:CU251)</f>
        <v>#NAME?</v>
      </c>
      <c r="CX250" s="1544"/>
      <c r="CY250" s="1544" t="str">
        <f t="shared" si="4"/>
        <v>Тариф для населения, руб. за 1 куб. метр с НДС</v>
      </c>
      <c r="CZ250" s="1544"/>
      <c r="DA250" s="1544"/>
    </row>
    <row r="251" spans="1:105" s="1827" customFormat="1" ht="14.25" customHeight="1">
      <c r="A251" s="1284"/>
      <c r="B251" s="1284"/>
      <c r="C251" s="1284"/>
      <c r="D251" s="1284"/>
      <c r="E251" s="7690" t="s">
        <v>140</v>
      </c>
      <c r="F251" s="7690"/>
      <c r="G251" s="7690"/>
      <c r="H251" s="7690"/>
      <c r="I251" s="7710"/>
      <c r="J251" s="7710"/>
      <c r="K251" s="7687"/>
      <c r="L251" s="1290"/>
      <c r="M251" s="1696"/>
      <c r="N251" s="1696"/>
      <c r="O251" s="1696"/>
      <c r="P251" s="7688"/>
      <c r="Q251" s="7688"/>
      <c r="R251" s="278"/>
      <c r="S251" s="1822"/>
      <c r="T251" s="214"/>
      <c r="U251" s="214"/>
      <c r="V251" s="246"/>
      <c r="W251" s="246"/>
      <c r="X251" s="250" t="str">
        <f>Y250&amp;"-"&amp;AA250</f>
        <v>-</v>
      </c>
      <c r="Y251" s="7693"/>
      <c r="Z251" s="7540"/>
      <c r="AA251" s="7693"/>
      <c r="AB251" s="7540"/>
      <c r="AC251" s="246"/>
      <c r="AD251" s="246"/>
      <c r="AE251" s="250" t="str">
        <f>AF250&amp;"-"&amp;AH250</f>
        <v>45292-45473</v>
      </c>
      <c r="AF251" s="7693"/>
      <c r="AG251" s="7540"/>
      <c r="AH251" s="7712"/>
      <c r="AI251" s="7540"/>
      <c r="AJ251" s="246"/>
      <c r="AK251" s="246"/>
      <c r="AL251" s="250" t="str">
        <f>AM250&amp;"-"&amp;AO250</f>
        <v>45474-45657</v>
      </c>
      <c r="AM251" s="7693"/>
      <c r="AN251" s="7540"/>
      <c r="AO251" s="7693"/>
      <c r="AP251" s="7540"/>
      <c r="AQ251" s="246"/>
      <c r="AR251" s="246"/>
      <c r="AS251" s="250" t="str">
        <f>AT250&amp;"-"&amp;AV250</f>
        <v>45658-45838</v>
      </c>
      <c r="AT251" s="7693"/>
      <c r="AU251" s="7540"/>
      <c r="AV251" s="7693"/>
      <c r="AW251" s="7540"/>
      <c r="AX251" s="246"/>
      <c r="AY251" s="246"/>
      <c r="AZ251" s="250" t="str">
        <f>BA250&amp;"-"&amp;BC250</f>
        <v>45839-46022</v>
      </c>
      <c r="BA251" s="7693"/>
      <c r="BB251" s="7540"/>
      <c r="BC251" s="7693"/>
      <c r="BD251" s="7540"/>
      <c r="BE251" s="246"/>
      <c r="BF251" s="246"/>
      <c r="BG251" s="250" t="str">
        <f>BH250&amp;"-"&amp;BJ250</f>
        <v>46023-46203</v>
      </c>
      <c r="BH251" s="7693"/>
      <c r="BI251" s="7540"/>
      <c r="BJ251" s="7693"/>
      <c r="BK251" s="7540"/>
      <c r="BL251" s="246"/>
      <c r="BM251" s="246"/>
      <c r="BN251" s="250" t="str">
        <f>BO250&amp;"-"&amp;BQ250</f>
        <v>46204-46387</v>
      </c>
      <c r="BO251" s="7693"/>
      <c r="BP251" s="7540"/>
      <c r="BQ251" s="7693"/>
      <c r="BR251" s="7540"/>
      <c r="BS251" s="246"/>
      <c r="BT251" s="246"/>
      <c r="BU251" s="250" t="str">
        <f>BV250&amp;"-"&amp;BX250</f>
        <v>46388-46568</v>
      </c>
      <c r="BV251" s="7693"/>
      <c r="BW251" s="7540"/>
      <c r="BX251" s="7693"/>
      <c r="BY251" s="7540"/>
      <c r="BZ251" s="246"/>
      <c r="CA251" s="246"/>
      <c r="CB251" s="250" t="str">
        <f>CC250&amp;"-"&amp;CE250</f>
        <v>46569-46752</v>
      </c>
      <c r="CC251" s="7693"/>
      <c r="CD251" s="7540"/>
      <c r="CE251" s="7693"/>
      <c r="CF251" s="7540"/>
      <c r="CG251" s="246"/>
      <c r="CH251" s="246"/>
      <c r="CI251" s="250" t="str">
        <f>CJ250&amp;"-"&amp;CL250</f>
        <v>46753-46934</v>
      </c>
      <c r="CJ251" s="7693"/>
      <c r="CK251" s="7540"/>
      <c r="CL251" s="7693"/>
      <c r="CM251" s="7540"/>
      <c r="CN251" s="246"/>
      <c r="CO251" s="246"/>
      <c r="CP251" s="250" t="str">
        <f>CQ250&amp;"-"&amp;CS250</f>
        <v>46935-47118</v>
      </c>
      <c r="CQ251" s="7693"/>
      <c r="CR251" s="7540"/>
      <c r="CS251" s="7693"/>
      <c r="CT251" s="7540"/>
      <c r="CU251" s="1359"/>
      <c r="CV251" s="7747"/>
      <c r="CW251" s="1562"/>
      <c r="CX251" s="1544"/>
      <c r="CY251" s="1544" t="str">
        <f t="shared" si="4"/>
        <v/>
      </c>
      <c r="CZ251" s="1544"/>
      <c r="DA251" s="1544"/>
    </row>
    <row r="252" spans="1:105" s="1827" customFormat="1" ht="21" customHeight="1">
      <c r="A252" s="1284"/>
      <c r="B252" s="1284"/>
      <c r="C252" s="1284"/>
      <c r="D252" s="1284"/>
      <c r="E252" s="7690" t="s">
        <v>140</v>
      </c>
      <c r="F252" s="7690"/>
      <c r="G252" s="7690"/>
      <c r="H252" s="7690"/>
      <c r="I252" s="7710"/>
      <c r="J252" s="7687"/>
      <c r="K252" s="1284"/>
      <c r="L252" s="1290"/>
      <c r="M252" s="1696"/>
      <c r="N252" s="1696"/>
      <c r="O252" s="1696"/>
      <c r="P252" s="7688"/>
      <c r="Q252" s="7688"/>
      <c r="R252" s="277"/>
      <c r="S252" s="6155"/>
      <c r="T252" s="6156" t="s">
        <v>659</v>
      </c>
      <c r="U252" s="6157"/>
      <c r="V252" s="6158"/>
      <c r="W252" s="6159"/>
      <c r="X252" s="6160"/>
      <c r="Y252" s="6161"/>
      <c r="Z252" s="6162"/>
      <c r="AA252" s="6163"/>
      <c r="AB252" s="6164"/>
      <c r="AC252" s="6165"/>
      <c r="AD252" s="6166"/>
      <c r="AE252" s="6167"/>
      <c r="AF252" s="6168"/>
      <c r="AG252" s="6169"/>
      <c r="AH252" s="6170"/>
      <c r="AI252" s="6171"/>
      <c r="AJ252" s="6172"/>
      <c r="AK252" s="6173"/>
      <c r="AL252" s="6174"/>
      <c r="AM252" s="6175"/>
      <c r="AN252" s="6176"/>
      <c r="AO252" s="6177"/>
      <c r="AP252" s="6178"/>
      <c r="AQ252" s="6179"/>
      <c r="AR252" s="6180"/>
      <c r="AS252" s="6181"/>
      <c r="AT252" s="6182"/>
      <c r="AU252" s="6183"/>
      <c r="AV252" s="6184"/>
      <c r="AW252" s="6185"/>
      <c r="AX252" s="6186"/>
      <c r="AY252" s="6187"/>
      <c r="AZ252" s="6188"/>
      <c r="BA252" s="6189"/>
      <c r="BB252" s="6190"/>
      <c r="BC252" s="6191"/>
      <c r="BD252" s="6192"/>
      <c r="BE252" s="6193"/>
      <c r="BF252" s="6194"/>
      <c r="BG252" s="6195"/>
      <c r="BH252" s="6196"/>
      <c r="BI252" s="6197"/>
      <c r="BJ252" s="6198"/>
      <c r="BK252" s="6199"/>
      <c r="BL252" s="6200"/>
      <c r="BM252" s="6201"/>
      <c r="BN252" s="6202"/>
      <c r="BO252" s="6203"/>
      <c r="BP252" s="6204"/>
      <c r="BQ252" s="6205"/>
      <c r="BR252" s="6206"/>
      <c r="BS252" s="6207"/>
      <c r="BT252" s="6208"/>
      <c r="BU252" s="6209"/>
      <c r="BV252" s="6210"/>
      <c r="BW252" s="6211"/>
      <c r="BX252" s="6212"/>
      <c r="BY252" s="6213"/>
      <c r="BZ252" s="6214"/>
      <c r="CA252" s="6215"/>
      <c r="CB252" s="6216"/>
      <c r="CC252" s="6217"/>
      <c r="CD252" s="6218"/>
      <c r="CE252" s="6219"/>
      <c r="CF252" s="6220"/>
      <c r="CG252" s="6221"/>
      <c r="CH252" s="6222"/>
      <c r="CI252" s="6223"/>
      <c r="CJ252" s="6224"/>
      <c r="CK252" s="6225"/>
      <c r="CL252" s="6226"/>
      <c r="CM252" s="6227"/>
      <c r="CN252" s="6228"/>
      <c r="CO252" s="6229"/>
      <c r="CP252" s="6230"/>
      <c r="CQ252" s="6231"/>
      <c r="CR252" s="6232"/>
      <c r="CS252" s="6233"/>
      <c r="CT252" s="6234"/>
      <c r="CU252" s="6235"/>
      <c r="CV252" s="1182" t="s">
        <v>660</v>
      </c>
      <c r="CW252" s="1562"/>
      <c r="CX252" s="1544"/>
      <c r="CY252" s="1544" t="str">
        <f t="shared" si="4"/>
        <v>Добавить значение признака дифференциации</v>
      </c>
      <c r="CZ252" s="1544"/>
      <c r="DA252" s="1544"/>
    </row>
    <row r="253" spans="1:105" s="1827" customFormat="1" ht="23.25" customHeight="1">
      <c r="A253" s="1284"/>
      <c r="B253" s="1284"/>
      <c r="C253" s="1284"/>
      <c r="D253" s="1284"/>
      <c r="E253" s="7690"/>
      <c r="F253" s="7690"/>
      <c r="G253" s="7690"/>
      <c r="H253" s="7690"/>
      <c r="I253" s="7710"/>
      <c r="J253" s="7687" t="str">
        <f>I248&amp;".2"</f>
        <v>14.1.1.1.2</v>
      </c>
      <c r="K253" s="1284"/>
      <c r="L253" s="1290" t="s">
        <v>582</v>
      </c>
      <c r="M253" s="1696"/>
      <c r="N253" s="1696"/>
      <c r="O253" s="1696"/>
      <c r="P253" s="7688"/>
      <c r="Q253" s="7754" t="s">
        <v>101</v>
      </c>
      <c r="R253" s="278"/>
      <c r="S253" s="1813" t="str">
        <f>$J253</f>
        <v>14.1.1.1.2</v>
      </c>
      <c r="T253" s="201" t="s">
        <v>583</v>
      </c>
      <c r="U253" s="214"/>
      <c r="V253" s="7678"/>
      <c r="W253" s="7679"/>
      <c r="X253" s="7679"/>
      <c r="Y253" s="7679"/>
      <c r="Z253" s="7679"/>
      <c r="AA253" s="7679"/>
      <c r="AB253" s="7680"/>
      <c r="AC253" s="7678" t="s">
        <v>669</v>
      </c>
      <c r="AD253" s="7679"/>
      <c r="AE253" s="7679"/>
      <c r="AF253" s="7679"/>
      <c r="AG253" s="7679"/>
      <c r="AH253" s="7679"/>
      <c r="AI253" s="7679"/>
      <c r="AJ253" s="7678"/>
      <c r="AK253" s="7679"/>
      <c r="AL253" s="7679"/>
      <c r="AM253" s="7679"/>
      <c r="AN253" s="7679"/>
      <c r="AO253" s="7679"/>
      <c r="AP253" s="7680"/>
      <c r="AQ253" s="7678"/>
      <c r="AR253" s="7679"/>
      <c r="AS253" s="7679"/>
      <c r="AT253" s="7679"/>
      <c r="AU253" s="7679"/>
      <c r="AV253" s="7679"/>
      <c r="AW253" s="7680"/>
      <c r="AX253" s="7678"/>
      <c r="AY253" s="7679"/>
      <c r="AZ253" s="7679"/>
      <c r="BA253" s="7679"/>
      <c r="BB253" s="7679"/>
      <c r="BC253" s="7679"/>
      <c r="BD253" s="7680"/>
      <c r="BE253" s="7678"/>
      <c r="BF253" s="7679"/>
      <c r="BG253" s="7679"/>
      <c r="BH253" s="7679"/>
      <c r="BI253" s="7679"/>
      <c r="BJ253" s="7679"/>
      <c r="BK253" s="7680"/>
      <c r="BL253" s="7678"/>
      <c r="BM253" s="7679"/>
      <c r="BN253" s="7679"/>
      <c r="BO253" s="7679"/>
      <c r="BP253" s="7679"/>
      <c r="BQ253" s="7679"/>
      <c r="BR253" s="7680"/>
      <c r="BS253" s="7678"/>
      <c r="BT253" s="7679"/>
      <c r="BU253" s="7679"/>
      <c r="BV253" s="7679"/>
      <c r="BW253" s="7679"/>
      <c r="BX253" s="7679"/>
      <c r="BY253" s="7680"/>
      <c r="BZ253" s="7678"/>
      <c r="CA253" s="7679"/>
      <c r="CB253" s="7679"/>
      <c r="CC253" s="7679"/>
      <c r="CD253" s="7679"/>
      <c r="CE253" s="7679"/>
      <c r="CF253" s="7680"/>
      <c r="CG253" s="7678"/>
      <c r="CH253" s="7679"/>
      <c r="CI253" s="7679"/>
      <c r="CJ253" s="7679"/>
      <c r="CK253" s="7679"/>
      <c r="CL253" s="7679"/>
      <c r="CM253" s="7680"/>
      <c r="CN253" s="7678"/>
      <c r="CO253" s="7679"/>
      <c r="CP253" s="7679"/>
      <c r="CQ253" s="7679"/>
      <c r="CR253" s="7679"/>
      <c r="CS253" s="7679"/>
      <c r="CT253" s="7680"/>
      <c r="CU253" s="7680"/>
      <c r="CV253" s="1231" t="s">
        <v>658</v>
      </c>
      <c r="CW253" s="1562"/>
      <c r="CX253" s="1544"/>
      <c r="CY253" s="1544" t="str">
        <f t="shared" si="4"/>
        <v>Группа потребителей</v>
      </c>
      <c r="CZ253" s="1544"/>
      <c r="DA253" s="1544"/>
    </row>
    <row r="254" spans="1:105" s="1827" customFormat="1" ht="23.25" customHeight="1">
      <c r="A254" s="1284"/>
      <c r="B254" s="1284"/>
      <c r="C254" s="1284"/>
      <c r="D254" s="1284"/>
      <c r="E254" s="7690"/>
      <c r="F254" s="7690"/>
      <c r="G254" s="7690"/>
      <c r="H254" s="7690"/>
      <c r="I254" s="7710"/>
      <c r="J254" s="7710" t="str">
        <f>I248&amp;".1"</f>
        <v>14.1.1.1.1</v>
      </c>
      <c r="K254" s="7687" t="str">
        <f>J253&amp;".1"</f>
        <v>14.1.1.1.2.1</v>
      </c>
      <c r="L254" s="1290"/>
      <c r="M254" s="1696"/>
      <c r="N254" s="1696"/>
      <c r="O254" s="1696"/>
      <c r="P254" s="7688"/>
      <c r="Q254" s="7688"/>
      <c r="R254" s="278">
        <v>1</v>
      </c>
      <c r="S254" s="1813" t="str">
        <f>$K254</f>
        <v>14.1.1.1.2.1</v>
      </c>
      <c r="T254" s="1357" t="s">
        <v>670</v>
      </c>
      <c r="U254" s="214"/>
      <c r="V254" s="666"/>
      <c r="W254" s="666"/>
      <c r="X254" s="1181"/>
      <c r="Y254" s="7692"/>
      <c r="Z254" s="7540" t="s">
        <v>60</v>
      </c>
      <c r="AA254" s="7692"/>
      <c r="AB254" s="7540" t="s">
        <v>60</v>
      </c>
      <c r="AC254" s="666">
        <v>61.08</v>
      </c>
      <c r="AD254" s="666"/>
      <c r="AE254" s="1181"/>
      <c r="AF254" s="7692">
        <v>45292</v>
      </c>
      <c r="AG254" s="7540" t="s">
        <v>60</v>
      </c>
      <c r="AH254" s="7711">
        <v>45473</v>
      </c>
      <c r="AI254" s="7540" t="s">
        <v>60</v>
      </c>
      <c r="AJ254" s="666">
        <v>84.09</v>
      </c>
      <c r="AK254" s="666"/>
      <c r="AL254" s="1181"/>
      <c r="AM254" s="7692">
        <v>45474</v>
      </c>
      <c r="AN254" s="7540" t="s">
        <v>60</v>
      </c>
      <c r="AO254" s="7692">
        <v>45657</v>
      </c>
      <c r="AP254" s="7540" t="s">
        <v>60</v>
      </c>
      <c r="AQ254" s="666">
        <v>77.19</v>
      </c>
      <c r="AR254" s="666"/>
      <c r="AS254" s="1181"/>
      <c r="AT254" s="7692">
        <v>45658</v>
      </c>
      <c r="AU254" s="7540" t="s">
        <v>60</v>
      </c>
      <c r="AV254" s="7692">
        <v>45838</v>
      </c>
      <c r="AW254" s="7540" t="s">
        <v>60</v>
      </c>
      <c r="AX254" s="666">
        <v>77.19</v>
      </c>
      <c r="AY254" s="666"/>
      <c r="AZ254" s="1181"/>
      <c r="BA254" s="7692">
        <v>45839</v>
      </c>
      <c r="BB254" s="7540" t="s">
        <v>60</v>
      </c>
      <c r="BC254" s="7692">
        <v>46022</v>
      </c>
      <c r="BD254" s="7540" t="s">
        <v>60</v>
      </c>
      <c r="BE254" s="666">
        <v>77.19</v>
      </c>
      <c r="BF254" s="666"/>
      <c r="BG254" s="1181"/>
      <c r="BH254" s="7692">
        <v>46023</v>
      </c>
      <c r="BI254" s="7540" t="s">
        <v>60</v>
      </c>
      <c r="BJ254" s="7692">
        <v>46203</v>
      </c>
      <c r="BK254" s="7540" t="s">
        <v>60</v>
      </c>
      <c r="BL254" s="666">
        <v>77.97</v>
      </c>
      <c r="BM254" s="666"/>
      <c r="BN254" s="1181"/>
      <c r="BO254" s="7692">
        <v>46204</v>
      </c>
      <c r="BP254" s="7540" t="s">
        <v>60</v>
      </c>
      <c r="BQ254" s="7692">
        <v>46387</v>
      </c>
      <c r="BR254" s="7540" t="s">
        <v>60</v>
      </c>
      <c r="BS254" s="666">
        <v>77.97</v>
      </c>
      <c r="BT254" s="666"/>
      <c r="BU254" s="1181"/>
      <c r="BV254" s="7692">
        <v>46388</v>
      </c>
      <c r="BW254" s="7540" t="s">
        <v>60</v>
      </c>
      <c r="BX254" s="7692">
        <v>46568</v>
      </c>
      <c r="BY254" s="7540" t="s">
        <v>60</v>
      </c>
      <c r="BZ254" s="666">
        <v>82.24</v>
      </c>
      <c r="CA254" s="666"/>
      <c r="CB254" s="1181"/>
      <c r="CC254" s="7692">
        <v>46569</v>
      </c>
      <c r="CD254" s="7540" t="s">
        <v>60</v>
      </c>
      <c r="CE254" s="7692">
        <v>46752</v>
      </c>
      <c r="CF254" s="7540" t="s">
        <v>60</v>
      </c>
      <c r="CG254" s="666">
        <v>82.24</v>
      </c>
      <c r="CH254" s="666"/>
      <c r="CI254" s="1181"/>
      <c r="CJ254" s="7692">
        <v>46753</v>
      </c>
      <c r="CK254" s="7540" t="s">
        <v>60</v>
      </c>
      <c r="CL254" s="7692">
        <v>46934</v>
      </c>
      <c r="CM254" s="7540" t="s">
        <v>60</v>
      </c>
      <c r="CN254" s="666">
        <v>84.74</v>
      </c>
      <c r="CO254" s="666"/>
      <c r="CP254" s="1181"/>
      <c r="CQ254" s="7692">
        <v>46935</v>
      </c>
      <c r="CR254" s="7540" t="s">
        <v>60</v>
      </c>
      <c r="CS254" s="7692">
        <v>47118</v>
      </c>
      <c r="CT254" s="7540" t="s">
        <v>60</v>
      </c>
      <c r="CU254" s="1358"/>
      <c r="CV254"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54" s="1562" t="e">
        <f ca="1">STRCHECKDATE(V255:CU255)</f>
        <v>#NAME?</v>
      </c>
      <c r="CX254" s="1544"/>
      <c r="CY254" s="1544" t="str">
        <f t="shared" si="4"/>
        <v>Тариф, руб. за 1 куб. метр без НДС</v>
      </c>
      <c r="CZ254" s="1544"/>
      <c r="DA254" s="1544"/>
    </row>
    <row r="255" spans="1:105" s="1827" customFormat="1" ht="14.25" customHeight="1">
      <c r="A255" s="1284"/>
      <c r="B255" s="1284"/>
      <c r="C255" s="1284"/>
      <c r="D255" s="1284"/>
      <c r="E255" s="7690"/>
      <c r="F255" s="7690"/>
      <c r="G255" s="7690"/>
      <c r="H255" s="7690"/>
      <c r="I255" s="7710"/>
      <c r="J255" s="7710" t="str">
        <f>I248&amp;".1"</f>
        <v>14.1.1.1.1</v>
      </c>
      <c r="K255" s="7687"/>
      <c r="L255" s="1290"/>
      <c r="M255" s="1696"/>
      <c r="N255" s="1696"/>
      <c r="O255" s="1696"/>
      <c r="P255" s="7688"/>
      <c r="Q255" s="7688"/>
      <c r="R255" s="278"/>
      <c r="S255" s="1822"/>
      <c r="T255" s="214"/>
      <c r="U255" s="214"/>
      <c r="V255" s="246"/>
      <c r="W255" s="246"/>
      <c r="X255" s="250" t="str">
        <f>Y254&amp;"-"&amp;AA254</f>
        <v>-</v>
      </c>
      <c r="Y255" s="7693"/>
      <c r="Z255" s="7540"/>
      <c r="AA255" s="7693"/>
      <c r="AB255" s="7540"/>
      <c r="AC255" s="246"/>
      <c r="AD255" s="246"/>
      <c r="AE255" s="250" t="str">
        <f>AF254&amp;"-"&amp;AH254</f>
        <v>45292-45473</v>
      </c>
      <c r="AF255" s="7693"/>
      <c r="AG255" s="7540"/>
      <c r="AH255" s="7712"/>
      <c r="AI255" s="7540"/>
      <c r="AJ255" s="246"/>
      <c r="AK255" s="246"/>
      <c r="AL255" s="250" t="str">
        <f>AM254&amp;"-"&amp;AO254</f>
        <v>45474-45657</v>
      </c>
      <c r="AM255" s="7693"/>
      <c r="AN255" s="7540"/>
      <c r="AO255" s="7693"/>
      <c r="AP255" s="7540"/>
      <c r="AQ255" s="246"/>
      <c r="AR255" s="246"/>
      <c r="AS255" s="250" t="str">
        <f>AT254&amp;"-"&amp;AV254</f>
        <v>45658-45838</v>
      </c>
      <c r="AT255" s="7693"/>
      <c r="AU255" s="7540"/>
      <c r="AV255" s="7693"/>
      <c r="AW255" s="7540"/>
      <c r="AX255" s="246"/>
      <c r="AY255" s="246"/>
      <c r="AZ255" s="250" t="str">
        <f>BA254&amp;"-"&amp;BC254</f>
        <v>45839-46022</v>
      </c>
      <c r="BA255" s="7693"/>
      <c r="BB255" s="7540"/>
      <c r="BC255" s="7693"/>
      <c r="BD255" s="7540"/>
      <c r="BE255" s="246"/>
      <c r="BF255" s="246"/>
      <c r="BG255" s="250" t="str">
        <f>BH254&amp;"-"&amp;BJ254</f>
        <v>46023-46203</v>
      </c>
      <c r="BH255" s="7693"/>
      <c r="BI255" s="7540"/>
      <c r="BJ255" s="7693"/>
      <c r="BK255" s="7540"/>
      <c r="BL255" s="246"/>
      <c r="BM255" s="246"/>
      <c r="BN255" s="250" t="str">
        <f>BO254&amp;"-"&amp;BQ254</f>
        <v>46204-46387</v>
      </c>
      <c r="BO255" s="7693"/>
      <c r="BP255" s="7540"/>
      <c r="BQ255" s="7693"/>
      <c r="BR255" s="7540"/>
      <c r="BS255" s="246"/>
      <c r="BT255" s="246"/>
      <c r="BU255" s="250" t="str">
        <f>BV254&amp;"-"&amp;BX254</f>
        <v>46388-46568</v>
      </c>
      <c r="BV255" s="7693"/>
      <c r="BW255" s="7540"/>
      <c r="BX255" s="7693"/>
      <c r="BY255" s="7540"/>
      <c r="BZ255" s="246"/>
      <c r="CA255" s="246"/>
      <c r="CB255" s="250" t="str">
        <f>CC254&amp;"-"&amp;CE254</f>
        <v>46569-46752</v>
      </c>
      <c r="CC255" s="7693"/>
      <c r="CD255" s="7540"/>
      <c r="CE255" s="7693"/>
      <c r="CF255" s="7540"/>
      <c r="CG255" s="246"/>
      <c r="CH255" s="246"/>
      <c r="CI255" s="250" t="str">
        <f>CJ254&amp;"-"&amp;CL254</f>
        <v>46753-46934</v>
      </c>
      <c r="CJ255" s="7693"/>
      <c r="CK255" s="7540"/>
      <c r="CL255" s="7693"/>
      <c r="CM255" s="7540"/>
      <c r="CN255" s="246"/>
      <c r="CO255" s="246"/>
      <c r="CP255" s="250" t="str">
        <f>CQ254&amp;"-"&amp;CS254</f>
        <v>46935-47118</v>
      </c>
      <c r="CQ255" s="7693"/>
      <c r="CR255" s="7540"/>
      <c r="CS255" s="7693"/>
      <c r="CT255" s="7540"/>
      <c r="CU255" s="1359"/>
      <c r="CV255" s="7747"/>
      <c r="CW255" s="1562"/>
      <c r="CX255" s="1544"/>
      <c r="CY255" s="1544" t="str">
        <f t="shared" si="4"/>
        <v/>
      </c>
      <c r="CZ255" s="1544"/>
      <c r="DA255" s="1544"/>
    </row>
    <row r="256" spans="1:105" s="1827" customFormat="1" ht="21" customHeight="1">
      <c r="A256" s="1284"/>
      <c r="B256" s="1284"/>
      <c r="C256" s="1284"/>
      <c r="D256" s="1284"/>
      <c r="E256" s="7690"/>
      <c r="F256" s="7690"/>
      <c r="G256" s="7690"/>
      <c r="H256" s="7690"/>
      <c r="I256" s="7710"/>
      <c r="J256" s="7687" t="str">
        <f>I248&amp;".1"</f>
        <v>14.1.1.1.1</v>
      </c>
      <c r="K256" s="1284"/>
      <c r="L256" s="1290"/>
      <c r="M256" s="1696"/>
      <c r="N256" s="1696"/>
      <c r="O256" s="1696"/>
      <c r="P256" s="7688"/>
      <c r="Q256" s="7688"/>
      <c r="R256" s="277"/>
      <c r="S256" s="6236"/>
      <c r="T256" s="6237" t="s">
        <v>659</v>
      </c>
      <c r="U256" s="6238"/>
      <c r="V256" s="6239"/>
      <c r="W256" s="6240"/>
      <c r="X256" s="6241"/>
      <c r="Y256" s="6242"/>
      <c r="Z256" s="6243"/>
      <c r="AA256" s="6244"/>
      <c r="AB256" s="6245"/>
      <c r="AC256" s="6246"/>
      <c r="AD256" s="6247"/>
      <c r="AE256" s="6248"/>
      <c r="AF256" s="6249"/>
      <c r="AG256" s="6250"/>
      <c r="AH256" s="6251"/>
      <c r="AI256" s="6252"/>
      <c r="AJ256" s="6253"/>
      <c r="AK256" s="6254"/>
      <c r="AL256" s="6255"/>
      <c r="AM256" s="6256"/>
      <c r="AN256" s="6257"/>
      <c r="AO256" s="6258"/>
      <c r="AP256" s="6259"/>
      <c r="AQ256" s="6260"/>
      <c r="AR256" s="6261"/>
      <c r="AS256" s="6262"/>
      <c r="AT256" s="6263"/>
      <c r="AU256" s="6264"/>
      <c r="AV256" s="6265"/>
      <c r="AW256" s="6266"/>
      <c r="AX256" s="6267"/>
      <c r="AY256" s="6268"/>
      <c r="AZ256" s="6269"/>
      <c r="BA256" s="6270"/>
      <c r="BB256" s="6271"/>
      <c r="BC256" s="6272"/>
      <c r="BD256" s="6273"/>
      <c r="BE256" s="6274"/>
      <c r="BF256" s="6275"/>
      <c r="BG256" s="6276"/>
      <c r="BH256" s="6277"/>
      <c r="BI256" s="6278"/>
      <c r="BJ256" s="6279"/>
      <c r="BK256" s="6280"/>
      <c r="BL256" s="6281"/>
      <c r="BM256" s="6282"/>
      <c r="BN256" s="6283"/>
      <c r="BO256" s="6284"/>
      <c r="BP256" s="6285"/>
      <c r="BQ256" s="6286"/>
      <c r="BR256" s="6287"/>
      <c r="BS256" s="6288"/>
      <c r="BT256" s="6289"/>
      <c r="BU256" s="6290"/>
      <c r="BV256" s="6291"/>
      <c r="BW256" s="6292"/>
      <c r="BX256" s="6293"/>
      <c r="BY256" s="6294"/>
      <c r="BZ256" s="6295"/>
      <c r="CA256" s="6296"/>
      <c r="CB256" s="6297"/>
      <c r="CC256" s="6298"/>
      <c r="CD256" s="6299"/>
      <c r="CE256" s="6300"/>
      <c r="CF256" s="6301"/>
      <c r="CG256" s="6302"/>
      <c r="CH256" s="6303"/>
      <c r="CI256" s="6304"/>
      <c r="CJ256" s="6305"/>
      <c r="CK256" s="6306"/>
      <c r="CL256" s="6307"/>
      <c r="CM256" s="6308"/>
      <c r="CN256" s="6309"/>
      <c r="CO256" s="6310"/>
      <c r="CP256" s="6311"/>
      <c r="CQ256" s="6312"/>
      <c r="CR256" s="6313"/>
      <c r="CS256" s="6314"/>
      <c r="CT256" s="6315"/>
      <c r="CU256" s="6316"/>
      <c r="CV256" s="1182" t="s">
        <v>660</v>
      </c>
      <c r="CW256" s="1562"/>
      <c r="CX256" s="1544"/>
      <c r="CY256" s="1544" t="str">
        <f t="shared" si="4"/>
        <v>Добавить значение признака дифференциации</v>
      </c>
      <c r="CZ256" s="1544"/>
      <c r="DA256" s="1544"/>
    </row>
    <row r="257" spans="1:105" s="1827" customFormat="1" ht="21" customHeight="1">
      <c r="A257" s="1284"/>
      <c r="B257" s="1284"/>
      <c r="C257" s="1284"/>
      <c r="D257" s="1284"/>
      <c r="E257" s="7690" t="s">
        <v>140</v>
      </c>
      <c r="F257" s="7690"/>
      <c r="G257" s="7690"/>
      <c r="H257" s="7690"/>
      <c r="I257" s="7687"/>
      <c r="J257" s="1284"/>
      <c r="K257" s="1284"/>
      <c r="L257" s="1290"/>
      <c r="M257" s="1696"/>
      <c r="N257" s="1696"/>
      <c r="O257" s="1696"/>
      <c r="P257" s="7688"/>
      <c r="Q257" s="1816"/>
      <c r="R257" s="277"/>
      <c r="S257" s="6317"/>
      <c r="T257" s="6318" t="s">
        <v>588</v>
      </c>
      <c r="U257" s="6319"/>
      <c r="V257" s="6320"/>
      <c r="W257" s="6321"/>
      <c r="X257" s="6322"/>
      <c r="Y257" s="6323"/>
      <c r="Z257" s="6324"/>
      <c r="AA257" s="6325"/>
      <c r="AB257" s="6326"/>
      <c r="AC257" s="6327"/>
      <c r="AD257" s="6328"/>
      <c r="AE257" s="6329"/>
      <c r="AF257" s="6330"/>
      <c r="AG257" s="6331"/>
      <c r="AH257" s="6332"/>
      <c r="AI257" s="6333"/>
      <c r="AJ257" s="6334"/>
      <c r="AK257" s="6335"/>
      <c r="AL257" s="6336"/>
      <c r="AM257" s="6337"/>
      <c r="AN257" s="6338"/>
      <c r="AO257" s="6339"/>
      <c r="AP257" s="6340"/>
      <c r="AQ257" s="6341"/>
      <c r="AR257" s="6342"/>
      <c r="AS257" s="6343"/>
      <c r="AT257" s="6344"/>
      <c r="AU257" s="6345"/>
      <c r="AV257" s="6346"/>
      <c r="AW257" s="6347"/>
      <c r="AX257" s="6348"/>
      <c r="AY257" s="6349"/>
      <c r="AZ257" s="6350"/>
      <c r="BA257" s="6351"/>
      <c r="BB257" s="6352"/>
      <c r="BC257" s="6353"/>
      <c r="BD257" s="6354"/>
      <c r="BE257" s="6355"/>
      <c r="BF257" s="6356"/>
      <c r="BG257" s="6357"/>
      <c r="BH257" s="6358"/>
      <c r="BI257" s="6359"/>
      <c r="BJ257" s="6360"/>
      <c r="BK257" s="6361"/>
      <c r="BL257" s="6362"/>
      <c r="BM257" s="6363"/>
      <c r="BN257" s="6364"/>
      <c r="BO257" s="6365"/>
      <c r="BP257" s="6366"/>
      <c r="BQ257" s="6367"/>
      <c r="BR257" s="6368"/>
      <c r="BS257" s="6369"/>
      <c r="BT257" s="6370"/>
      <c r="BU257" s="6371"/>
      <c r="BV257" s="6372"/>
      <c r="BW257" s="6373"/>
      <c r="BX257" s="6374"/>
      <c r="BY257" s="6375"/>
      <c r="BZ257" s="6376"/>
      <c r="CA257" s="6377"/>
      <c r="CB257" s="6378"/>
      <c r="CC257" s="6379"/>
      <c r="CD257" s="6380"/>
      <c r="CE257" s="6381"/>
      <c r="CF257" s="6382"/>
      <c r="CG257" s="6383"/>
      <c r="CH257" s="6384"/>
      <c r="CI257" s="6385"/>
      <c r="CJ257" s="6386"/>
      <c r="CK257" s="6387"/>
      <c r="CL257" s="6388"/>
      <c r="CM257" s="6389"/>
      <c r="CN257" s="6390"/>
      <c r="CO257" s="6391"/>
      <c r="CP257" s="6392"/>
      <c r="CQ257" s="6393"/>
      <c r="CR257" s="6394"/>
      <c r="CS257" s="6395"/>
      <c r="CT257" s="6396"/>
      <c r="CU257" s="6397"/>
      <c r="CV257" s="6398"/>
      <c r="CW257" s="1562"/>
      <c r="CX257" s="1544"/>
      <c r="CY257" s="1544" t="str">
        <f t="shared" si="4"/>
        <v>Добавить группу потребителей</v>
      </c>
      <c r="CZ257" s="1544"/>
      <c r="DA257" s="1544"/>
    </row>
    <row r="258" spans="1:105" s="1827" customFormat="1" ht="14.25" customHeight="1">
      <c r="A258" s="1284"/>
      <c r="B258" s="1284"/>
      <c r="C258" s="1284"/>
      <c r="D258" s="1284"/>
      <c r="E258" s="7690" t="s">
        <v>140</v>
      </c>
      <c r="F258" s="7690"/>
      <c r="G258" s="7690"/>
      <c r="H258" s="7689"/>
      <c r="I258" s="1284"/>
      <c r="J258" s="1284"/>
      <c r="K258" s="1284"/>
      <c r="L258" s="1290"/>
      <c r="M258" s="1286"/>
      <c r="N258" s="1286"/>
      <c r="O258" s="1287"/>
      <c r="P258" s="1742"/>
      <c r="Q258" s="299"/>
      <c r="R258" s="276"/>
      <c r="S258" s="6399"/>
      <c r="T258" s="6400" t="s">
        <v>661</v>
      </c>
      <c r="U258" s="6401"/>
      <c r="V258" s="6402"/>
      <c r="W258" s="6403"/>
      <c r="X258" s="6404"/>
      <c r="Y258" s="6405"/>
      <c r="Z258" s="6406"/>
      <c r="AA258" s="6407"/>
      <c r="AB258" s="6408"/>
      <c r="AC258" s="6409"/>
      <c r="AD258" s="6410"/>
      <c r="AE258" s="6411"/>
      <c r="AF258" s="6412"/>
      <c r="AG258" s="6413"/>
      <c r="AH258" s="6414"/>
      <c r="AI258" s="6415"/>
      <c r="AJ258" s="6416"/>
      <c r="AK258" s="6417"/>
      <c r="AL258" s="6418"/>
      <c r="AM258" s="6419"/>
      <c r="AN258" s="6420"/>
      <c r="AO258" s="6421"/>
      <c r="AP258" s="6422"/>
      <c r="AQ258" s="6423"/>
      <c r="AR258" s="6424"/>
      <c r="AS258" s="6425"/>
      <c r="AT258" s="6426"/>
      <c r="AU258" s="6427"/>
      <c r="AV258" s="6428"/>
      <c r="AW258" s="6429"/>
      <c r="AX258" s="6430"/>
      <c r="AY258" s="6431"/>
      <c r="AZ258" s="6432"/>
      <c r="BA258" s="6433"/>
      <c r="BB258" s="6434"/>
      <c r="BC258" s="6435"/>
      <c r="BD258" s="6436"/>
      <c r="BE258" s="6437"/>
      <c r="BF258" s="6438"/>
      <c r="BG258" s="6439"/>
      <c r="BH258" s="6440"/>
      <c r="BI258" s="6441"/>
      <c r="BJ258" s="6442"/>
      <c r="BK258" s="6443"/>
      <c r="BL258" s="6444"/>
      <c r="BM258" s="6445"/>
      <c r="BN258" s="6446"/>
      <c r="BO258" s="6447"/>
      <c r="BP258" s="6448"/>
      <c r="BQ258" s="6449"/>
      <c r="BR258" s="6450"/>
      <c r="BS258" s="6451"/>
      <c r="BT258" s="6452"/>
      <c r="BU258" s="6453"/>
      <c r="BV258" s="6454"/>
      <c r="BW258" s="6455"/>
      <c r="BX258" s="6456"/>
      <c r="BY258" s="6457"/>
      <c r="BZ258" s="6458"/>
      <c r="CA258" s="6459"/>
      <c r="CB258" s="6460"/>
      <c r="CC258" s="6461"/>
      <c r="CD258" s="6462"/>
      <c r="CE258" s="6463"/>
      <c r="CF258" s="6464"/>
      <c r="CG258" s="6465"/>
      <c r="CH258" s="6466"/>
      <c r="CI258" s="6467"/>
      <c r="CJ258" s="6468"/>
      <c r="CK258" s="6469"/>
      <c r="CL258" s="6470"/>
      <c r="CM258" s="6471"/>
      <c r="CN258" s="6472"/>
      <c r="CO258" s="6473"/>
      <c r="CP258" s="6474"/>
      <c r="CQ258" s="6475"/>
      <c r="CR258" s="6476"/>
      <c r="CS258" s="6477"/>
      <c r="CT258" s="6478"/>
      <c r="CU258" s="6479"/>
      <c r="CV258" s="6480"/>
      <c r="CW258" s="1562"/>
      <c r="CX258" s="1544"/>
      <c r="CY258" s="1544" t="str">
        <f t="shared" si="4"/>
        <v>Добавить наименование признака дифференциации</v>
      </c>
      <c r="CZ258" s="1544"/>
      <c r="DA258" s="1544"/>
    </row>
    <row r="259" spans="1:105" s="541" customFormat="1" ht="14.25" customHeight="1">
      <c r="A259" s="1265"/>
      <c r="B259" s="1265"/>
      <c r="C259" s="1265"/>
      <c r="D259" s="1265"/>
      <c r="E259" s="7690" t="s">
        <v>140</v>
      </c>
      <c r="F259" s="7689"/>
      <c r="G259" s="1265"/>
      <c r="H259" s="1265"/>
      <c r="I259" s="1265"/>
      <c r="J259" s="1265"/>
      <c r="K259" s="1265"/>
      <c r="L259" s="1466"/>
      <c r="M259" s="1244"/>
      <c r="N259" s="1244"/>
      <c r="O259" s="1562"/>
      <c r="P259" s="1239"/>
      <c r="Q259" s="1266"/>
      <c r="R259" s="1239"/>
      <c r="S259" s="1245"/>
      <c r="T259" s="1248" t="s">
        <v>325</v>
      </c>
      <c r="U259" s="1247"/>
      <c r="V259" s="1247"/>
      <c r="W259" s="1247"/>
      <c r="X259" s="1247"/>
      <c r="Y259" s="1247"/>
      <c r="Z259" s="1247"/>
      <c r="AA259" s="1247"/>
      <c r="AB259" s="1247"/>
      <c r="AC259" s="1247"/>
      <c r="AD259" s="1247"/>
      <c r="AE259" s="1247"/>
      <c r="AF259" s="1247"/>
      <c r="AG259" s="1247"/>
      <c r="AH259" s="1247"/>
      <c r="AI259" s="1247"/>
      <c r="AJ259" s="1247"/>
      <c r="AK259" s="1247"/>
      <c r="AL259" s="1247"/>
      <c r="AM259" s="1247"/>
      <c r="AN259" s="1247"/>
      <c r="AO259" s="1247"/>
      <c r="AP259" s="1247"/>
      <c r="AQ259" s="1247"/>
      <c r="AR259" s="1247"/>
      <c r="AS259" s="1247"/>
      <c r="AT259" s="1247"/>
      <c r="AU259" s="1247"/>
      <c r="AV259" s="1247"/>
      <c r="AW259" s="1247"/>
      <c r="AX259" s="1247"/>
      <c r="AY259" s="1247"/>
      <c r="AZ259" s="1247"/>
      <c r="BA259" s="1247"/>
      <c r="BB259" s="1247"/>
      <c r="BC259" s="1247"/>
      <c r="BD259" s="1247"/>
      <c r="BE259" s="1247"/>
      <c r="BF259" s="1247"/>
      <c r="BG259" s="1247"/>
      <c r="BH259" s="1247"/>
      <c r="BI259" s="1247"/>
      <c r="BJ259" s="1247"/>
      <c r="BK259" s="1247"/>
      <c r="BL259" s="1247"/>
      <c r="BM259" s="1247"/>
      <c r="BN259" s="1247"/>
      <c r="BO259" s="1247"/>
      <c r="BP259" s="1247"/>
      <c r="BQ259" s="1247"/>
      <c r="BR259" s="1247"/>
      <c r="BS259" s="1247"/>
      <c r="BT259" s="1247"/>
      <c r="BU259" s="1247"/>
      <c r="BV259" s="1247"/>
      <c r="BW259" s="1247"/>
      <c r="BX259" s="1247"/>
      <c r="BY259" s="1247"/>
      <c r="BZ259" s="1247"/>
      <c r="CA259" s="1247"/>
      <c r="CB259" s="1247"/>
      <c r="CC259" s="1247"/>
      <c r="CD259" s="1247"/>
      <c r="CE259" s="1247"/>
      <c r="CF259" s="1247"/>
      <c r="CG259" s="1247"/>
      <c r="CH259" s="1247"/>
      <c r="CI259" s="1247"/>
      <c r="CJ259" s="1247"/>
      <c r="CK259" s="1247"/>
      <c r="CL259" s="1247"/>
      <c r="CM259" s="1247"/>
      <c r="CN259" s="1247"/>
      <c r="CO259" s="1247"/>
      <c r="CP259" s="1247"/>
      <c r="CQ259" s="1247"/>
      <c r="CR259" s="1247"/>
      <c r="CS259" s="1247"/>
      <c r="CT259" s="1247"/>
      <c r="CU259" s="1247"/>
      <c r="CV259" s="1247"/>
      <c r="CW259" s="1562"/>
      <c r="CX259" s="1544"/>
      <c r="CY259" s="1544" t="str">
        <f t="shared" si="4"/>
        <v>Добавить централизованную систему для дифференциации</v>
      </c>
      <c r="CZ259" s="1544"/>
      <c r="DA259" s="1544"/>
    </row>
    <row r="260" spans="1:105" s="541" customFormat="1" ht="14.25" customHeight="1">
      <c r="A260" s="1265"/>
      <c r="B260" s="1265"/>
      <c r="C260" s="1265"/>
      <c r="D260" s="1265"/>
      <c r="E260" s="7689" t="s">
        <v>140</v>
      </c>
      <c r="F260" s="1265"/>
      <c r="G260" s="1265"/>
      <c r="H260" s="1265"/>
      <c r="I260" s="1265"/>
      <c r="J260" s="1265"/>
      <c r="K260" s="1265"/>
      <c r="L260" s="1466"/>
      <c r="M260" s="1244"/>
      <c r="N260" s="1244"/>
      <c r="O260" s="1562"/>
      <c r="P260" s="1239"/>
      <c r="Q260" s="1266"/>
      <c r="R260" s="1239"/>
      <c r="S260" s="1245"/>
      <c r="T260" s="1248" t="s">
        <v>326</v>
      </c>
      <c r="U260" s="1247"/>
      <c r="V260" s="1247"/>
      <c r="W260" s="1247"/>
      <c r="X260" s="1247"/>
      <c r="Y260" s="1247"/>
      <c r="Z260" s="1247"/>
      <c r="AA260" s="1247"/>
      <c r="AB260" s="1247"/>
      <c r="AC260" s="1247"/>
      <c r="AD260" s="1247"/>
      <c r="AE260" s="1247"/>
      <c r="AF260" s="1247"/>
      <c r="AG260" s="1247"/>
      <c r="AH260" s="1247"/>
      <c r="AI260" s="1247"/>
      <c r="AJ260" s="1247"/>
      <c r="AK260" s="1247"/>
      <c r="AL260" s="1247"/>
      <c r="AM260" s="1247"/>
      <c r="AN260" s="1247"/>
      <c r="AO260" s="1247"/>
      <c r="AP260" s="1247"/>
      <c r="AQ260" s="1247"/>
      <c r="AR260" s="1247"/>
      <c r="AS260" s="1247"/>
      <c r="AT260" s="1247"/>
      <c r="AU260" s="1247"/>
      <c r="AV260" s="1247"/>
      <c r="AW260" s="1247"/>
      <c r="AX260" s="1247"/>
      <c r="AY260" s="1247"/>
      <c r="AZ260" s="1247"/>
      <c r="BA260" s="1247"/>
      <c r="BB260" s="1247"/>
      <c r="BC260" s="1247"/>
      <c r="BD260" s="1247"/>
      <c r="BE260" s="1247"/>
      <c r="BF260" s="1247"/>
      <c r="BG260" s="1247"/>
      <c r="BH260" s="1247"/>
      <c r="BI260" s="1247"/>
      <c r="BJ260" s="1247"/>
      <c r="BK260" s="1247"/>
      <c r="BL260" s="1247"/>
      <c r="BM260" s="1247"/>
      <c r="BN260" s="1247"/>
      <c r="BO260" s="1247"/>
      <c r="BP260" s="1247"/>
      <c r="BQ260" s="1247"/>
      <c r="BR260" s="1247"/>
      <c r="BS260" s="1247"/>
      <c r="BT260" s="1247"/>
      <c r="BU260" s="1247"/>
      <c r="BV260" s="1247"/>
      <c r="BW260" s="1247"/>
      <c r="BX260" s="1247"/>
      <c r="BY260" s="1247"/>
      <c r="BZ260" s="1247"/>
      <c r="CA260" s="1247"/>
      <c r="CB260" s="1247"/>
      <c r="CC260" s="1247"/>
      <c r="CD260" s="1247"/>
      <c r="CE260" s="1247"/>
      <c r="CF260" s="1247"/>
      <c r="CG260" s="1247"/>
      <c r="CH260" s="1247"/>
      <c r="CI260" s="1247"/>
      <c r="CJ260" s="1247"/>
      <c r="CK260" s="1247"/>
      <c r="CL260" s="1247"/>
      <c r="CM260" s="1247"/>
      <c r="CN260" s="1247"/>
      <c r="CO260" s="1247"/>
      <c r="CP260" s="1247"/>
      <c r="CQ260" s="1247"/>
      <c r="CR260" s="1247"/>
      <c r="CS260" s="1247"/>
      <c r="CT260" s="1247"/>
      <c r="CU260" s="1247"/>
      <c r="CV260" s="1247"/>
      <c r="CW260" s="1562"/>
      <c r="CX260" s="1544"/>
      <c r="CY260" s="1544" t="str">
        <f t="shared" si="4"/>
        <v>Добавить территорию для дифференциации</v>
      </c>
      <c r="CZ260" s="1544"/>
      <c r="DA260" s="1544"/>
    </row>
    <row r="261" spans="1:105" s="1827" customFormat="1" ht="23.25" customHeight="1">
      <c r="A261" s="1284" t="s">
        <v>393</v>
      </c>
      <c r="B261" s="1284"/>
      <c r="C261" s="1284"/>
      <c r="D261" s="1284"/>
      <c r="E261" s="7689" t="s">
        <v>148</v>
      </c>
      <c r="F261" s="1284"/>
      <c r="G261" s="1284"/>
      <c r="H261" s="1284"/>
      <c r="I261" s="1284"/>
      <c r="J261" s="1284"/>
      <c r="K261" s="1284"/>
      <c r="L261" s="1290"/>
      <c r="M261" s="1286"/>
      <c r="N261" s="1286"/>
      <c r="O261" s="1286"/>
      <c r="P261" s="1817"/>
      <c r="Q261" s="1742"/>
      <c r="R261" s="276"/>
      <c r="S261" s="1813" t="str">
        <f>INDEX(PT_DIFFERENTIATION_NUM_NTAR,MATCH(A261,PT_DIFFERENTIATION_NTAR_ID,0))</f>
        <v>15</v>
      </c>
      <c r="T261" s="1440" t="s">
        <v>237</v>
      </c>
      <c r="U261" s="214"/>
      <c r="V261" s="7675"/>
      <c r="W261" s="7676"/>
      <c r="X261" s="7676"/>
      <c r="Y261" s="7676"/>
      <c r="Z261" s="7676"/>
      <c r="AA261" s="7676"/>
      <c r="AB261" s="7677"/>
      <c r="AC261" s="7675" t="str">
        <f>INDEX(PT_DIFFERENTIATION_NTAR,MATCH(A261,PT_DIFFERENTIATION_NTAR_ID,0))</f>
        <v>Тарифы на питьевую воду для потребителей, присоединенных к централизованным системам водоснабжения села Сухая Буйвола Петровского муниципального округа</v>
      </c>
      <c r="AD261" s="7676"/>
      <c r="AE261" s="7676"/>
      <c r="AF261" s="7676"/>
      <c r="AG261" s="7676"/>
      <c r="AH261" s="7676"/>
      <c r="AI261" s="7676"/>
      <c r="AJ261" s="7675"/>
      <c r="AK261" s="7676"/>
      <c r="AL261" s="7676"/>
      <c r="AM261" s="7676"/>
      <c r="AN261" s="7676"/>
      <c r="AO261" s="7676"/>
      <c r="AP261" s="7677"/>
      <c r="AQ261" s="7675"/>
      <c r="AR261" s="7676"/>
      <c r="AS261" s="7676"/>
      <c r="AT261" s="7676"/>
      <c r="AU261" s="7676"/>
      <c r="AV261" s="7676"/>
      <c r="AW261" s="7677"/>
      <c r="AX261" s="7675"/>
      <c r="AY261" s="7676"/>
      <c r="AZ261" s="7676"/>
      <c r="BA261" s="7676"/>
      <c r="BB261" s="7676"/>
      <c r="BC261" s="7676"/>
      <c r="BD261" s="7677"/>
      <c r="BE261" s="7675"/>
      <c r="BF261" s="7676"/>
      <c r="BG261" s="7676"/>
      <c r="BH261" s="7676"/>
      <c r="BI261" s="7676"/>
      <c r="BJ261" s="7676"/>
      <c r="BK261" s="7677"/>
      <c r="BL261" s="7675"/>
      <c r="BM261" s="7676"/>
      <c r="BN261" s="7676"/>
      <c r="BO261" s="7676"/>
      <c r="BP261" s="7676"/>
      <c r="BQ261" s="7676"/>
      <c r="BR261" s="7677"/>
      <c r="BS261" s="7675"/>
      <c r="BT261" s="7676"/>
      <c r="BU261" s="7676"/>
      <c r="BV261" s="7676"/>
      <c r="BW261" s="7676"/>
      <c r="BX261" s="7676"/>
      <c r="BY261" s="7677"/>
      <c r="BZ261" s="7675"/>
      <c r="CA261" s="7676"/>
      <c r="CB261" s="7676"/>
      <c r="CC261" s="7676"/>
      <c r="CD261" s="7676"/>
      <c r="CE261" s="7676"/>
      <c r="CF261" s="7677"/>
      <c r="CG261" s="7675"/>
      <c r="CH261" s="7676"/>
      <c r="CI261" s="7676"/>
      <c r="CJ261" s="7676"/>
      <c r="CK261" s="7676"/>
      <c r="CL261" s="7676"/>
      <c r="CM261" s="7677"/>
      <c r="CN261" s="7675"/>
      <c r="CO261" s="7676"/>
      <c r="CP261" s="7676"/>
      <c r="CQ261" s="7676"/>
      <c r="CR261" s="7676"/>
      <c r="CS261" s="7676"/>
      <c r="CT261" s="7677"/>
      <c r="CU261" s="7677"/>
      <c r="CV26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261" s="1562"/>
      <c r="CX261" s="1544"/>
      <c r="CY261" s="1544" t="str">
        <f t="shared" si="4"/>
        <v>Наименование тарифа</v>
      </c>
      <c r="CZ261" s="1544"/>
      <c r="DA261" s="1544"/>
    </row>
    <row r="262" spans="1:105" s="1827" customFormat="1" ht="23.25" customHeight="1">
      <c r="A262" s="1284"/>
      <c r="B262" s="1284" t="s">
        <v>394</v>
      </c>
      <c r="C262" s="1284"/>
      <c r="D262" s="1284"/>
      <c r="E262" s="7690" t="s">
        <v>144</v>
      </c>
      <c r="F262" s="7689">
        <v>1</v>
      </c>
      <c r="G262" s="1284"/>
      <c r="H262" s="1284"/>
      <c r="I262" s="1284"/>
      <c r="J262" s="1284"/>
      <c r="K262" s="1284"/>
      <c r="L262" s="1290"/>
      <c r="M262" s="1286"/>
      <c r="N262" s="1286"/>
      <c r="O262" s="1286"/>
      <c r="P262" s="1807"/>
      <c r="Q262" s="273"/>
      <c r="R262" s="274"/>
      <c r="S262" s="1813" t="str">
        <f>INDEX(PT_DIFFERENTIATION_NUM_TER,MATCH(B262,PT_DIFFERENTIATION_TER_ID,0))</f>
        <v>15.1</v>
      </c>
      <c r="T262" s="1437" t="s">
        <v>573</v>
      </c>
      <c r="U262" s="214"/>
      <c r="V262" s="7675"/>
      <c r="W262" s="7676"/>
      <c r="X262" s="7676"/>
      <c r="Y262" s="7676"/>
      <c r="Z262" s="7676"/>
      <c r="AA262" s="7676"/>
      <c r="AB262" s="7677"/>
      <c r="AC262" s="7675" t="str">
        <f>INDEX(PT_DIFFERENTIATION_TER,MATCH(B262,PT_DIFFERENTIATION_TER_ID,0))</f>
        <v>Территория 7</v>
      </c>
      <c r="AD262" s="7676"/>
      <c r="AE262" s="7676"/>
      <c r="AF262" s="7676"/>
      <c r="AG262" s="7676"/>
      <c r="AH262" s="7676"/>
      <c r="AI262" s="7676"/>
      <c r="AJ262" s="7675"/>
      <c r="AK262" s="7676"/>
      <c r="AL262" s="7676"/>
      <c r="AM262" s="7676"/>
      <c r="AN262" s="7676"/>
      <c r="AO262" s="7676"/>
      <c r="AP262" s="7677"/>
      <c r="AQ262" s="7675"/>
      <c r="AR262" s="7676"/>
      <c r="AS262" s="7676"/>
      <c r="AT262" s="7676"/>
      <c r="AU262" s="7676"/>
      <c r="AV262" s="7676"/>
      <c r="AW262" s="7677"/>
      <c r="AX262" s="7675"/>
      <c r="AY262" s="7676"/>
      <c r="AZ262" s="7676"/>
      <c r="BA262" s="7676"/>
      <c r="BB262" s="7676"/>
      <c r="BC262" s="7676"/>
      <c r="BD262" s="7677"/>
      <c r="BE262" s="7675"/>
      <c r="BF262" s="7676"/>
      <c r="BG262" s="7676"/>
      <c r="BH262" s="7676"/>
      <c r="BI262" s="7676"/>
      <c r="BJ262" s="7676"/>
      <c r="BK262" s="7677"/>
      <c r="BL262" s="7675"/>
      <c r="BM262" s="7676"/>
      <c r="BN262" s="7676"/>
      <c r="BO262" s="7676"/>
      <c r="BP262" s="7676"/>
      <c r="BQ262" s="7676"/>
      <c r="BR262" s="7677"/>
      <c r="BS262" s="7675"/>
      <c r="BT262" s="7676"/>
      <c r="BU262" s="7676"/>
      <c r="BV262" s="7676"/>
      <c r="BW262" s="7676"/>
      <c r="BX262" s="7676"/>
      <c r="BY262" s="7677"/>
      <c r="BZ262" s="7675"/>
      <c r="CA262" s="7676"/>
      <c r="CB262" s="7676"/>
      <c r="CC262" s="7676"/>
      <c r="CD262" s="7676"/>
      <c r="CE262" s="7676"/>
      <c r="CF262" s="7677"/>
      <c r="CG262" s="7675"/>
      <c r="CH262" s="7676"/>
      <c r="CI262" s="7676"/>
      <c r="CJ262" s="7676"/>
      <c r="CK262" s="7676"/>
      <c r="CL262" s="7676"/>
      <c r="CM262" s="7677"/>
      <c r="CN262" s="7675"/>
      <c r="CO262" s="7676"/>
      <c r="CP262" s="7676"/>
      <c r="CQ262" s="7676"/>
      <c r="CR262" s="7676"/>
      <c r="CS262" s="7676"/>
      <c r="CT262" s="7677"/>
      <c r="CU262" s="7677"/>
      <c r="CV262" s="1182" t="s">
        <v>574</v>
      </c>
      <c r="CW262" s="1562"/>
      <c r="CX262" s="1544"/>
      <c r="CY262" s="1544" t="str">
        <f t="shared" si="4"/>
        <v>Территория действия тарифа</v>
      </c>
      <c r="CZ262" s="1544"/>
      <c r="DA262" s="1544"/>
    </row>
    <row r="263" spans="1:105" s="1827" customFormat="1" ht="23.25" customHeight="1">
      <c r="A263" s="1284"/>
      <c r="B263" s="1284"/>
      <c r="C263" s="1284" t="s">
        <v>395</v>
      </c>
      <c r="D263" s="1284"/>
      <c r="E263" s="7690" t="s">
        <v>144</v>
      </c>
      <c r="F263" s="7690"/>
      <c r="G263" s="7689">
        <v>1</v>
      </c>
      <c r="H263" s="1284"/>
      <c r="I263" s="1284"/>
      <c r="J263" s="1284"/>
      <c r="K263" s="1284"/>
      <c r="L263" s="1290"/>
      <c r="M263" s="1286"/>
      <c r="N263" s="1286"/>
      <c r="O263" s="1286"/>
      <c r="P263" s="275"/>
      <c r="Q263" s="273"/>
      <c r="R263" s="274"/>
      <c r="S263" s="1813" t="str">
        <f>INDEX(PT_DIFFERENTIATION_NUM_CS,MATCH(C263,PT_DIFFERENTIATION_CS_ID,0))</f>
        <v>15.1.1</v>
      </c>
      <c r="T263" s="225" t="s">
        <v>654</v>
      </c>
      <c r="U263" s="214"/>
      <c r="V263" s="7675"/>
      <c r="W263" s="7676"/>
      <c r="X263" s="7676"/>
      <c r="Y263" s="7676"/>
      <c r="Z263" s="7676"/>
      <c r="AA263" s="7676"/>
      <c r="AB263" s="7677"/>
      <c r="AC263" s="7675" t="str">
        <f>INDEX(PT_DIFFERENTIATION_CS,MATCH(C263,PT_DIFFERENTIATION_CS_ID,0))</f>
        <v>без дифференциации</v>
      </c>
      <c r="AD263" s="7676"/>
      <c r="AE263" s="7676"/>
      <c r="AF263" s="7676"/>
      <c r="AG263" s="7676"/>
      <c r="AH263" s="7676"/>
      <c r="AI263" s="7676"/>
      <c r="AJ263" s="7675"/>
      <c r="AK263" s="7676"/>
      <c r="AL263" s="7676"/>
      <c r="AM263" s="7676"/>
      <c r="AN263" s="7676"/>
      <c r="AO263" s="7676"/>
      <c r="AP263" s="7677"/>
      <c r="AQ263" s="7675"/>
      <c r="AR263" s="7676"/>
      <c r="AS263" s="7676"/>
      <c r="AT263" s="7676"/>
      <c r="AU263" s="7676"/>
      <c r="AV263" s="7676"/>
      <c r="AW263" s="7677"/>
      <c r="AX263" s="7675"/>
      <c r="AY263" s="7676"/>
      <c r="AZ263" s="7676"/>
      <c r="BA263" s="7676"/>
      <c r="BB263" s="7676"/>
      <c r="BC263" s="7676"/>
      <c r="BD263" s="7677"/>
      <c r="BE263" s="7675"/>
      <c r="BF263" s="7676"/>
      <c r="BG263" s="7676"/>
      <c r="BH263" s="7676"/>
      <c r="BI263" s="7676"/>
      <c r="BJ263" s="7676"/>
      <c r="BK263" s="7677"/>
      <c r="BL263" s="7675"/>
      <c r="BM263" s="7676"/>
      <c r="BN263" s="7676"/>
      <c r="BO263" s="7676"/>
      <c r="BP263" s="7676"/>
      <c r="BQ263" s="7676"/>
      <c r="BR263" s="7677"/>
      <c r="BS263" s="7675"/>
      <c r="BT263" s="7676"/>
      <c r="BU263" s="7676"/>
      <c r="BV263" s="7676"/>
      <c r="BW263" s="7676"/>
      <c r="BX263" s="7676"/>
      <c r="BY263" s="7677"/>
      <c r="BZ263" s="7675"/>
      <c r="CA263" s="7676"/>
      <c r="CB263" s="7676"/>
      <c r="CC263" s="7676"/>
      <c r="CD263" s="7676"/>
      <c r="CE263" s="7676"/>
      <c r="CF263" s="7677"/>
      <c r="CG263" s="7675"/>
      <c r="CH263" s="7676"/>
      <c r="CI263" s="7676"/>
      <c r="CJ263" s="7676"/>
      <c r="CK263" s="7676"/>
      <c r="CL263" s="7676"/>
      <c r="CM263" s="7677"/>
      <c r="CN263" s="7675"/>
      <c r="CO263" s="7676"/>
      <c r="CP263" s="7676"/>
      <c r="CQ263" s="7676"/>
      <c r="CR263" s="7676"/>
      <c r="CS263" s="7676"/>
      <c r="CT263" s="7677"/>
      <c r="CU263" s="7677"/>
      <c r="CV263" s="1182" t="s">
        <v>655</v>
      </c>
      <c r="CW263" s="1562"/>
      <c r="CX263" s="1544"/>
      <c r="CY263" s="1544" t="str">
        <f t="shared" si="4"/>
        <v>Наименование централизованной системы холодного водоснабжения</v>
      </c>
      <c r="CZ263" s="1544"/>
      <c r="DA263" s="1544"/>
    </row>
    <row r="264" spans="1:105" s="1827" customFormat="1" ht="23.25" customHeight="1">
      <c r="A264" s="1284"/>
      <c r="B264" s="1284"/>
      <c r="C264" s="1284"/>
      <c r="D264" s="1284"/>
      <c r="E264" s="7690" t="s">
        <v>144</v>
      </c>
      <c r="F264" s="7690"/>
      <c r="G264" s="7690"/>
      <c r="H264" s="7690"/>
      <c r="I264" s="7687" t="str">
        <f>S263&amp;".1"</f>
        <v>15.1.1.1</v>
      </c>
      <c r="J264" s="1284"/>
      <c r="K264" s="1284"/>
      <c r="L264" s="1290"/>
      <c r="M264" s="1696"/>
      <c r="N264" s="1696"/>
      <c r="O264" s="1696"/>
      <c r="P264" s="7688">
        <v>1</v>
      </c>
      <c r="Q264" s="1816"/>
      <c r="R264" s="277"/>
      <c r="S264" s="1813" t="str">
        <f>$I264</f>
        <v>15.1.1.1</v>
      </c>
      <c r="T264" s="200" t="s">
        <v>656</v>
      </c>
      <c r="U264" s="214"/>
      <c r="V264" s="7748"/>
      <c r="W264" s="7749"/>
      <c r="X264" s="7749"/>
      <c r="Y264" s="7749"/>
      <c r="Z264" s="7749"/>
      <c r="AA264" s="7749"/>
      <c r="AB264" s="7750"/>
      <c r="AC264" s="7751"/>
      <c r="AD264" s="7752"/>
      <c r="AE264" s="7752"/>
      <c r="AF264" s="7752"/>
      <c r="AG264" s="7752"/>
      <c r="AH264" s="7752"/>
      <c r="AI264" s="7752"/>
      <c r="AJ264" s="7748"/>
      <c r="AK264" s="7749"/>
      <c r="AL264" s="7749"/>
      <c r="AM264" s="7749"/>
      <c r="AN264" s="7749"/>
      <c r="AO264" s="7749"/>
      <c r="AP264" s="7750"/>
      <c r="AQ264" s="7748"/>
      <c r="AR264" s="7749"/>
      <c r="AS264" s="7749"/>
      <c r="AT264" s="7749"/>
      <c r="AU264" s="7749"/>
      <c r="AV264" s="7749"/>
      <c r="AW264" s="7750"/>
      <c r="AX264" s="7748"/>
      <c r="AY264" s="7749"/>
      <c r="AZ264" s="7749"/>
      <c r="BA264" s="7749"/>
      <c r="BB264" s="7749"/>
      <c r="BC264" s="7749"/>
      <c r="BD264" s="7750"/>
      <c r="BE264" s="7748"/>
      <c r="BF264" s="7749"/>
      <c r="BG264" s="7749"/>
      <c r="BH264" s="7749"/>
      <c r="BI264" s="7749"/>
      <c r="BJ264" s="7749"/>
      <c r="BK264" s="7750"/>
      <c r="BL264" s="7748"/>
      <c r="BM264" s="7749"/>
      <c r="BN264" s="7749"/>
      <c r="BO264" s="7749"/>
      <c r="BP264" s="7749"/>
      <c r="BQ264" s="7749"/>
      <c r="BR264" s="7750"/>
      <c r="BS264" s="7748"/>
      <c r="BT264" s="7749"/>
      <c r="BU264" s="7749"/>
      <c r="BV264" s="7749"/>
      <c r="BW264" s="7749"/>
      <c r="BX264" s="7749"/>
      <c r="BY264" s="7750"/>
      <c r="BZ264" s="7748"/>
      <c r="CA264" s="7749"/>
      <c r="CB264" s="7749"/>
      <c r="CC264" s="7749"/>
      <c r="CD264" s="7749"/>
      <c r="CE264" s="7749"/>
      <c r="CF264" s="7750"/>
      <c r="CG264" s="7748"/>
      <c r="CH264" s="7749"/>
      <c r="CI264" s="7749"/>
      <c r="CJ264" s="7749"/>
      <c r="CK264" s="7749"/>
      <c r="CL264" s="7749"/>
      <c r="CM264" s="7750"/>
      <c r="CN264" s="7748"/>
      <c r="CO264" s="7749"/>
      <c r="CP264" s="7749"/>
      <c r="CQ264" s="7749"/>
      <c r="CR264" s="7749"/>
      <c r="CS264" s="7749"/>
      <c r="CT264" s="7750"/>
      <c r="CU264" s="7753"/>
      <c r="CV264" s="1182" t="s">
        <v>657</v>
      </c>
      <c r="CW264" s="1562"/>
      <c r="CX264" s="1544"/>
      <c r="CY264" s="1544" t="str">
        <f t="shared" si="4"/>
        <v>Наименование признака дифференциации</v>
      </c>
      <c r="CZ264" s="1544"/>
      <c r="DA264" s="1544"/>
    </row>
    <row r="265" spans="1:105" s="1827" customFormat="1" ht="23.25" customHeight="1">
      <c r="A265" s="1284"/>
      <c r="B265" s="1284"/>
      <c r="C265" s="1284"/>
      <c r="D265" s="1284"/>
      <c r="E265" s="7690" t="s">
        <v>144</v>
      </c>
      <c r="F265" s="7690"/>
      <c r="G265" s="7690"/>
      <c r="H265" s="7690"/>
      <c r="I265" s="7710"/>
      <c r="J265" s="7687" t="str">
        <f>I264&amp;".1"</f>
        <v>15.1.1.1.1</v>
      </c>
      <c r="K265" s="1284"/>
      <c r="L265" s="1290" t="s">
        <v>582</v>
      </c>
      <c r="M265" s="1696"/>
      <c r="N265" s="1696"/>
      <c r="O265" s="1696"/>
      <c r="P265" s="7688"/>
      <c r="Q265" s="7688">
        <v>1</v>
      </c>
      <c r="R265" s="278"/>
      <c r="S265" s="1813" t="str">
        <f>$J265</f>
        <v>15.1.1.1.1</v>
      </c>
      <c r="T265" s="201" t="s">
        <v>583</v>
      </c>
      <c r="U265" s="214"/>
      <c r="V265" s="7678"/>
      <c r="W265" s="7679"/>
      <c r="X265" s="7679"/>
      <c r="Y265" s="7679"/>
      <c r="Z265" s="7679"/>
      <c r="AA265" s="7679"/>
      <c r="AB265" s="7680"/>
      <c r="AC265" s="7678" t="s">
        <v>671</v>
      </c>
      <c r="AD265" s="7679"/>
      <c r="AE265" s="7679"/>
      <c r="AF265" s="7679"/>
      <c r="AG265" s="7679"/>
      <c r="AH265" s="7679"/>
      <c r="AI265" s="7679"/>
      <c r="AJ265" s="7678"/>
      <c r="AK265" s="7679"/>
      <c r="AL265" s="7679"/>
      <c r="AM265" s="7679"/>
      <c r="AN265" s="7679"/>
      <c r="AO265" s="7679"/>
      <c r="AP265" s="7680"/>
      <c r="AQ265" s="7678"/>
      <c r="AR265" s="7679"/>
      <c r="AS265" s="7679"/>
      <c r="AT265" s="7679"/>
      <c r="AU265" s="7679"/>
      <c r="AV265" s="7679"/>
      <c r="AW265" s="7680"/>
      <c r="AX265" s="7678"/>
      <c r="AY265" s="7679"/>
      <c r="AZ265" s="7679"/>
      <c r="BA265" s="7679"/>
      <c r="BB265" s="7679"/>
      <c r="BC265" s="7679"/>
      <c r="BD265" s="7680"/>
      <c r="BE265" s="7678"/>
      <c r="BF265" s="7679"/>
      <c r="BG265" s="7679"/>
      <c r="BH265" s="7679"/>
      <c r="BI265" s="7679"/>
      <c r="BJ265" s="7679"/>
      <c r="BK265" s="7680"/>
      <c r="BL265" s="7678"/>
      <c r="BM265" s="7679"/>
      <c r="BN265" s="7679"/>
      <c r="BO265" s="7679"/>
      <c r="BP265" s="7679"/>
      <c r="BQ265" s="7679"/>
      <c r="BR265" s="7680"/>
      <c r="BS265" s="7678"/>
      <c r="BT265" s="7679"/>
      <c r="BU265" s="7679"/>
      <c r="BV265" s="7679"/>
      <c r="BW265" s="7679"/>
      <c r="BX265" s="7679"/>
      <c r="BY265" s="7680"/>
      <c r="BZ265" s="7678"/>
      <c r="CA265" s="7679"/>
      <c r="CB265" s="7679"/>
      <c r="CC265" s="7679"/>
      <c r="CD265" s="7679"/>
      <c r="CE265" s="7679"/>
      <c r="CF265" s="7680"/>
      <c r="CG265" s="7678"/>
      <c r="CH265" s="7679"/>
      <c r="CI265" s="7679"/>
      <c r="CJ265" s="7679"/>
      <c r="CK265" s="7679"/>
      <c r="CL265" s="7679"/>
      <c r="CM265" s="7680"/>
      <c r="CN265" s="7678"/>
      <c r="CO265" s="7679"/>
      <c r="CP265" s="7679"/>
      <c r="CQ265" s="7679"/>
      <c r="CR265" s="7679"/>
      <c r="CS265" s="7679"/>
      <c r="CT265" s="7680"/>
      <c r="CU265" s="7680"/>
      <c r="CV265" s="1231" t="s">
        <v>658</v>
      </c>
      <c r="CW265" s="1562"/>
      <c r="CX265" s="1544"/>
      <c r="CY265" s="1544" t="str">
        <f t="shared" si="4"/>
        <v>Группа потребителей</v>
      </c>
      <c r="CZ265" s="1544"/>
      <c r="DA265" s="1544"/>
    </row>
    <row r="266" spans="1:105" s="1827" customFormat="1" ht="23.25" customHeight="1">
      <c r="A266" s="1284"/>
      <c r="B266" s="1284"/>
      <c r="C266" s="1284"/>
      <c r="D266" s="1284"/>
      <c r="E266" s="7690" t="s">
        <v>144</v>
      </c>
      <c r="F266" s="7690"/>
      <c r="G266" s="7690"/>
      <c r="H266" s="7690"/>
      <c r="I266" s="7710"/>
      <c r="J266" s="7710"/>
      <c r="K266" s="7687" t="str">
        <f>J265&amp;".1"</f>
        <v>15.1.1.1.1.1</v>
      </c>
      <c r="L266" s="1290"/>
      <c r="M266" s="1696"/>
      <c r="N266" s="1696"/>
      <c r="O266" s="1696"/>
      <c r="P266" s="7688"/>
      <c r="Q266" s="7688"/>
      <c r="R266" s="278">
        <v>1</v>
      </c>
      <c r="S266" s="1813" t="str">
        <f>$K266</f>
        <v>15.1.1.1.1.1</v>
      </c>
      <c r="T266" s="1357" t="s">
        <v>672</v>
      </c>
      <c r="U266" s="214"/>
      <c r="V266" s="666"/>
      <c r="W266" s="666"/>
      <c r="X266" s="1181"/>
      <c r="Y266" s="7692"/>
      <c r="Z266" s="7540" t="s">
        <v>60</v>
      </c>
      <c r="AA266" s="7692"/>
      <c r="AB266" s="7540" t="s">
        <v>60</v>
      </c>
      <c r="AC266" s="666">
        <v>66.52</v>
      </c>
      <c r="AD266" s="666"/>
      <c r="AE266" s="1181"/>
      <c r="AF266" s="7692">
        <v>45292</v>
      </c>
      <c r="AG266" s="7540" t="s">
        <v>60</v>
      </c>
      <c r="AH266" s="7711">
        <v>45473</v>
      </c>
      <c r="AI266" s="7540" t="s">
        <v>60</v>
      </c>
      <c r="AJ266" s="666">
        <v>72.52</v>
      </c>
      <c r="AK266" s="666"/>
      <c r="AL266" s="1181"/>
      <c r="AM266" s="7692">
        <v>45474</v>
      </c>
      <c r="AN266" s="7540" t="s">
        <v>60</v>
      </c>
      <c r="AO266" s="7692">
        <v>45657</v>
      </c>
      <c r="AP266" s="7540" t="s">
        <v>60</v>
      </c>
      <c r="AQ266" s="666">
        <v>72.52</v>
      </c>
      <c r="AR266" s="666"/>
      <c r="AS266" s="1181"/>
      <c r="AT266" s="7692">
        <v>45658</v>
      </c>
      <c r="AU266" s="7540" t="s">
        <v>60</v>
      </c>
      <c r="AV266" s="7692">
        <v>45838</v>
      </c>
      <c r="AW266" s="7540" t="s">
        <v>60</v>
      </c>
      <c r="AX266" s="666">
        <v>76.650000000000006</v>
      </c>
      <c r="AY266" s="666"/>
      <c r="AZ266" s="1181"/>
      <c r="BA266" s="7692">
        <v>45839</v>
      </c>
      <c r="BB266" s="7540" t="s">
        <v>60</v>
      </c>
      <c r="BC266" s="7692">
        <v>46022</v>
      </c>
      <c r="BD266" s="7540" t="s">
        <v>60</v>
      </c>
      <c r="BE266" s="666">
        <v>76.650000000000006</v>
      </c>
      <c r="BF266" s="666"/>
      <c r="BG266" s="1181"/>
      <c r="BH266" s="7692">
        <v>46023</v>
      </c>
      <c r="BI266" s="7540" t="s">
        <v>60</v>
      </c>
      <c r="BJ266" s="7692">
        <v>46203</v>
      </c>
      <c r="BK266" s="7540" t="s">
        <v>60</v>
      </c>
      <c r="BL266" s="666">
        <v>79.72</v>
      </c>
      <c r="BM266" s="666"/>
      <c r="BN266" s="1181"/>
      <c r="BO266" s="7692">
        <v>46204</v>
      </c>
      <c r="BP266" s="7540" t="s">
        <v>60</v>
      </c>
      <c r="BQ266" s="7692">
        <v>46387</v>
      </c>
      <c r="BR266" s="7540" t="s">
        <v>60</v>
      </c>
      <c r="BS266" s="666">
        <v>79.72</v>
      </c>
      <c r="BT266" s="666"/>
      <c r="BU266" s="1181"/>
      <c r="BV266" s="7692">
        <v>46388</v>
      </c>
      <c r="BW266" s="7540" t="s">
        <v>60</v>
      </c>
      <c r="BX266" s="7692">
        <v>46568</v>
      </c>
      <c r="BY266" s="7540" t="s">
        <v>60</v>
      </c>
      <c r="BZ266" s="666">
        <v>82.91</v>
      </c>
      <c r="CA266" s="666"/>
      <c r="CB266" s="1181"/>
      <c r="CC266" s="7692">
        <v>46569</v>
      </c>
      <c r="CD266" s="7540" t="s">
        <v>60</v>
      </c>
      <c r="CE266" s="7692">
        <v>46752</v>
      </c>
      <c r="CF266" s="7540" t="s">
        <v>60</v>
      </c>
      <c r="CG266" s="666">
        <v>82.91</v>
      </c>
      <c r="CH266" s="666"/>
      <c r="CI266" s="1181"/>
      <c r="CJ266" s="7692">
        <v>46753</v>
      </c>
      <c r="CK266" s="7540" t="s">
        <v>60</v>
      </c>
      <c r="CL266" s="7692">
        <v>46934</v>
      </c>
      <c r="CM266" s="7540" t="s">
        <v>60</v>
      </c>
      <c r="CN266" s="666">
        <v>86.23</v>
      </c>
      <c r="CO266" s="666"/>
      <c r="CP266" s="1181"/>
      <c r="CQ266" s="7692">
        <v>46935</v>
      </c>
      <c r="CR266" s="7540" t="s">
        <v>60</v>
      </c>
      <c r="CS266" s="7692">
        <v>47118</v>
      </c>
      <c r="CT266" s="7540" t="s">
        <v>60</v>
      </c>
      <c r="CU266" s="1358"/>
      <c r="CV26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66" s="1562" t="e">
        <f ca="1">STRCHECKDATE(V267:CU267)</f>
        <v>#NAME?</v>
      </c>
      <c r="CX266" s="1544"/>
      <c r="CY266" s="1544" t="str">
        <f t="shared" si="4"/>
        <v>Тариф для населения, руб. за 1 куб. метр с НДС</v>
      </c>
      <c r="CZ266" s="1544"/>
      <c r="DA266" s="1544"/>
    </row>
    <row r="267" spans="1:105" s="1827" customFormat="1" ht="14.25" customHeight="1">
      <c r="A267" s="1284"/>
      <c r="B267" s="1284"/>
      <c r="C267" s="1284"/>
      <c r="D267" s="1284"/>
      <c r="E267" s="7690" t="s">
        <v>144</v>
      </c>
      <c r="F267" s="7690"/>
      <c r="G267" s="7690"/>
      <c r="H267" s="7690"/>
      <c r="I267" s="7710"/>
      <c r="J267" s="7710"/>
      <c r="K267" s="7687"/>
      <c r="L267" s="1290"/>
      <c r="M267" s="1696"/>
      <c r="N267" s="1696"/>
      <c r="O267" s="1696"/>
      <c r="P267" s="7688"/>
      <c r="Q267" s="7688"/>
      <c r="R267" s="278"/>
      <c r="S267" s="1822"/>
      <c r="T267" s="214"/>
      <c r="U267" s="214"/>
      <c r="V267" s="246"/>
      <c r="W267" s="246"/>
      <c r="X267" s="250" t="str">
        <f>Y266&amp;"-"&amp;AA266</f>
        <v>-</v>
      </c>
      <c r="Y267" s="7693"/>
      <c r="Z267" s="7540"/>
      <c r="AA267" s="7693"/>
      <c r="AB267" s="7540"/>
      <c r="AC267" s="246"/>
      <c r="AD267" s="246"/>
      <c r="AE267" s="250" t="str">
        <f>AF266&amp;"-"&amp;AH266</f>
        <v>45292-45473</v>
      </c>
      <c r="AF267" s="7693"/>
      <c r="AG267" s="7540"/>
      <c r="AH267" s="7712"/>
      <c r="AI267" s="7540"/>
      <c r="AJ267" s="246"/>
      <c r="AK267" s="246"/>
      <c r="AL267" s="250" t="str">
        <f>AM266&amp;"-"&amp;AO266</f>
        <v>45474-45657</v>
      </c>
      <c r="AM267" s="7693"/>
      <c r="AN267" s="7540"/>
      <c r="AO267" s="7693"/>
      <c r="AP267" s="7540"/>
      <c r="AQ267" s="246"/>
      <c r="AR267" s="246"/>
      <c r="AS267" s="250" t="str">
        <f>AT266&amp;"-"&amp;AV266</f>
        <v>45658-45838</v>
      </c>
      <c r="AT267" s="7693"/>
      <c r="AU267" s="7540"/>
      <c r="AV267" s="7693"/>
      <c r="AW267" s="7540"/>
      <c r="AX267" s="246"/>
      <c r="AY267" s="246"/>
      <c r="AZ267" s="250" t="str">
        <f>BA266&amp;"-"&amp;BC266</f>
        <v>45839-46022</v>
      </c>
      <c r="BA267" s="7693"/>
      <c r="BB267" s="7540"/>
      <c r="BC267" s="7693"/>
      <c r="BD267" s="7540"/>
      <c r="BE267" s="246"/>
      <c r="BF267" s="246"/>
      <c r="BG267" s="250" t="str">
        <f>BH266&amp;"-"&amp;BJ266</f>
        <v>46023-46203</v>
      </c>
      <c r="BH267" s="7693"/>
      <c r="BI267" s="7540"/>
      <c r="BJ267" s="7693"/>
      <c r="BK267" s="7540"/>
      <c r="BL267" s="246"/>
      <c r="BM267" s="246"/>
      <c r="BN267" s="250" t="str">
        <f>BO266&amp;"-"&amp;BQ266</f>
        <v>46204-46387</v>
      </c>
      <c r="BO267" s="7693"/>
      <c r="BP267" s="7540"/>
      <c r="BQ267" s="7693"/>
      <c r="BR267" s="7540"/>
      <c r="BS267" s="246"/>
      <c r="BT267" s="246"/>
      <c r="BU267" s="250" t="str">
        <f>BV266&amp;"-"&amp;BX266</f>
        <v>46388-46568</v>
      </c>
      <c r="BV267" s="7693"/>
      <c r="BW267" s="7540"/>
      <c r="BX267" s="7693"/>
      <c r="BY267" s="7540"/>
      <c r="BZ267" s="246"/>
      <c r="CA267" s="246"/>
      <c r="CB267" s="250" t="str">
        <f>CC266&amp;"-"&amp;CE266</f>
        <v>46569-46752</v>
      </c>
      <c r="CC267" s="7693"/>
      <c r="CD267" s="7540"/>
      <c r="CE267" s="7693"/>
      <c r="CF267" s="7540"/>
      <c r="CG267" s="246"/>
      <c r="CH267" s="246"/>
      <c r="CI267" s="250" t="str">
        <f>CJ266&amp;"-"&amp;CL266</f>
        <v>46753-46934</v>
      </c>
      <c r="CJ267" s="7693"/>
      <c r="CK267" s="7540"/>
      <c r="CL267" s="7693"/>
      <c r="CM267" s="7540"/>
      <c r="CN267" s="246"/>
      <c r="CO267" s="246"/>
      <c r="CP267" s="250" t="str">
        <f>CQ266&amp;"-"&amp;CS266</f>
        <v>46935-47118</v>
      </c>
      <c r="CQ267" s="7693"/>
      <c r="CR267" s="7540"/>
      <c r="CS267" s="7693"/>
      <c r="CT267" s="7540"/>
      <c r="CU267" s="1359"/>
      <c r="CV267" s="7747"/>
      <c r="CW267" s="1562"/>
      <c r="CX267" s="1544"/>
      <c r="CY267" s="1544" t="str">
        <f t="shared" si="4"/>
        <v/>
      </c>
      <c r="CZ267" s="1544"/>
      <c r="DA267" s="1544"/>
    </row>
    <row r="268" spans="1:105" s="1827" customFormat="1" ht="21" customHeight="1">
      <c r="A268" s="1284"/>
      <c r="B268" s="1284"/>
      <c r="C268" s="1284"/>
      <c r="D268" s="1284"/>
      <c r="E268" s="7690" t="s">
        <v>144</v>
      </c>
      <c r="F268" s="7690"/>
      <c r="G268" s="7690"/>
      <c r="H268" s="7690"/>
      <c r="I268" s="7710"/>
      <c r="J268" s="7687"/>
      <c r="K268" s="1284"/>
      <c r="L268" s="1290"/>
      <c r="M268" s="1696"/>
      <c r="N268" s="1696"/>
      <c r="O268" s="1696"/>
      <c r="P268" s="7688"/>
      <c r="Q268" s="7688"/>
      <c r="R268" s="277"/>
      <c r="S268" s="6481"/>
      <c r="T268" s="6482" t="s">
        <v>659</v>
      </c>
      <c r="U268" s="6483"/>
      <c r="V268" s="6484"/>
      <c r="W268" s="6485"/>
      <c r="X268" s="6486"/>
      <c r="Y268" s="6487"/>
      <c r="Z268" s="6488"/>
      <c r="AA268" s="6489"/>
      <c r="AB268" s="6490"/>
      <c r="AC268" s="6491"/>
      <c r="AD268" s="6492"/>
      <c r="AE268" s="6493"/>
      <c r="AF268" s="6494"/>
      <c r="AG268" s="6495"/>
      <c r="AH268" s="6496"/>
      <c r="AI268" s="6497"/>
      <c r="AJ268" s="6498"/>
      <c r="AK268" s="6499"/>
      <c r="AL268" s="6500"/>
      <c r="AM268" s="6501"/>
      <c r="AN268" s="6502"/>
      <c r="AO268" s="6503"/>
      <c r="AP268" s="6504"/>
      <c r="AQ268" s="6505"/>
      <c r="AR268" s="6506"/>
      <c r="AS268" s="6507"/>
      <c r="AT268" s="6508"/>
      <c r="AU268" s="6509"/>
      <c r="AV268" s="6510"/>
      <c r="AW268" s="6511"/>
      <c r="AX268" s="6512"/>
      <c r="AY268" s="6513"/>
      <c r="AZ268" s="6514"/>
      <c r="BA268" s="6515"/>
      <c r="BB268" s="6516"/>
      <c r="BC268" s="6517"/>
      <c r="BD268" s="6518"/>
      <c r="BE268" s="6519"/>
      <c r="BF268" s="6520"/>
      <c r="BG268" s="6521"/>
      <c r="BH268" s="6522"/>
      <c r="BI268" s="6523"/>
      <c r="BJ268" s="6524"/>
      <c r="BK268" s="6525"/>
      <c r="BL268" s="6526"/>
      <c r="BM268" s="6527"/>
      <c r="BN268" s="6528"/>
      <c r="BO268" s="6529"/>
      <c r="BP268" s="6530"/>
      <c r="BQ268" s="6531"/>
      <c r="BR268" s="6532"/>
      <c r="BS268" s="6533"/>
      <c r="BT268" s="6534"/>
      <c r="BU268" s="6535"/>
      <c r="BV268" s="6536"/>
      <c r="BW268" s="6537"/>
      <c r="BX268" s="6538"/>
      <c r="BY268" s="6539"/>
      <c r="BZ268" s="6540"/>
      <c r="CA268" s="6541"/>
      <c r="CB268" s="6542"/>
      <c r="CC268" s="6543"/>
      <c r="CD268" s="6544"/>
      <c r="CE268" s="6545"/>
      <c r="CF268" s="6546"/>
      <c r="CG268" s="6547"/>
      <c r="CH268" s="6548"/>
      <c r="CI268" s="6549"/>
      <c r="CJ268" s="6550"/>
      <c r="CK268" s="6551"/>
      <c r="CL268" s="6552"/>
      <c r="CM268" s="6553"/>
      <c r="CN268" s="6554"/>
      <c r="CO268" s="6555"/>
      <c r="CP268" s="6556"/>
      <c r="CQ268" s="6557"/>
      <c r="CR268" s="6558"/>
      <c r="CS268" s="6559"/>
      <c r="CT268" s="6560"/>
      <c r="CU268" s="6561"/>
      <c r="CV268" s="1182" t="s">
        <v>660</v>
      </c>
      <c r="CW268" s="1562"/>
      <c r="CX268" s="1544"/>
      <c r="CY268" s="1544" t="str">
        <f t="shared" si="4"/>
        <v>Добавить значение признака дифференциации</v>
      </c>
      <c r="CZ268" s="1544"/>
      <c r="DA268" s="1544"/>
    </row>
    <row r="269" spans="1:105" s="1827" customFormat="1" ht="23.25" customHeight="1">
      <c r="A269" s="1284"/>
      <c r="B269" s="1284"/>
      <c r="C269" s="1284"/>
      <c r="D269" s="1284"/>
      <c r="E269" s="7690"/>
      <c r="F269" s="7690"/>
      <c r="G269" s="7690"/>
      <c r="H269" s="7690"/>
      <c r="I269" s="7710"/>
      <c r="J269" s="7687" t="str">
        <f>I264&amp;".2"</f>
        <v>15.1.1.1.2</v>
      </c>
      <c r="K269" s="1284"/>
      <c r="L269" s="1290" t="s">
        <v>582</v>
      </c>
      <c r="M269" s="1696"/>
      <c r="N269" s="1696"/>
      <c r="O269" s="1696"/>
      <c r="P269" s="7688"/>
      <c r="Q269" s="7754" t="s">
        <v>101</v>
      </c>
      <c r="R269" s="278"/>
      <c r="S269" s="1813" t="str">
        <f>$J269</f>
        <v>15.1.1.1.2</v>
      </c>
      <c r="T269" s="201" t="s">
        <v>583</v>
      </c>
      <c r="U269" s="214"/>
      <c r="V269" s="7678"/>
      <c r="W269" s="7679"/>
      <c r="X269" s="7679"/>
      <c r="Y269" s="7679"/>
      <c r="Z269" s="7679"/>
      <c r="AA269" s="7679"/>
      <c r="AB269" s="7680"/>
      <c r="AC269" s="7678" t="s">
        <v>669</v>
      </c>
      <c r="AD269" s="7679"/>
      <c r="AE269" s="7679"/>
      <c r="AF269" s="7679"/>
      <c r="AG269" s="7679"/>
      <c r="AH269" s="7679"/>
      <c r="AI269" s="7679"/>
      <c r="AJ269" s="7678"/>
      <c r="AK269" s="7679"/>
      <c r="AL269" s="7679"/>
      <c r="AM269" s="7679"/>
      <c r="AN269" s="7679"/>
      <c r="AO269" s="7679"/>
      <c r="AP269" s="7680"/>
      <c r="AQ269" s="7678"/>
      <c r="AR269" s="7679"/>
      <c r="AS269" s="7679"/>
      <c r="AT269" s="7679"/>
      <c r="AU269" s="7679"/>
      <c r="AV269" s="7679"/>
      <c r="AW269" s="7680"/>
      <c r="AX269" s="7678"/>
      <c r="AY269" s="7679"/>
      <c r="AZ269" s="7679"/>
      <c r="BA269" s="7679"/>
      <c r="BB269" s="7679"/>
      <c r="BC269" s="7679"/>
      <c r="BD269" s="7680"/>
      <c r="BE269" s="7678"/>
      <c r="BF269" s="7679"/>
      <c r="BG269" s="7679"/>
      <c r="BH269" s="7679"/>
      <c r="BI269" s="7679"/>
      <c r="BJ269" s="7679"/>
      <c r="BK269" s="7680"/>
      <c r="BL269" s="7678"/>
      <c r="BM269" s="7679"/>
      <c r="BN269" s="7679"/>
      <c r="BO269" s="7679"/>
      <c r="BP269" s="7679"/>
      <c r="BQ269" s="7679"/>
      <c r="BR269" s="7680"/>
      <c r="BS269" s="7678"/>
      <c r="BT269" s="7679"/>
      <c r="BU269" s="7679"/>
      <c r="BV269" s="7679"/>
      <c r="BW269" s="7679"/>
      <c r="BX269" s="7679"/>
      <c r="BY269" s="7680"/>
      <c r="BZ269" s="7678"/>
      <c r="CA269" s="7679"/>
      <c r="CB269" s="7679"/>
      <c r="CC269" s="7679"/>
      <c r="CD269" s="7679"/>
      <c r="CE269" s="7679"/>
      <c r="CF269" s="7680"/>
      <c r="CG269" s="7678"/>
      <c r="CH269" s="7679"/>
      <c r="CI269" s="7679"/>
      <c r="CJ269" s="7679"/>
      <c r="CK269" s="7679"/>
      <c r="CL269" s="7679"/>
      <c r="CM269" s="7680"/>
      <c r="CN269" s="7678"/>
      <c r="CO269" s="7679"/>
      <c r="CP269" s="7679"/>
      <c r="CQ269" s="7679"/>
      <c r="CR269" s="7679"/>
      <c r="CS269" s="7679"/>
      <c r="CT269" s="7680"/>
      <c r="CU269" s="7680"/>
      <c r="CV269" s="1231" t="s">
        <v>658</v>
      </c>
      <c r="CW269" s="1562"/>
      <c r="CX269" s="1544"/>
      <c r="CY269" s="1544" t="str">
        <f t="shared" si="4"/>
        <v>Группа потребителей</v>
      </c>
      <c r="CZ269" s="1544"/>
      <c r="DA269" s="1544"/>
    </row>
    <row r="270" spans="1:105" s="1827" customFormat="1" ht="23.25" customHeight="1">
      <c r="A270" s="1284"/>
      <c r="B270" s="1284"/>
      <c r="C270" s="1284"/>
      <c r="D270" s="1284"/>
      <c r="E270" s="7690"/>
      <c r="F270" s="7690"/>
      <c r="G270" s="7690"/>
      <c r="H270" s="7690"/>
      <c r="I270" s="7710"/>
      <c r="J270" s="7710" t="str">
        <f>I264&amp;".1"</f>
        <v>15.1.1.1.1</v>
      </c>
      <c r="K270" s="7687" t="str">
        <f>J269&amp;".1"</f>
        <v>15.1.1.1.2.1</v>
      </c>
      <c r="L270" s="1290"/>
      <c r="M270" s="1696"/>
      <c r="N270" s="1696"/>
      <c r="O270" s="1696"/>
      <c r="P270" s="7688"/>
      <c r="Q270" s="7688"/>
      <c r="R270" s="278">
        <v>1</v>
      </c>
      <c r="S270" s="1813" t="str">
        <f>$K270</f>
        <v>15.1.1.1.2.1</v>
      </c>
      <c r="T270" s="1357" t="s">
        <v>670</v>
      </c>
      <c r="U270" s="214"/>
      <c r="V270" s="666"/>
      <c r="W270" s="666"/>
      <c r="X270" s="1181"/>
      <c r="Y270" s="7692"/>
      <c r="Z270" s="7540" t="s">
        <v>60</v>
      </c>
      <c r="AA270" s="7692"/>
      <c r="AB270" s="7540" t="s">
        <v>60</v>
      </c>
      <c r="AC270" s="666">
        <v>61.08</v>
      </c>
      <c r="AD270" s="666"/>
      <c r="AE270" s="1181"/>
      <c r="AF270" s="7692">
        <v>45292</v>
      </c>
      <c r="AG270" s="7540" t="s">
        <v>60</v>
      </c>
      <c r="AH270" s="7711">
        <v>45473</v>
      </c>
      <c r="AI270" s="7540" t="s">
        <v>60</v>
      </c>
      <c r="AJ270" s="666">
        <v>84.09</v>
      </c>
      <c r="AK270" s="666"/>
      <c r="AL270" s="1181"/>
      <c r="AM270" s="7692">
        <v>45474</v>
      </c>
      <c r="AN270" s="7540" t="s">
        <v>60</v>
      </c>
      <c r="AO270" s="7692">
        <v>45657</v>
      </c>
      <c r="AP270" s="7540" t="s">
        <v>60</v>
      </c>
      <c r="AQ270" s="666">
        <v>77.19</v>
      </c>
      <c r="AR270" s="666"/>
      <c r="AS270" s="1181"/>
      <c r="AT270" s="7692">
        <v>45658</v>
      </c>
      <c r="AU270" s="7540" t="s">
        <v>60</v>
      </c>
      <c r="AV270" s="7692">
        <v>45838</v>
      </c>
      <c r="AW270" s="7540" t="s">
        <v>60</v>
      </c>
      <c r="AX270" s="666">
        <v>77.19</v>
      </c>
      <c r="AY270" s="666"/>
      <c r="AZ270" s="1181"/>
      <c r="BA270" s="7692">
        <v>45839</v>
      </c>
      <c r="BB270" s="7540" t="s">
        <v>60</v>
      </c>
      <c r="BC270" s="7692">
        <v>46022</v>
      </c>
      <c r="BD270" s="7540" t="s">
        <v>60</v>
      </c>
      <c r="BE270" s="666">
        <v>77.19</v>
      </c>
      <c r="BF270" s="666"/>
      <c r="BG270" s="1181"/>
      <c r="BH270" s="7692">
        <v>46023</v>
      </c>
      <c r="BI270" s="7540" t="s">
        <v>60</v>
      </c>
      <c r="BJ270" s="7692">
        <v>46203</v>
      </c>
      <c r="BK270" s="7540" t="s">
        <v>60</v>
      </c>
      <c r="BL270" s="666">
        <v>77.97</v>
      </c>
      <c r="BM270" s="666"/>
      <c r="BN270" s="1181"/>
      <c r="BO270" s="7692">
        <v>46204</v>
      </c>
      <c r="BP270" s="7540" t="s">
        <v>60</v>
      </c>
      <c r="BQ270" s="7692">
        <v>46387</v>
      </c>
      <c r="BR270" s="7540" t="s">
        <v>60</v>
      </c>
      <c r="BS270" s="666">
        <v>77.97</v>
      </c>
      <c r="BT270" s="666"/>
      <c r="BU270" s="1181"/>
      <c r="BV270" s="7692">
        <v>46388</v>
      </c>
      <c r="BW270" s="7540" t="s">
        <v>60</v>
      </c>
      <c r="BX270" s="7692">
        <v>46568</v>
      </c>
      <c r="BY270" s="7540" t="s">
        <v>60</v>
      </c>
      <c r="BZ270" s="666">
        <v>82.24</v>
      </c>
      <c r="CA270" s="666"/>
      <c r="CB270" s="1181"/>
      <c r="CC270" s="7692">
        <v>46569</v>
      </c>
      <c r="CD270" s="7540" t="s">
        <v>60</v>
      </c>
      <c r="CE270" s="7692">
        <v>46752</v>
      </c>
      <c r="CF270" s="7540" t="s">
        <v>60</v>
      </c>
      <c r="CG270" s="666">
        <v>82.24</v>
      </c>
      <c r="CH270" s="666"/>
      <c r="CI270" s="1181"/>
      <c r="CJ270" s="7692">
        <v>46753</v>
      </c>
      <c r="CK270" s="7540" t="s">
        <v>60</v>
      </c>
      <c r="CL270" s="7692">
        <v>46934</v>
      </c>
      <c r="CM270" s="7540" t="s">
        <v>60</v>
      </c>
      <c r="CN270" s="666">
        <v>84.74</v>
      </c>
      <c r="CO270" s="666"/>
      <c r="CP270" s="1181"/>
      <c r="CQ270" s="7692">
        <v>46935</v>
      </c>
      <c r="CR270" s="7540" t="s">
        <v>60</v>
      </c>
      <c r="CS270" s="7692">
        <v>47118</v>
      </c>
      <c r="CT270" s="7540" t="s">
        <v>60</v>
      </c>
      <c r="CU270" s="1358"/>
      <c r="CV270"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70" s="1562" t="e">
        <f ca="1">STRCHECKDATE(V271:CU271)</f>
        <v>#NAME?</v>
      </c>
      <c r="CX270" s="1544"/>
      <c r="CY270" s="1544" t="str">
        <f t="shared" si="4"/>
        <v>Тариф, руб. за 1 куб. метр без НДС</v>
      </c>
      <c r="CZ270" s="1544"/>
      <c r="DA270" s="1544"/>
    </row>
    <row r="271" spans="1:105" s="1827" customFormat="1" ht="14.25" customHeight="1">
      <c r="A271" s="1284"/>
      <c r="B271" s="1284"/>
      <c r="C271" s="1284"/>
      <c r="D271" s="1284"/>
      <c r="E271" s="7690"/>
      <c r="F271" s="7690"/>
      <c r="G271" s="7690"/>
      <c r="H271" s="7690"/>
      <c r="I271" s="7710"/>
      <c r="J271" s="7710" t="str">
        <f>I264&amp;".1"</f>
        <v>15.1.1.1.1</v>
      </c>
      <c r="K271" s="7687"/>
      <c r="L271" s="1290"/>
      <c r="M271" s="1696"/>
      <c r="N271" s="1696"/>
      <c r="O271" s="1696"/>
      <c r="P271" s="7688"/>
      <c r="Q271" s="7688"/>
      <c r="R271" s="278"/>
      <c r="S271" s="1822"/>
      <c r="T271" s="214"/>
      <c r="U271" s="214"/>
      <c r="V271" s="246"/>
      <c r="W271" s="246"/>
      <c r="X271" s="250" t="str">
        <f>Y270&amp;"-"&amp;AA270</f>
        <v>-</v>
      </c>
      <c r="Y271" s="7693"/>
      <c r="Z271" s="7540"/>
      <c r="AA271" s="7693"/>
      <c r="AB271" s="7540"/>
      <c r="AC271" s="246"/>
      <c r="AD271" s="246"/>
      <c r="AE271" s="250" t="str">
        <f>AF270&amp;"-"&amp;AH270</f>
        <v>45292-45473</v>
      </c>
      <c r="AF271" s="7693"/>
      <c r="AG271" s="7540"/>
      <c r="AH271" s="7712"/>
      <c r="AI271" s="7540"/>
      <c r="AJ271" s="246"/>
      <c r="AK271" s="246"/>
      <c r="AL271" s="250" t="str">
        <f>AM270&amp;"-"&amp;AO270</f>
        <v>45474-45657</v>
      </c>
      <c r="AM271" s="7693"/>
      <c r="AN271" s="7540"/>
      <c r="AO271" s="7693"/>
      <c r="AP271" s="7540"/>
      <c r="AQ271" s="246"/>
      <c r="AR271" s="246"/>
      <c r="AS271" s="250" t="str">
        <f>AT270&amp;"-"&amp;AV270</f>
        <v>45658-45838</v>
      </c>
      <c r="AT271" s="7693"/>
      <c r="AU271" s="7540"/>
      <c r="AV271" s="7693"/>
      <c r="AW271" s="7540"/>
      <c r="AX271" s="246"/>
      <c r="AY271" s="246"/>
      <c r="AZ271" s="250" t="str">
        <f>BA270&amp;"-"&amp;BC270</f>
        <v>45839-46022</v>
      </c>
      <c r="BA271" s="7693"/>
      <c r="BB271" s="7540"/>
      <c r="BC271" s="7693"/>
      <c r="BD271" s="7540"/>
      <c r="BE271" s="246"/>
      <c r="BF271" s="246"/>
      <c r="BG271" s="250" t="str">
        <f>BH270&amp;"-"&amp;BJ270</f>
        <v>46023-46203</v>
      </c>
      <c r="BH271" s="7693"/>
      <c r="BI271" s="7540"/>
      <c r="BJ271" s="7693"/>
      <c r="BK271" s="7540"/>
      <c r="BL271" s="246"/>
      <c r="BM271" s="246"/>
      <c r="BN271" s="250" t="str">
        <f>BO270&amp;"-"&amp;BQ270</f>
        <v>46204-46387</v>
      </c>
      <c r="BO271" s="7693"/>
      <c r="BP271" s="7540"/>
      <c r="BQ271" s="7693"/>
      <c r="BR271" s="7540"/>
      <c r="BS271" s="246"/>
      <c r="BT271" s="246"/>
      <c r="BU271" s="250" t="str">
        <f>BV270&amp;"-"&amp;BX270</f>
        <v>46388-46568</v>
      </c>
      <c r="BV271" s="7693"/>
      <c r="BW271" s="7540"/>
      <c r="BX271" s="7693"/>
      <c r="BY271" s="7540"/>
      <c r="BZ271" s="246"/>
      <c r="CA271" s="246"/>
      <c r="CB271" s="250" t="str">
        <f>CC270&amp;"-"&amp;CE270</f>
        <v>46569-46752</v>
      </c>
      <c r="CC271" s="7693"/>
      <c r="CD271" s="7540"/>
      <c r="CE271" s="7693"/>
      <c r="CF271" s="7540"/>
      <c r="CG271" s="246"/>
      <c r="CH271" s="246"/>
      <c r="CI271" s="250" t="str">
        <f>CJ270&amp;"-"&amp;CL270</f>
        <v>46753-46934</v>
      </c>
      <c r="CJ271" s="7693"/>
      <c r="CK271" s="7540"/>
      <c r="CL271" s="7693"/>
      <c r="CM271" s="7540"/>
      <c r="CN271" s="246"/>
      <c r="CO271" s="246"/>
      <c r="CP271" s="250" t="str">
        <f>CQ270&amp;"-"&amp;CS270</f>
        <v>46935-47118</v>
      </c>
      <c r="CQ271" s="7693"/>
      <c r="CR271" s="7540"/>
      <c r="CS271" s="7693"/>
      <c r="CT271" s="7540"/>
      <c r="CU271" s="1359"/>
      <c r="CV271" s="7747"/>
      <c r="CW271" s="1562"/>
      <c r="CX271" s="1544"/>
      <c r="CY271" s="1544" t="str">
        <f t="shared" si="4"/>
        <v/>
      </c>
      <c r="CZ271" s="1544"/>
      <c r="DA271" s="1544"/>
    </row>
    <row r="272" spans="1:105" s="1827" customFormat="1" ht="21" customHeight="1">
      <c r="A272" s="1284"/>
      <c r="B272" s="1284"/>
      <c r="C272" s="1284"/>
      <c r="D272" s="1284"/>
      <c r="E272" s="7690"/>
      <c r="F272" s="7690"/>
      <c r="G272" s="7690"/>
      <c r="H272" s="7690"/>
      <c r="I272" s="7710"/>
      <c r="J272" s="7687" t="str">
        <f>I264&amp;".1"</f>
        <v>15.1.1.1.1</v>
      </c>
      <c r="K272" s="1284"/>
      <c r="L272" s="1290"/>
      <c r="M272" s="1696"/>
      <c r="N272" s="1696"/>
      <c r="O272" s="1696"/>
      <c r="P272" s="7688"/>
      <c r="Q272" s="7688"/>
      <c r="R272" s="277"/>
      <c r="S272" s="6562"/>
      <c r="T272" s="6563" t="s">
        <v>659</v>
      </c>
      <c r="U272" s="6564"/>
      <c r="V272" s="6565"/>
      <c r="W272" s="6566"/>
      <c r="X272" s="6567"/>
      <c r="Y272" s="6568"/>
      <c r="Z272" s="6569"/>
      <c r="AA272" s="6570"/>
      <c r="AB272" s="6571"/>
      <c r="AC272" s="6572"/>
      <c r="AD272" s="6573"/>
      <c r="AE272" s="6574"/>
      <c r="AF272" s="6575"/>
      <c r="AG272" s="6576"/>
      <c r="AH272" s="6577"/>
      <c r="AI272" s="6578"/>
      <c r="AJ272" s="6579"/>
      <c r="AK272" s="6580"/>
      <c r="AL272" s="6581"/>
      <c r="AM272" s="6582"/>
      <c r="AN272" s="6583"/>
      <c r="AO272" s="6584"/>
      <c r="AP272" s="6585"/>
      <c r="AQ272" s="6586"/>
      <c r="AR272" s="6587"/>
      <c r="AS272" s="6588"/>
      <c r="AT272" s="6589"/>
      <c r="AU272" s="6590"/>
      <c r="AV272" s="6591"/>
      <c r="AW272" s="6592"/>
      <c r="AX272" s="6593"/>
      <c r="AY272" s="6594"/>
      <c r="AZ272" s="6595"/>
      <c r="BA272" s="6596"/>
      <c r="BB272" s="6597"/>
      <c r="BC272" s="6598"/>
      <c r="BD272" s="6599"/>
      <c r="BE272" s="6600"/>
      <c r="BF272" s="6601"/>
      <c r="BG272" s="6602"/>
      <c r="BH272" s="6603"/>
      <c r="BI272" s="6604"/>
      <c r="BJ272" s="6605"/>
      <c r="BK272" s="6606"/>
      <c r="BL272" s="6607"/>
      <c r="BM272" s="6608"/>
      <c r="BN272" s="6609"/>
      <c r="BO272" s="6610"/>
      <c r="BP272" s="6611"/>
      <c r="BQ272" s="6612"/>
      <c r="BR272" s="6613"/>
      <c r="BS272" s="6614"/>
      <c r="BT272" s="6615"/>
      <c r="BU272" s="6616"/>
      <c r="BV272" s="6617"/>
      <c r="BW272" s="6618"/>
      <c r="BX272" s="6619"/>
      <c r="BY272" s="6620"/>
      <c r="BZ272" s="6621"/>
      <c r="CA272" s="6622"/>
      <c r="CB272" s="6623"/>
      <c r="CC272" s="6624"/>
      <c r="CD272" s="6625"/>
      <c r="CE272" s="6626"/>
      <c r="CF272" s="6627"/>
      <c r="CG272" s="6628"/>
      <c r="CH272" s="6629"/>
      <c r="CI272" s="6630"/>
      <c r="CJ272" s="6631"/>
      <c r="CK272" s="6632"/>
      <c r="CL272" s="6633"/>
      <c r="CM272" s="6634"/>
      <c r="CN272" s="6635"/>
      <c r="CO272" s="6636"/>
      <c r="CP272" s="6637"/>
      <c r="CQ272" s="6638"/>
      <c r="CR272" s="6639"/>
      <c r="CS272" s="6640"/>
      <c r="CT272" s="6641"/>
      <c r="CU272" s="6642"/>
      <c r="CV272" s="1182" t="s">
        <v>660</v>
      </c>
      <c r="CW272" s="1562"/>
      <c r="CX272" s="1544"/>
      <c r="CY272" s="1544" t="str">
        <f t="shared" si="4"/>
        <v>Добавить значение признака дифференциации</v>
      </c>
      <c r="CZ272" s="1544"/>
      <c r="DA272" s="1544"/>
    </row>
    <row r="273" spans="1:105" s="1827" customFormat="1" ht="21" customHeight="1">
      <c r="A273" s="1284"/>
      <c r="B273" s="1284"/>
      <c r="C273" s="1284"/>
      <c r="D273" s="1284"/>
      <c r="E273" s="7690" t="s">
        <v>144</v>
      </c>
      <c r="F273" s="7690"/>
      <c r="G273" s="7690"/>
      <c r="H273" s="7690"/>
      <c r="I273" s="7687"/>
      <c r="J273" s="1284"/>
      <c r="K273" s="1284"/>
      <c r="L273" s="1290"/>
      <c r="M273" s="1696"/>
      <c r="N273" s="1696"/>
      <c r="O273" s="1696"/>
      <c r="P273" s="7688"/>
      <c r="Q273" s="1816"/>
      <c r="R273" s="277"/>
      <c r="S273" s="6643"/>
      <c r="T273" s="6644" t="s">
        <v>588</v>
      </c>
      <c r="U273" s="6645"/>
      <c r="V273" s="6646"/>
      <c r="W273" s="6647"/>
      <c r="X273" s="6648"/>
      <c r="Y273" s="6649"/>
      <c r="Z273" s="6650"/>
      <c r="AA273" s="6651"/>
      <c r="AB273" s="6652"/>
      <c r="AC273" s="6653"/>
      <c r="AD273" s="6654"/>
      <c r="AE273" s="6655"/>
      <c r="AF273" s="6656"/>
      <c r="AG273" s="6657"/>
      <c r="AH273" s="6658"/>
      <c r="AI273" s="6659"/>
      <c r="AJ273" s="6660"/>
      <c r="AK273" s="6661"/>
      <c r="AL273" s="6662"/>
      <c r="AM273" s="6663"/>
      <c r="AN273" s="6664"/>
      <c r="AO273" s="6665"/>
      <c r="AP273" s="6666"/>
      <c r="AQ273" s="6667"/>
      <c r="AR273" s="6668"/>
      <c r="AS273" s="6669"/>
      <c r="AT273" s="6670"/>
      <c r="AU273" s="6671"/>
      <c r="AV273" s="6672"/>
      <c r="AW273" s="6673"/>
      <c r="AX273" s="6674"/>
      <c r="AY273" s="6675"/>
      <c r="AZ273" s="6676"/>
      <c r="BA273" s="6677"/>
      <c r="BB273" s="6678"/>
      <c r="BC273" s="6679"/>
      <c r="BD273" s="6680"/>
      <c r="BE273" s="6681"/>
      <c r="BF273" s="6682"/>
      <c r="BG273" s="6683"/>
      <c r="BH273" s="6684"/>
      <c r="BI273" s="6685"/>
      <c r="BJ273" s="6686"/>
      <c r="BK273" s="6687"/>
      <c r="BL273" s="6688"/>
      <c r="BM273" s="6689"/>
      <c r="BN273" s="6690"/>
      <c r="BO273" s="6691"/>
      <c r="BP273" s="6692"/>
      <c r="BQ273" s="6693"/>
      <c r="BR273" s="6694"/>
      <c r="BS273" s="6695"/>
      <c r="BT273" s="6696"/>
      <c r="BU273" s="6697"/>
      <c r="BV273" s="6698"/>
      <c r="BW273" s="6699"/>
      <c r="BX273" s="6700"/>
      <c r="BY273" s="6701"/>
      <c r="BZ273" s="6702"/>
      <c r="CA273" s="6703"/>
      <c r="CB273" s="6704"/>
      <c r="CC273" s="6705"/>
      <c r="CD273" s="6706"/>
      <c r="CE273" s="6707"/>
      <c r="CF273" s="6708"/>
      <c r="CG273" s="6709"/>
      <c r="CH273" s="6710"/>
      <c r="CI273" s="6711"/>
      <c r="CJ273" s="6712"/>
      <c r="CK273" s="6713"/>
      <c r="CL273" s="6714"/>
      <c r="CM273" s="6715"/>
      <c r="CN273" s="6716"/>
      <c r="CO273" s="6717"/>
      <c r="CP273" s="6718"/>
      <c r="CQ273" s="6719"/>
      <c r="CR273" s="6720"/>
      <c r="CS273" s="6721"/>
      <c r="CT273" s="6722"/>
      <c r="CU273" s="6723"/>
      <c r="CV273" s="6724"/>
      <c r="CW273" s="1562"/>
      <c r="CX273" s="1544"/>
      <c r="CY273" s="1544" t="str">
        <f t="shared" si="4"/>
        <v>Добавить группу потребителей</v>
      </c>
      <c r="CZ273" s="1544"/>
      <c r="DA273" s="1544"/>
    </row>
    <row r="274" spans="1:105" s="1827" customFormat="1" ht="14.25" customHeight="1">
      <c r="A274" s="1284"/>
      <c r="B274" s="1284"/>
      <c r="C274" s="1284"/>
      <c r="D274" s="1284"/>
      <c r="E274" s="7690" t="s">
        <v>144</v>
      </c>
      <c r="F274" s="7690"/>
      <c r="G274" s="7690"/>
      <c r="H274" s="7689"/>
      <c r="I274" s="1284"/>
      <c r="J274" s="1284"/>
      <c r="K274" s="1284"/>
      <c r="L274" s="1290"/>
      <c r="M274" s="1286"/>
      <c r="N274" s="1286"/>
      <c r="O274" s="1287"/>
      <c r="P274" s="1742"/>
      <c r="Q274" s="299"/>
      <c r="R274" s="276"/>
      <c r="S274" s="6725"/>
      <c r="T274" s="6726" t="s">
        <v>661</v>
      </c>
      <c r="U274" s="6727"/>
      <c r="V274" s="6728"/>
      <c r="W274" s="6729"/>
      <c r="X274" s="6730"/>
      <c r="Y274" s="6731"/>
      <c r="Z274" s="6732"/>
      <c r="AA274" s="6733"/>
      <c r="AB274" s="6734"/>
      <c r="AC274" s="6735"/>
      <c r="AD274" s="6736"/>
      <c r="AE274" s="6737"/>
      <c r="AF274" s="6738"/>
      <c r="AG274" s="6739"/>
      <c r="AH274" s="6740"/>
      <c r="AI274" s="6741"/>
      <c r="AJ274" s="6742"/>
      <c r="AK274" s="6743"/>
      <c r="AL274" s="6744"/>
      <c r="AM274" s="6745"/>
      <c r="AN274" s="6746"/>
      <c r="AO274" s="6747"/>
      <c r="AP274" s="6748"/>
      <c r="AQ274" s="6749"/>
      <c r="AR274" s="6750"/>
      <c r="AS274" s="6751"/>
      <c r="AT274" s="6752"/>
      <c r="AU274" s="6753"/>
      <c r="AV274" s="6754"/>
      <c r="AW274" s="6755"/>
      <c r="AX274" s="6756"/>
      <c r="AY274" s="6757"/>
      <c r="AZ274" s="6758"/>
      <c r="BA274" s="6759"/>
      <c r="BB274" s="6760"/>
      <c r="BC274" s="6761"/>
      <c r="BD274" s="6762"/>
      <c r="BE274" s="6763"/>
      <c r="BF274" s="6764"/>
      <c r="BG274" s="6765"/>
      <c r="BH274" s="6766"/>
      <c r="BI274" s="6767"/>
      <c r="BJ274" s="6768"/>
      <c r="BK274" s="6769"/>
      <c r="BL274" s="6770"/>
      <c r="BM274" s="6771"/>
      <c r="BN274" s="6772"/>
      <c r="BO274" s="6773"/>
      <c r="BP274" s="6774"/>
      <c r="BQ274" s="6775"/>
      <c r="BR274" s="6776"/>
      <c r="BS274" s="6777"/>
      <c r="BT274" s="6778"/>
      <c r="BU274" s="6779"/>
      <c r="BV274" s="6780"/>
      <c r="BW274" s="6781"/>
      <c r="BX274" s="6782"/>
      <c r="BY274" s="6783"/>
      <c r="BZ274" s="6784"/>
      <c r="CA274" s="6785"/>
      <c r="CB274" s="6786"/>
      <c r="CC274" s="6787"/>
      <c r="CD274" s="6788"/>
      <c r="CE274" s="6789"/>
      <c r="CF274" s="6790"/>
      <c r="CG274" s="6791"/>
      <c r="CH274" s="6792"/>
      <c r="CI274" s="6793"/>
      <c r="CJ274" s="6794"/>
      <c r="CK274" s="6795"/>
      <c r="CL274" s="6796"/>
      <c r="CM274" s="6797"/>
      <c r="CN274" s="6798"/>
      <c r="CO274" s="6799"/>
      <c r="CP274" s="6800"/>
      <c r="CQ274" s="6801"/>
      <c r="CR274" s="6802"/>
      <c r="CS274" s="6803"/>
      <c r="CT274" s="6804"/>
      <c r="CU274" s="6805"/>
      <c r="CV274" s="6806"/>
      <c r="CW274" s="1562"/>
      <c r="CX274" s="1544"/>
      <c r="CY274" s="1544" t="str">
        <f t="shared" si="4"/>
        <v>Добавить наименование признака дифференциации</v>
      </c>
      <c r="CZ274" s="1544"/>
      <c r="DA274" s="1544"/>
    </row>
    <row r="275" spans="1:105" s="541" customFormat="1" ht="14.25" customHeight="1">
      <c r="A275" s="1265"/>
      <c r="B275" s="1265"/>
      <c r="C275" s="1265"/>
      <c r="D275" s="1265"/>
      <c r="E275" s="7690" t="s">
        <v>144</v>
      </c>
      <c r="F275" s="7689"/>
      <c r="G275" s="1265"/>
      <c r="H275" s="1265"/>
      <c r="I275" s="1265"/>
      <c r="J275" s="1265"/>
      <c r="K275" s="1265"/>
      <c r="L275" s="1466"/>
      <c r="M275" s="1244"/>
      <c r="N275" s="1244"/>
      <c r="O275" s="1562"/>
      <c r="P275" s="1239"/>
      <c r="Q275" s="1266"/>
      <c r="R275" s="1239"/>
      <c r="S275" s="1245"/>
      <c r="T275" s="1248" t="s">
        <v>325</v>
      </c>
      <c r="U275" s="1247"/>
      <c r="V275" s="1247"/>
      <c r="W275" s="1247"/>
      <c r="X275" s="1247"/>
      <c r="Y275" s="1247"/>
      <c r="Z275" s="1247"/>
      <c r="AA275" s="1247"/>
      <c r="AB275" s="1247"/>
      <c r="AC275" s="1247"/>
      <c r="AD275" s="1247"/>
      <c r="AE275" s="1247"/>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c r="AY275" s="1247"/>
      <c r="AZ275" s="1247"/>
      <c r="BA275" s="1247"/>
      <c r="BB275" s="1247"/>
      <c r="BC275" s="1247"/>
      <c r="BD275" s="1247"/>
      <c r="BE275" s="1247"/>
      <c r="BF275" s="1247"/>
      <c r="BG275" s="1247"/>
      <c r="BH275" s="1247"/>
      <c r="BI275" s="1247"/>
      <c r="BJ275" s="1247"/>
      <c r="BK275" s="1247"/>
      <c r="BL275" s="1247"/>
      <c r="BM275" s="1247"/>
      <c r="BN275" s="1247"/>
      <c r="BO275" s="1247"/>
      <c r="BP275" s="1247"/>
      <c r="BQ275" s="1247"/>
      <c r="BR275" s="1247"/>
      <c r="BS275" s="1247"/>
      <c r="BT275" s="1247"/>
      <c r="BU275" s="1247"/>
      <c r="BV275" s="1247"/>
      <c r="BW275" s="1247"/>
      <c r="BX275" s="1247"/>
      <c r="BY275" s="1247"/>
      <c r="BZ275" s="1247"/>
      <c r="CA275" s="1247"/>
      <c r="CB275" s="1247"/>
      <c r="CC275" s="1247"/>
      <c r="CD275" s="1247"/>
      <c r="CE275" s="1247"/>
      <c r="CF275" s="1247"/>
      <c r="CG275" s="1247"/>
      <c r="CH275" s="1247"/>
      <c r="CI275" s="1247"/>
      <c r="CJ275" s="1247"/>
      <c r="CK275" s="1247"/>
      <c r="CL275" s="1247"/>
      <c r="CM275" s="1247"/>
      <c r="CN275" s="1247"/>
      <c r="CO275" s="1247"/>
      <c r="CP275" s="1247"/>
      <c r="CQ275" s="1247"/>
      <c r="CR275" s="1247"/>
      <c r="CS275" s="1247"/>
      <c r="CT275" s="1247"/>
      <c r="CU275" s="1247"/>
      <c r="CV275" s="1247"/>
      <c r="CW275" s="1562"/>
      <c r="CX275" s="1544"/>
      <c r="CY275" s="1544" t="str">
        <f t="shared" si="4"/>
        <v>Добавить централизованную систему для дифференциации</v>
      </c>
      <c r="CZ275" s="1544"/>
      <c r="DA275" s="1544"/>
    </row>
    <row r="276" spans="1:105" s="541" customFormat="1" ht="14.25" customHeight="1">
      <c r="A276" s="1265"/>
      <c r="B276" s="1265"/>
      <c r="C276" s="1265"/>
      <c r="D276" s="1265"/>
      <c r="E276" s="7689" t="s">
        <v>144</v>
      </c>
      <c r="F276" s="1265"/>
      <c r="G276" s="1265"/>
      <c r="H276" s="1265"/>
      <c r="I276" s="1265"/>
      <c r="J276" s="1265"/>
      <c r="K276" s="1265"/>
      <c r="L276" s="1466"/>
      <c r="M276" s="1244"/>
      <c r="N276" s="1244"/>
      <c r="O276" s="1562"/>
      <c r="P276" s="1239"/>
      <c r="Q276" s="1266"/>
      <c r="R276" s="1239"/>
      <c r="S276" s="1245"/>
      <c r="T276" s="1248" t="s">
        <v>326</v>
      </c>
      <c r="U276" s="1247"/>
      <c r="V276" s="1247"/>
      <c r="W276" s="1247"/>
      <c r="X276" s="1247"/>
      <c r="Y276" s="1247"/>
      <c r="Z276" s="1247"/>
      <c r="AA276" s="1247"/>
      <c r="AB276" s="1247"/>
      <c r="AC276" s="1247"/>
      <c r="AD276" s="1247"/>
      <c r="AE276" s="1247"/>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c r="AY276" s="1247"/>
      <c r="AZ276" s="1247"/>
      <c r="BA276" s="1247"/>
      <c r="BB276" s="1247"/>
      <c r="BC276" s="1247"/>
      <c r="BD276" s="1247"/>
      <c r="BE276" s="1247"/>
      <c r="BF276" s="1247"/>
      <c r="BG276" s="1247"/>
      <c r="BH276" s="1247"/>
      <c r="BI276" s="1247"/>
      <c r="BJ276" s="1247"/>
      <c r="BK276" s="1247"/>
      <c r="BL276" s="1247"/>
      <c r="BM276" s="1247"/>
      <c r="BN276" s="1247"/>
      <c r="BO276" s="1247"/>
      <c r="BP276" s="1247"/>
      <c r="BQ276" s="1247"/>
      <c r="BR276" s="1247"/>
      <c r="BS276" s="1247"/>
      <c r="BT276" s="1247"/>
      <c r="BU276" s="1247"/>
      <c r="BV276" s="1247"/>
      <c r="BW276" s="1247"/>
      <c r="BX276" s="1247"/>
      <c r="BY276" s="1247"/>
      <c r="BZ276" s="1247"/>
      <c r="CA276" s="1247"/>
      <c r="CB276" s="1247"/>
      <c r="CC276" s="1247"/>
      <c r="CD276" s="1247"/>
      <c r="CE276" s="1247"/>
      <c r="CF276" s="1247"/>
      <c r="CG276" s="1247"/>
      <c r="CH276" s="1247"/>
      <c r="CI276" s="1247"/>
      <c r="CJ276" s="1247"/>
      <c r="CK276" s="1247"/>
      <c r="CL276" s="1247"/>
      <c r="CM276" s="1247"/>
      <c r="CN276" s="1247"/>
      <c r="CO276" s="1247"/>
      <c r="CP276" s="1247"/>
      <c r="CQ276" s="1247"/>
      <c r="CR276" s="1247"/>
      <c r="CS276" s="1247"/>
      <c r="CT276" s="1247"/>
      <c r="CU276" s="1247"/>
      <c r="CV276" s="1247"/>
      <c r="CW276" s="1562"/>
      <c r="CX276" s="1544"/>
      <c r="CY276" s="1544" t="str">
        <f t="shared" si="4"/>
        <v>Добавить территорию для дифференциации</v>
      </c>
      <c r="CZ276" s="1544"/>
      <c r="DA276" s="1544"/>
    </row>
    <row r="277" spans="1:105" s="1827" customFormat="1" ht="23.25" customHeight="1">
      <c r="A277" s="1284" t="s">
        <v>398</v>
      </c>
      <c r="B277" s="1284"/>
      <c r="C277" s="1284"/>
      <c r="D277" s="1284"/>
      <c r="E277" s="7689" t="s">
        <v>152</v>
      </c>
      <c r="F277" s="1284"/>
      <c r="G277" s="1284"/>
      <c r="H277" s="1284"/>
      <c r="I277" s="1284"/>
      <c r="J277" s="1284"/>
      <c r="K277" s="1284"/>
      <c r="L277" s="1290"/>
      <c r="M277" s="1286"/>
      <c r="N277" s="1286"/>
      <c r="O277" s="1286"/>
      <c r="P277" s="1817"/>
      <c r="Q277" s="1742"/>
      <c r="R277" s="276"/>
      <c r="S277" s="1813" t="str">
        <f>INDEX(PT_DIFFERENTIATION_NUM_NTAR,MATCH(A277,PT_DIFFERENTIATION_NTAR_ID,0))</f>
        <v>16</v>
      </c>
      <c r="T277" s="1440" t="s">
        <v>237</v>
      </c>
      <c r="U277" s="214"/>
      <c r="V277" s="7675"/>
      <c r="W277" s="7676"/>
      <c r="X277" s="7676"/>
      <c r="Y277" s="7676"/>
      <c r="Z277" s="7676"/>
      <c r="AA277" s="7676"/>
      <c r="AB277" s="7677"/>
      <c r="AC277" s="7675" t="str">
        <f>INDEX(PT_DIFFERENTIATION_NTAR,MATCH(A277,PT_DIFFERENTIATION_NTAR_ID,0))</f>
        <v>Тарифы на питьевую воду для потребителей, присоединенных к централизованным системам водоснабжения "водозабор Юца", "станция Расшеватка", города Светлограда Петровского муниципального округа, города Георгиевска и села Краснокумского Георгиевского муниципального округа, ранее эксплуатируемым ОАО "РЖД"</v>
      </c>
      <c r="AD277" s="7676"/>
      <c r="AE277" s="7676"/>
      <c r="AF277" s="7676"/>
      <c r="AG277" s="7676"/>
      <c r="AH277" s="7676"/>
      <c r="AI277" s="7676"/>
      <c r="AJ277" s="7675"/>
      <c r="AK277" s="7676"/>
      <c r="AL277" s="7676"/>
      <c r="AM277" s="7676"/>
      <c r="AN277" s="7676"/>
      <c r="AO277" s="7676"/>
      <c r="AP277" s="7677"/>
      <c r="AQ277" s="7675"/>
      <c r="AR277" s="7676"/>
      <c r="AS277" s="7676"/>
      <c r="AT277" s="7676"/>
      <c r="AU277" s="7676"/>
      <c r="AV277" s="7676"/>
      <c r="AW277" s="7677"/>
      <c r="AX277" s="7675"/>
      <c r="AY277" s="7676"/>
      <c r="AZ277" s="7676"/>
      <c r="BA277" s="7676"/>
      <c r="BB277" s="7676"/>
      <c r="BC277" s="7676"/>
      <c r="BD277" s="7677"/>
      <c r="BE277" s="7675"/>
      <c r="BF277" s="7676"/>
      <c r="BG277" s="7676"/>
      <c r="BH277" s="7676"/>
      <c r="BI277" s="7676"/>
      <c r="BJ277" s="7676"/>
      <c r="BK277" s="7677"/>
      <c r="BL277" s="7675"/>
      <c r="BM277" s="7676"/>
      <c r="BN277" s="7676"/>
      <c r="BO277" s="7676"/>
      <c r="BP277" s="7676"/>
      <c r="BQ277" s="7676"/>
      <c r="BR277" s="7677"/>
      <c r="BS277" s="7675"/>
      <c r="BT277" s="7676"/>
      <c r="BU277" s="7676"/>
      <c r="BV277" s="7676"/>
      <c r="BW277" s="7676"/>
      <c r="BX277" s="7676"/>
      <c r="BY277" s="7677"/>
      <c r="BZ277" s="7675"/>
      <c r="CA277" s="7676"/>
      <c r="CB277" s="7676"/>
      <c r="CC277" s="7676"/>
      <c r="CD277" s="7676"/>
      <c r="CE277" s="7676"/>
      <c r="CF277" s="7677"/>
      <c r="CG277" s="7675"/>
      <c r="CH277" s="7676"/>
      <c r="CI277" s="7676"/>
      <c r="CJ277" s="7676"/>
      <c r="CK277" s="7676"/>
      <c r="CL277" s="7676"/>
      <c r="CM277" s="7677"/>
      <c r="CN277" s="7675"/>
      <c r="CO277" s="7676"/>
      <c r="CP277" s="7676"/>
      <c r="CQ277" s="7676"/>
      <c r="CR277" s="7676"/>
      <c r="CS277" s="7676"/>
      <c r="CT277" s="7677"/>
      <c r="CU277" s="7677"/>
      <c r="CV277"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W277" s="1562"/>
      <c r="CX277" s="1544"/>
      <c r="CY277" s="1544" t="str">
        <f t="shared" si="4"/>
        <v>Наименование тарифа</v>
      </c>
      <c r="CZ277" s="1544"/>
      <c r="DA277" s="1544"/>
    </row>
    <row r="278" spans="1:105" s="1827" customFormat="1" ht="23.25" customHeight="1">
      <c r="A278" s="1284"/>
      <c r="B278" s="1284" t="s">
        <v>399</v>
      </c>
      <c r="C278" s="1284"/>
      <c r="D278" s="1284"/>
      <c r="E278" s="7690" t="s">
        <v>148</v>
      </c>
      <c r="F278" s="7689">
        <v>1</v>
      </c>
      <c r="G278" s="1284"/>
      <c r="H278" s="1284"/>
      <c r="I278" s="1284"/>
      <c r="J278" s="1284"/>
      <c r="K278" s="1284"/>
      <c r="L278" s="1290"/>
      <c r="M278" s="1286"/>
      <c r="N278" s="1286"/>
      <c r="O278" s="1286"/>
      <c r="P278" s="1807"/>
      <c r="Q278" s="273"/>
      <c r="R278" s="274"/>
      <c r="S278" s="1813" t="str">
        <f>INDEX(PT_DIFFERENTIATION_NUM_TER,MATCH(B278,PT_DIFFERENTIATION_TER_ID,0))</f>
        <v>16.1</v>
      </c>
      <c r="T278" s="1437" t="s">
        <v>573</v>
      </c>
      <c r="U278" s="214"/>
      <c r="V278" s="7675"/>
      <c r="W278" s="7676"/>
      <c r="X278" s="7676"/>
      <c r="Y278" s="7676"/>
      <c r="Z278" s="7676"/>
      <c r="AA278" s="7676"/>
      <c r="AB278" s="7677"/>
      <c r="AC278" s="7675" t="str">
        <f>INDEX(PT_DIFFERENTIATION_TER,MATCH(B278,PT_DIFFERENTIATION_TER_ID,0))</f>
        <v>Территория 8</v>
      </c>
      <c r="AD278" s="7676"/>
      <c r="AE278" s="7676"/>
      <c r="AF278" s="7676"/>
      <c r="AG278" s="7676"/>
      <c r="AH278" s="7676"/>
      <c r="AI278" s="7676"/>
      <c r="AJ278" s="7675"/>
      <c r="AK278" s="7676"/>
      <c r="AL278" s="7676"/>
      <c r="AM278" s="7676"/>
      <c r="AN278" s="7676"/>
      <c r="AO278" s="7676"/>
      <c r="AP278" s="7677"/>
      <c r="AQ278" s="7675"/>
      <c r="AR278" s="7676"/>
      <c r="AS278" s="7676"/>
      <c r="AT278" s="7676"/>
      <c r="AU278" s="7676"/>
      <c r="AV278" s="7676"/>
      <c r="AW278" s="7677"/>
      <c r="AX278" s="7675"/>
      <c r="AY278" s="7676"/>
      <c r="AZ278" s="7676"/>
      <c r="BA278" s="7676"/>
      <c r="BB278" s="7676"/>
      <c r="BC278" s="7676"/>
      <c r="BD278" s="7677"/>
      <c r="BE278" s="7675"/>
      <c r="BF278" s="7676"/>
      <c r="BG278" s="7676"/>
      <c r="BH278" s="7676"/>
      <c r="BI278" s="7676"/>
      <c r="BJ278" s="7676"/>
      <c r="BK278" s="7677"/>
      <c r="BL278" s="7675"/>
      <c r="BM278" s="7676"/>
      <c r="BN278" s="7676"/>
      <c r="BO278" s="7676"/>
      <c r="BP278" s="7676"/>
      <c r="BQ278" s="7676"/>
      <c r="BR278" s="7677"/>
      <c r="BS278" s="7675"/>
      <c r="BT278" s="7676"/>
      <c r="BU278" s="7676"/>
      <c r="BV278" s="7676"/>
      <c r="BW278" s="7676"/>
      <c r="BX278" s="7676"/>
      <c r="BY278" s="7677"/>
      <c r="BZ278" s="7675"/>
      <c r="CA278" s="7676"/>
      <c r="CB278" s="7676"/>
      <c r="CC278" s="7676"/>
      <c r="CD278" s="7676"/>
      <c r="CE278" s="7676"/>
      <c r="CF278" s="7677"/>
      <c r="CG278" s="7675"/>
      <c r="CH278" s="7676"/>
      <c r="CI278" s="7676"/>
      <c r="CJ278" s="7676"/>
      <c r="CK278" s="7676"/>
      <c r="CL278" s="7676"/>
      <c r="CM278" s="7677"/>
      <c r="CN278" s="7675"/>
      <c r="CO278" s="7676"/>
      <c r="CP278" s="7676"/>
      <c r="CQ278" s="7676"/>
      <c r="CR278" s="7676"/>
      <c r="CS278" s="7676"/>
      <c r="CT278" s="7677"/>
      <c r="CU278" s="7677"/>
      <c r="CV278" s="1182" t="s">
        <v>574</v>
      </c>
      <c r="CW278" s="1562"/>
      <c r="CX278" s="1544"/>
      <c r="CY278" s="1544" t="str">
        <f t="shared" si="4"/>
        <v>Территория действия тарифа</v>
      </c>
      <c r="CZ278" s="1544"/>
      <c r="DA278" s="1544"/>
    </row>
    <row r="279" spans="1:105" s="1827" customFormat="1" ht="23.25" customHeight="1">
      <c r="A279" s="1284"/>
      <c r="B279" s="1284"/>
      <c r="C279" s="1284" t="s">
        <v>400</v>
      </c>
      <c r="D279" s="1284"/>
      <c r="E279" s="7690" t="s">
        <v>148</v>
      </c>
      <c r="F279" s="7690"/>
      <c r="G279" s="7689">
        <v>1</v>
      </c>
      <c r="H279" s="1284"/>
      <c r="I279" s="1284"/>
      <c r="J279" s="1284"/>
      <c r="K279" s="1284"/>
      <c r="L279" s="1290"/>
      <c r="M279" s="1286"/>
      <c r="N279" s="1286"/>
      <c r="O279" s="1286"/>
      <c r="P279" s="275"/>
      <c r="Q279" s="273"/>
      <c r="R279" s="274"/>
      <c r="S279" s="1813" t="str">
        <f>INDEX(PT_DIFFERENTIATION_NUM_CS,MATCH(C279,PT_DIFFERENTIATION_CS_ID,0))</f>
        <v>16.1.1</v>
      </c>
      <c r="T279" s="225" t="s">
        <v>654</v>
      </c>
      <c r="U279" s="214"/>
      <c r="V279" s="7675"/>
      <c r="W279" s="7676"/>
      <c r="X279" s="7676"/>
      <c r="Y279" s="7676"/>
      <c r="Z279" s="7676"/>
      <c r="AA279" s="7676"/>
      <c r="AB279" s="7677"/>
      <c r="AC279" s="7675" t="str">
        <f>INDEX(PT_DIFFERENTIATION_CS,MATCH(C279,PT_DIFFERENTIATION_CS_ID,0))</f>
        <v>без дифференциации</v>
      </c>
      <c r="AD279" s="7676"/>
      <c r="AE279" s="7676"/>
      <c r="AF279" s="7676"/>
      <c r="AG279" s="7676"/>
      <c r="AH279" s="7676"/>
      <c r="AI279" s="7676"/>
      <c r="AJ279" s="7675"/>
      <c r="AK279" s="7676"/>
      <c r="AL279" s="7676"/>
      <c r="AM279" s="7676"/>
      <c r="AN279" s="7676"/>
      <c r="AO279" s="7676"/>
      <c r="AP279" s="7677"/>
      <c r="AQ279" s="7675"/>
      <c r="AR279" s="7676"/>
      <c r="AS279" s="7676"/>
      <c r="AT279" s="7676"/>
      <c r="AU279" s="7676"/>
      <c r="AV279" s="7676"/>
      <c r="AW279" s="7677"/>
      <c r="AX279" s="7675"/>
      <c r="AY279" s="7676"/>
      <c r="AZ279" s="7676"/>
      <c r="BA279" s="7676"/>
      <c r="BB279" s="7676"/>
      <c r="BC279" s="7676"/>
      <c r="BD279" s="7677"/>
      <c r="BE279" s="7675"/>
      <c r="BF279" s="7676"/>
      <c r="BG279" s="7676"/>
      <c r="BH279" s="7676"/>
      <c r="BI279" s="7676"/>
      <c r="BJ279" s="7676"/>
      <c r="BK279" s="7677"/>
      <c r="BL279" s="7675"/>
      <c r="BM279" s="7676"/>
      <c r="BN279" s="7676"/>
      <c r="BO279" s="7676"/>
      <c r="BP279" s="7676"/>
      <c r="BQ279" s="7676"/>
      <c r="BR279" s="7677"/>
      <c r="BS279" s="7675"/>
      <c r="BT279" s="7676"/>
      <c r="BU279" s="7676"/>
      <c r="BV279" s="7676"/>
      <c r="BW279" s="7676"/>
      <c r="BX279" s="7676"/>
      <c r="BY279" s="7677"/>
      <c r="BZ279" s="7675"/>
      <c r="CA279" s="7676"/>
      <c r="CB279" s="7676"/>
      <c r="CC279" s="7676"/>
      <c r="CD279" s="7676"/>
      <c r="CE279" s="7676"/>
      <c r="CF279" s="7677"/>
      <c r="CG279" s="7675"/>
      <c r="CH279" s="7676"/>
      <c r="CI279" s="7676"/>
      <c r="CJ279" s="7676"/>
      <c r="CK279" s="7676"/>
      <c r="CL279" s="7676"/>
      <c r="CM279" s="7677"/>
      <c r="CN279" s="7675"/>
      <c r="CO279" s="7676"/>
      <c r="CP279" s="7676"/>
      <c r="CQ279" s="7676"/>
      <c r="CR279" s="7676"/>
      <c r="CS279" s="7676"/>
      <c r="CT279" s="7677"/>
      <c r="CU279" s="7677"/>
      <c r="CV279" s="1182" t="s">
        <v>655</v>
      </c>
      <c r="CW279" s="1562"/>
      <c r="CX279" s="1544"/>
      <c r="CY279" s="1544" t="str">
        <f t="shared" si="4"/>
        <v>Наименование централизованной системы холодного водоснабжения</v>
      </c>
      <c r="CZ279" s="1544"/>
      <c r="DA279" s="1544"/>
    </row>
    <row r="280" spans="1:105" s="1827" customFormat="1" ht="23.25" customHeight="1">
      <c r="A280" s="1284"/>
      <c r="B280" s="1284"/>
      <c r="C280" s="1284"/>
      <c r="D280" s="1284"/>
      <c r="E280" s="7690" t="s">
        <v>148</v>
      </c>
      <c r="F280" s="7690"/>
      <c r="G280" s="7690"/>
      <c r="H280" s="7690"/>
      <c r="I280" s="7687" t="str">
        <f>S279&amp;".1"</f>
        <v>16.1.1.1</v>
      </c>
      <c r="J280" s="1284"/>
      <c r="K280" s="1284"/>
      <c r="L280" s="1290"/>
      <c r="M280" s="1696"/>
      <c r="N280" s="1696"/>
      <c r="O280" s="1696"/>
      <c r="P280" s="7688">
        <v>1</v>
      </c>
      <c r="Q280" s="1816"/>
      <c r="R280" s="277"/>
      <c r="S280" s="1813" t="str">
        <f>$I280</f>
        <v>16.1.1.1</v>
      </c>
      <c r="T280" s="200" t="s">
        <v>656</v>
      </c>
      <c r="U280" s="214"/>
      <c r="V280" s="7748"/>
      <c r="W280" s="7749"/>
      <c r="X280" s="7749"/>
      <c r="Y280" s="7749"/>
      <c r="Z280" s="7749"/>
      <c r="AA280" s="7749"/>
      <c r="AB280" s="7750"/>
      <c r="AC280" s="7751"/>
      <c r="AD280" s="7752"/>
      <c r="AE280" s="7752"/>
      <c r="AF280" s="7752"/>
      <c r="AG280" s="7752"/>
      <c r="AH280" s="7752"/>
      <c r="AI280" s="7752"/>
      <c r="AJ280" s="7748"/>
      <c r="AK280" s="7749"/>
      <c r="AL280" s="7749"/>
      <c r="AM280" s="7749"/>
      <c r="AN280" s="7749"/>
      <c r="AO280" s="7749"/>
      <c r="AP280" s="7750"/>
      <c r="AQ280" s="7748"/>
      <c r="AR280" s="7749"/>
      <c r="AS280" s="7749"/>
      <c r="AT280" s="7749"/>
      <c r="AU280" s="7749"/>
      <c r="AV280" s="7749"/>
      <c r="AW280" s="7750"/>
      <c r="AX280" s="7748"/>
      <c r="AY280" s="7749"/>
      <c r="AZ280" s="7749"/>
      <c r="BA280" s="7749"/>
      <c r="BB280" s="7749"/>
      <c r="BC280" s="7749"/>
      <c r="BD280" s="7750"/>
      <c r="BE280" s="7748"/>
      <c r="BF280" s="7749"/>
      <c r="BG280" s="7749"/>
      <c r="BH280" s="7749"/>
      <c r="BI280" s="7749"/>
      <c r="BJ280" s="7749"/>
      <c r="BK280" s="7750"/>
      <c r="BL280" s="7748"/>
      <c r="BM280" s="7749"/>
      <c r="BN280" s="7749"/>
      <c r="BO280" s="7749"/>
      <c r="BP280" s="7749"/>
      <c r="BQ280" s="7749"/>
      <c r="BR280" s="7750"/>
      <c r="BS280" s="7748"/>
      <c r="BT280" s="7749"/>
      <c r="BU280" s="7749"/>
      <c r="BV280" s="7749"/>
      <c r="BW280" s="7749"/>
      <c r="BX280" s="7749"/>
      <c r="BY280" s="7750"/>
      <c r="BZ280" s="7748"/>
      <c r="CA280" s="7749"/>
      <c r="CB280" s="7749"/>
      <c r="CC280" s="7749"/>
      <c r="CD280" s="7749"/>
      <c r="CE280" s="7749"/>
      <c r="CF280" s="7750"/>
      <c r="CG280" s="7748"/>
      <c r="CH280" s="7749"/>
      <c r="CI280" s="7749"/>
      <c r="CJ280" s="7749"/>
      <c r="CK280" s="7749"/>
      <c r="CL280" s="7749"/>
      <c r="CM280" s="7750"/>
      <c r="CN280" s="7748"/>
      <c r="CO280" s="7749"/>
      <c r="CP280" s="7749"/>
      <c r="CQ280" s="7749"/>
      <c r="CR280" s="7749"/>
      <c r="CS280" s="7749"/>
      <c r="CT280" s="7750"/>
      <c r="CU280" s="7753"/>
      <c r="CV280" s="1182" t="s">
        <v>657</v>
      </c>
      <c r="CW280" s="1562"/>
      <c r="CX280" s="1544"/>
      <c r="CY280" s="1544" t="str">
        <f t="shared" si="4"/>
        <v>Наименование признака дифференциации</v>
      </c>
      <c r="CZ280" s="1544"/>
      <c r="DA280" s="1544"/>
    </row>
    <row r="281" spans="1:105" s="1827" customFormat="1" ht="23.25" customHeight="1">
      <c r="A281" s="1284"/>
      <c r="B281" s="1284"/>
      <c r="C281" s="1284"/>
      <c r="D281" s="1284"/>
      <c r="E281" s="7690" t="s">
        <v>148</v>
      </c>
      <c r="F281" s="7690"/>
      <c r="G281" s="7690"/>
      <c r="H281" s="7690"/>
      <c r="I281" s="7710"/>
      <c r="J281" s="7687" t="str">
        <f>I280&amp;".1"</f>
        <v>16.1.1.1.1</v>
      </c>
      <c r="K281" s="1284"/>
      <c r="L281" s="1290" t="s">
        <v>582</v>
      </c>
      <c r="M281" s="1696"/>
      <c r="N281" s="1696"/>
      <c r="O281" s="1696"/>
      <c r="P281" s="7688"/>
      <c r="Q281" s="7688">
        <v>1</v>
      </c>
      <c r="R281" s="278"/>
      <c r="S281" s="1813" t="str">
        <f>$J281</f>
        <v>16.1.1.1.1</v>
      </c>
      <c r="T281" s="201" t="s">
        <v>583</v>
      </c>
      <c r="U281" s="214"/>
      <c r="V281" s="7678"/>
      <c r="W281" s="7679"/>
      <c r="X281" s="7679"/>
      <c r="Y281" s="7679"/>
      <c r="Z281" s="7679"/>
      <c r="AA281" s="7679"/>
      <c r="AB281" s="7680"/>
      <c r="AC281" s="7678" t="s">
        <v>671</v>
      </c>
      <c r="AD281" s="7679"/>
      <c r="AE281" s="7679"/>
      <c r="AF281" s="7679"/>
      <c r="AG281" s="7679"/>
      <c r="AH281" s="7679"/>
      <c r="AI281" s="7679"/>
      <c r="AJ281" s="7678"/>
      <c r="AK281" s="7679"/>
      <c r="AL281" s="7679"/>
      <c r="AM281" s="7679"/>
      <c r="AN281" s="7679"/>
      <c r="AO281" s="7679"/>
      <c r="AP281" s="7680"/>
      <c r="AQ281" s="7678"/>
      <c r="AR281" s="7679"/>
      <c r="AS281" s="7679"/>
      <c r="AT281" s="7679"/>
      <c r="AU281" s="7679"/>
      <c r="AV281" s="7679"/>
      <c r="AW281" s="7680"/>
      <c r="AX281" s="7678"/>
      <c r="AY281" s="7679"/>
      <c r="AZ281" s="7679"/>
      <c r="BA281" s="7679"/>
      <c r="BB281" s="7679"/>
      <c r="BC281" s="7679"/>
      <c r="BD281" s="7680"/>
      <c r="BE281" s="7678"/>
      <c r="BF281" s="7679"/>
      <c r="BG281" s="7679"/>
      <c r="BH281" s="7679"/>
      <c r="BI281" s="7679"/>
      <c r="BJ281" s="7679"/>
      <c r="BK281" s="7680"/>
      <c r="BL281" s="7678"/>
      <c r="BM281" s="7679"/>
      <c r="BN281" s="7679"/>
      <c r="BO281" s="7679"/>
      <c r="BP281" s="7679"/>
      <c r="BQ281" s="7679"/>
      <c r="BR281" s="7680"/>
      <c r="BS281" s="7678"/>
      <c r="BT281" s="7679"/>
      <c r="BU281" s="7679"/>
      <c r="BV281" s="7679"/>
      <c r="BW281" s="7679"/>
      <c r="BX281" s="7679"/>
      <c r="BY281" s="7680"/>
      <c r="BZ281" s="7678"/>
      <c r="CA281" s="7679"/>
      <c r="CB281" s="7679"/>
      <c r="CC281" s="7679"/>
      <c r="CD281" s="7679"/>
      <c r="CE281" s="7679"/>
      <c r="CF281" s="7680"/>
      <c r="CG281" s="7678"/>
      <c r="CH281" s="7679"/>
      <c r="CI281" s="7679"/>
      <c r="CJ281" s="7679"/>
      <c r="CK281" s="7679"/>
      <c r="CL281" s="7679"/>
      <c r="CM281" s="7680"/>
      <c r="CN281" s="7678"/>
      <c r="CO281" s="7679"/>
      <c r="CP281" s="7679"/>
      <c r="CQ281" s="7679"/>
      <c r="CR281" s="7679"/>
      <c r="CS281" s="7679"/>
      <c r="CT281" s="7680"/>
      <c r="CU281" s="7680"/>
      <c r="CV281" s="1231" t="s">
        <v>658</v>
      </c>
      <c r="CW281" s="1562"/>
      <c r="CX281" s="1544"/>
      <c r="CY281" s="1544" t="str">
        <f t="shared" si="4"/>
        <v>Группа потребителей</v>
      </c>
      <c r="CZ281" s="1544"/>
      <c r="DA281" s="1544"/>
    </row>
    <row r="282" spans="1:105" s="1827" customFormat="1" ht="23.25" customHeight="1">
      <c r="A282" s="1284"/>
      <c r="B282" s="1284"/>
      <c r="C282" s="1284"/>
      <c r="D282" s="1284"/>
      <c r="E282" s="7690" t="s">
        <v>148</v>
      </c>
      <c r="F282" s="7690"/>
      <c r="G282" s="7690"/>
      <c r="H282" s="7690"/>
      <c r="I282" s="7710"/>
      <c r="J282" s="7710"/>
      <c r="K282" s="7687" t="str">
        <f>J281&amp;".1"</f>
        <v>16.1.1.1.1.1</v>
      </c>
      <c r="L282" s="1290"/>
      <c r="M282" s="1696"/>
      <c r="N282" s="1696"/>
      <c r="O282" s="1696"/>
      <c r="P282" s="7688"/>
      <c r="Q282" s="7688"/>
      <c r="R282" s="278">
        <v>1</v>
      </c>
      <c r="S282" s="1813" t="str">
        <f>$K282</f>
        <v>16.1.1.1.1.1</v>
      </c>
      <c r="T282" s="1357" t="s">
        <v>672</v>
      </c>
      <c r="U282" s="214"/>
      <c r="V282" s="666"/>
      <c r="W282" s="666"/>
      <c r="X282" s="1181"/>
      <c r="Y282" s="7692"/>
      <c r="Z282" s="7540" t="s">
        <v>60</v>
      </c>
      <c r="AA282" s="7692"/>
      <c r="AB282" s="7540" t="s">
        <v>60</v>
      </c>
      <c r="AC282" s="666">
        <v>34.4</v>
      </c>
      <c r="AD282" s="666"/>
      <c r="AE282" s="1181"/>
      <c r="AF282" s="7692">
        <v>45292</v>
      </c>
      <c r="AG282" s="7540" t="s">
        <v>60</v>
      </c>
      <c r="AH282" s="7711">
        <v>45473</v>
      </c>
      <c r="AI282" s="7540" t="s">
        <v>60</v>
      </c>
      <c r="AJ282" s="666">
        <v>37.5</v>
      </c>
      <c r="AK282" s="666"/>
      <c r="AL282" s="1181"/>
      <c r="AM282" s="7692">
        <v>45474</v>
      </c>
      <c r="AN282" s="7540" t="s">
        <v>60</v>
      </c>
      <c r="AO282" s="7692">
        <v>45657</v>
      </c>
      <c r="AP282" s="7540" t="s">
        <v>60</v>
      </c>
      <c r="AQ282" s="666">
        <v>37.5</v>
      </c>
      <c r="AR282" s="666"/>
      <c r="AS282" s="1181"/>
      <c r="AT282" s="7692">
        <v>45658</v>
      </c>
      <c r="AU282" s="7540" t="s">
        <v>60</v>
      </c>
      <c r="AV282" s="7692">
        <v>45838</v>
      </c>
      <c r="AW282" s="7540" t="s">
        <v>60</v>
      </c>
      <c r="AX282" s="666">
        <v>39.64</v>
      </c>
      <c r="AY282" s="666"/>
      <c r="AZ282" s="1181"/>
      <c r="BA282" s="7692">
        <v>45839</v>
      </c>
      <c r="BB282" s="7540" t="s">
        <v>60</v>
      </c>
      <c r="BC282" s="7692">
        <v>46022</v>
      </c>
      <c r="BD282" s="7540" t="s">
        <v>60</v>
      </c>
      <c r="BE282" s="666">
        <v>39.64</v>
      </c>
      <c r="BF282" s="666"/>
      <c r="BG282" s="1181"/>
      <c r="BH282" s="7692">
        <v>46023</v>
      </c>
      <c r="BI282" s="7540" t="s">
        <v>60</v>
      </c>
      <c r="BJ282" s="7692">
        <v>46203</v>
      </c>
      <c r="BK282" s="7540" t="s">
        <v>60</v>
      </c>
      <c r="BL282" s="666">
        <v>41.23</v>
      </c>
      <c r="BM282" s="666"/>
      <c r="BN282" s="1181"/>
      <c r="BO282" s="7692">
        <v>46204</v>
      </c>
      <c r="BP282" s="7540" t="s">
        <v>60</v>
      </c>
      <c r="BQ282" s="7692">
        <v>46387</v>
      </c>
      <c r="BR282" s="7540" t="s">
        <v>60</v>
      </c>
      <c r="BS282" s="666">
        <v>41.23</v>
      </c>
      <c r="BT282" s="666"/>
      <c r="BU282" s="1181"/>
      <c r="BV282" s="7692">
        <v>46388</v>
      </c>
      <c r="BW282" s="7540" t="s">
        <v>60</v>
      </c>
      <c r="BX282" s="7692">
        <v>46568</v>
      </c>
      <c r="BY282" s="7540" t="s">
        <v>60</v>
      </c>
      <c r="BZ282" s="666">
        <v>42.88</v>
      </c>
      <c r="CA282" s="666"/>
      <c r="CB282" s="1181"/>
      <c r="CC282" s="7692">
        <v>46569</v>
      </c>
      <c r="CD282" s="7540" t="s">
        <v>60</v>
      </c>
      <c r="CE282" s="7692">
        <v>46752</v>
      </c>
      <c r="CF282" s="7540" t="s">
        <v>60</v>
      </c>
      <c r="CG282" s="666">
        <v>42.88</v>
      </c>
      <c r="CH282" s="666"/>
      <c r="CI282" s="1181"/>
      <c r="CJ282" s="7692">
        <v>46753</v>
      </c>
      <c r="CK282" s="7540" t="s">
        <v>60</v>
      </c>
      <c r="CL282" s="7692">
        <v>46934</v>
      </c>
      <c r="CM282" s="7540" t="s">
        <v>60</v>
      </c>
      <c r="CN282" s="666">
        <v>44.6</v>
      </c>
      <c r="CO282" s="666"/>
      <c r="CP282" s="1181"/>
      <c r="CQ282" s="7692">
        <v>46935</v>
      </c>
      <c r="CR282" s="7540" t="s">
        <v>60</v>
      </c>
      <c r="CS282" s="7692">
        <v>47118</v>
      </c>
      <c r="CT282" s="7540" t="s">
        <v>60</v>
      </c>
      <c r="CU282" s="1358"/>
      <c r="CV282"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82" s="1562" t="e">
        <f ca="1">STRCHECKDATE(V283:CU283)</f>
        <v>#NAME?</v>
      </c>
      <c r="CX282" s="1544"/>
      <c r="CY282" s="1544" t="str">
        <f t="shared" si="4"/>
        <v>Тариф для населения, руб. за 1 куб. метр с НДС</v>
      </c>
      <c r="CZ282" s="1544"/>
      <c r="DA282" s="1544"/>
    </row>
    <row r="283" spans="1:105" s="1827" customFormat="1" ht="14.25" customHeight="1">
      <c r="A283" s="1284"/>
      <c r="B283" s="1284"/>
      <c r="C283" s="1284"/>
      <c r="D283" s="1284"/>
      <c r="E283" s="7690" t="s">
        <v>148</v>
      </c>
      <c r="F283" s="7690"/>
      <c r="G283" s="7690"/>
      <c r="H283" s="7690"/>
      <c r="I283" s="7710"/>
      <c r="J283" s="7710"/>
      <c r="K283" s="7687"/>
      <c r="L283" s="1290"/>
      <c r="M283" s="1696"/>
      <c r="N283" s="1696"/>
      <c r="O283" s="1696"/>
      <c r="P283" s="7688"/>
      <c r="Q283" s="7688"/>
      <c r="R283" s="278"/>
      <c r="S283" s="1822"/>
      <c r="T283" s="214"/>
      <c r="U283" s="214"/>
      <c r="V283" s="246"/>
      <c r="W283" s="246"/>
      <c r="X283" s="250" t="str">
        <f>Y282&amp;"-"&amp;AA282</f>
        <v>-</v>
      </c>
      <c r="Y283" s="7693"/>
      <c r="Z283" s="7540"/>
      <c r="AA283" s="7693"/>
      <c r="AB283" s="7540"/>
      <c r="AC283" s="246"/>
      <c r="AD283" s="246"/>
      <c r="AE283" s="250" t="str">
        <f>AF282&amp;"-"&amp;AH282</f>
        <v>45292-45473</v>
      </c>
      <c r="AF283" s="7693"/>
      <c r="AG283" s="7540"/>
      <c r="AH283" s="7712"/>
      <c r="AI283" s="7540"/>
      <c r="AJ283" s="246"/>
      <c r="AK283" s="246"/>
      <c r="AL283" s="250" t="str">
        <f>AM282&amp;"-"&amp;AO282</f>
        <v>45474-45657</v>
      </c>
      <c r="AM283" s="7693"/>
      <c r="AN283" s="7540"/>
      <c r="AO283" s="7693"/>
      <c r="AP283" s="7540"/>
      <c r="AQ283" s="246"/>
      <c r="AR283" s="246"/>
      <c r="AS283" s="250" t="str">
        <f>AT282&amp;"-"&amp;AV282</f>
        <v>45658-45838</v>
      </c>
      <c r="AT283" s="7693"/>
      <c r="AU283" s="7540"/>
      <c r="AV283" s="7693"/>
      <c r="AW283" s="7540"/>
      <c r="AX283" s="246"/>
      <c r="AY283" s="246"/>
      <c r="AZ283" s="250" t="str">
        <f>BA282&amp;"-"&amp;BC282</f>
        <v>45839-46022</v>
      </c>
      <c r="BA283" s="7693"/>
      <c r="BB283" s="7540"/>
      <c r="BC283" s="7693"/>
      <c r="BD283" s="7540"/>
      <c r="BE283" s="246"/>
      <c r="BF283" s="246"/>
      <c r="BG283" s="250" t="str">
        <f>BH282&amp;"-"&amp;BJ282</f>
        <v>46023-46203</v>
      </c>
      <c r="BH283" s="7693"/>
      <c r="BI283" s="7540"/>
      <c r="BJ283" s="7693"/>
      <c r="BK283" s="7540"/>
      <c r="BL283" s="246"/>
      <c r="BM283" s="246"/>
      <c r="BN283" s="250" t="str">
        <f>BO282&amp;"-"&amp;BQ282</f>
        <v>46204-46387</v>
      </c>
      <c r="BO283" s="7693"/>
      <c r="BP283" s="7540"/>
      <c r="BQ283" s="7693"/>
      <c r="BR283" s="7540"/>
      <c r="BS283" s="246"/>
      <c r="BT283" s="246"/>
      <c r="BU283" s="250" t="str">
        <f>BV282&amp;"-"&amp;BX282</f>
        <v>46388-46568</v>
      </c>
      <c r="BV283" s="7693"/>
      <c r="BW283" s="7540"/>
      <c r="BX283" s="7693"/>
      <c r="BY283" s="7540"/>
      <c r="BZ283" s="246"/>
      <c r="CA283" s="246"/>
      <c r="CB283" s="250" t="str">
        <f>CC282&amp;"-"&amp;CE282</f>
        <v>46569-46752</v>
      </c>
      <c r="CC283" s="7693"/>
      <c r="CD283" s="7540"/>
      <c r="CE283" s="7693"/>
      <c r="CF283" s="7540"/>
      <c r="CG283" s="246"/>
      <c r="CH283" s="246"/>
      <c r="CI283" s="250" t="str">
        <f>CJ282&amp;"-"&amp;CL282</f>
        <v>46753-46934</v>
      </c>
      <c r="CJ283" s="7693"/>
      <c r="CK283" s="7540"/>
      <c r="CL283" s="7693"/>
      <c r="CM283" s="7540"/>
      <c r="CN283" s="246"/>
      <c r="CO283" s="246"/>
      <c r="CP283" s="250" t="str">
        <f>CQ282&amp;"-"&amp;CS282</f>
        <v>46935-47118</v>
      </c>
      <c r="CQ283" s="7693"/>
      <c r="CR283" s="7540"/>
      <c r="CS283" s="7693"/>
      <c r="CT283" s="7540"/>
      <c r="CU283" s="1359"/>
      <c r="CV283" s="7747"/>
      <c r="CW283" s="1562"/>
      <c r="CX283" s="1544"/>
      <c r="CY283" s="1544" t="str">
        <f t="shared" si="4"/>
        <v/>
      </c>
      <c r="CZ283" s="1544"/>
      <c r="DA283" s="1544"/>
    </row>
    <row r="284" spans="1:105" s="1827" customFormat="1" ht="21" customHeight="1">
      <c r="A284" s="1284"/>
      <c r="B284" s="1284"/>
      <c r="C284" s="1284"/>
      <c r="D284" s="1284"/>
      <c r="E284" s="7690" t="s">
        <v>148</v>
      </c>
      <c r="F284" s="7690"/>
      <c r="G284" s="7690"/>
      <c r="H284" s="7690"/>
      <c r="I284" s="7710"/>
      <c r="J284" s="7687"/>
      <c r="K284" s="1284"/>
      <c r="L284" s="1290"/>
      <c r="M284" s="1696"/>
      <c r="N284" s="1696"/>
      <c r="O284" s="1696"/>
      <c r="P284" s="7688"/>
      <c r="Q284" s="7688"/>
      <c r="R284" s="277"/>
      <c r="S284" s="6807"/>
      <c r="T284" s="6808" t="s">
        <v>659</v>
      </c>
      <c r="U284" s="6809"/>
      <c r="V284" s="6810"/>
      <c r="W284" s="6811"/>
      <c r="X284" s="6812"/>
      <c r="Y284" s="6813"/>
      <c r="Z284" s="6814"/>
      <c r="AA284" s="6815"/>
      <c r="AB284" s="6816"/>
      <c r="AC284" s="6817"/>
      <c r="AD284" s="6818"/>
      <c r="AE284" s="6819"/>
      <c r="AF284" s="6820"/>
      <c r="AG284" s="6821"/>
      <c r="AH284" s="6822"/>
      <c r="AI284" s="6823"/>
      <c r="AJ284" s="6824"/>
      <c r="AK284" s="6825"/>
      <c r="AL284" s="6826"/>
      <c r="AM284" s="6827"/>
      <c r="AN284" s="6828"/>
      <c r="AO284" s="6829"/>
      <c r="AP284" s="6830"/>
      <c r="AQ284" s="6831"/>
      <c r="AR284" s="6832"/>
      <c r="AS284" s="6833"/>
      <c r="AT284" s="6834"/>
      <c r="AU284" s="6835"/>
      <c r="AV284" s="6836"/>
      <c r="AW284" s="6837"/>
      <c r="AX284" s="6838"/>
      <c r="AY284" s="6839"/>
      <c r="AZ284" s="6840"/>
      <c r="BA284" s="6841"/>
      <c r="BB284" s="6842"/>
      <c r="BC284" s="6843"/>
      <c r="BD284" s="6844"/>
      <c r="BE284" s="6845"/>
      <c r="BF284" s="6846"/>
      <c r="BG284" s="6847"/>
      <c r="BH284" s="6848"/>
      <c r="BI284" s="6849"/>
      <c r="BJ284" s="6850"/>
      <c r="BK284" s="6851"/>
      <c r="BL284" s="6852"/>
      <c r="BM284" s="6853"/>
      <c r="BN284" s="6854"/>
      <c r="BO284" s="6855"/>
      <c r="BP284" s="6856"/>
      <c r="BQ284" s="6857"/>
      <c r="BR284" s="6858"/>
      <c r="BS284" s="6859"/>
      <c r="BT284" s="6860"/>
      <c r="BU284" s="6861"/>
      <c r="BV284" s="6862"/>
      <c r="BW284" s="6863"/>
      <c r="BX284" s="6864"/>
      <c r="BY284" s="6865"/>
      <c r="BZ284" s="6866"/>
      <c r="CA284" s="6867"/>
      <c r="CB284" s="6868"/>
      <c r="CC284" s="6869"/>
      <c r="CD284" s="6870"/>
      <c r="CE284" s="6871"/>
      <c r="CF284" s="6872"/>
      <c r="CG284" s="6873"/>
      <c r="CH284" s="6874"/>
      <c r="CI284" s="6875"/>
      <c r="CJ284" s="6876"/>
      <c r="CK284" s="6877"/>
      <c r="CL284" s="6878"/>
      <c r="CM284" s="6879"/>
      <c r="CN284" s="6880"/>
      <c r="CO284" s="6881"/>
      <c r="CP284" s="6882"/>
      <c r="CQ284" s="6883"/>
      <c r="CR284" s="6884"/>
      <c r="CS284" s="6885"/>
      <c r="CT284" s="6886"/>
      <c r="CU284" s="6887"/>
      <c r="CV284" s="1182" t="s">
        <v>660</v>
      </c>
      <c r="CW284" s="1562"/>
      <c r="CX284" s="1544"/>
      <c r="CY284" s="1544" t="str">
        <f t="shared" si="4"/>
        <v>Добавить значение признака дифференциации</v>
      </c>
      <c r="CZ284" s="1544"/>
      <c r="DA284" s="1544"/>
    </row>
    <row r="285" spans="1:105" s="1827" customFormat="1" ht="23.25" customHeight="1">
      <c r="A285" s="1284"/>
      <c r="B285" s="1284"/>
      <c r="C285" s="1284"/>
      <c r="D285" s="1284"/>
      <c r="E285" s="7690"/>
      <c r="F285" s="7690"/>
      <c r="G285" s="7690"/>
      <c r="H285" s="7690"/>
      <c r="I285" s="7710"/>
      <c r="J285" s="7687" t="str">
        <f>I280&amp;".2"</f>
        <v>16.1.1.1.2</v>
      </c>
      <c r="K285" s="1284"/>
      <c r="L285" s="1290" t="s">
        <v>582</v>
      </c>
      <c r="M285" s="1696"/>
      <c r="N285" s="1696"/>
      <c r="O285" s="1696"/>
      <c r="P285" s="7688"/>
      <c r="Q285" s="7754" t="s">
        <v>101</v>
      </c>
      <c r="R285" s="278"/>
      <c r="S285" s="1813" t="str">
        <f>$J285</f>
        <v>16.1.1.1.2</v>
      </c>
      <c r="T285" s="201" t="s">
        <v>583</v>
      </c>
      <c r="U285" s="214"/>
      <c r="V285" s="7678"/>
      <c r="W285" s="7679"/>
      <c r="X285" s="7679"/>
      <c r="Y285" s="7679"/>
      <c r="Z285" s="7679"/>
      <c r="AA285" s="7679"/>
      <c r="AB285" s="7680"/>
      <c r="AC285" s="7678" t="s">
        <v>669</v>
      </c>
      <c r="AD285" s="7679"/>
      <c r="AE285" s="7679"/>
      <c r="AF285" s="7679"/>
      <c r="AG285" s="7679"/>
      <c r="AH285" s="7679"/>
      <c r="AI285" s="7679"/>
      <c r="AJ285" s="7678"/>
      <c r="AK285" s="7679"/>
      <c r="AL285" s="7679"/>
      <c r="AM285" s="7679"/>
      <c r="AN285" s="7679"/>
      <c r="AO285" s="7679"/>
      <c r="AP285" s="7680"/>
      <c r="AQ285" s="7678"/>
      <c r="AR285" s="7679"/>
      <c r="AS285" s="7679"/>
      <c r="AT285" s="7679"/>
      <c r="AU285" s="7679"/>
      <c r="AV285" s="7679"/>
      <c r="AW285" s="7680"/>
      <c r="AX285" s="7678"/>
      <c r="AY285" s="7679"/>
      <c r="AZ285" s="7679"/>
      <c r="BA285" s="7679"/>
      <c r="BB285" s="7679"/>
      <c r="BC285" s="7679"/>
      <c r="BD285" s="7680"/>
      <c r="BE285" s="7678"/>
      <c r="BF285" s="7679"/>
      <c r="BG285" s="7679"/>
      <c r="BH285" s="7679"/>
      <c r="BI285" s="7679"/>
      <c r="BJ285" s="7679"/>
      <c r="BK285" s="7680"/>
      <c r="BL285" s="7678"/>
      <c r="BM285" s="7679"/>
      <c r="BN285" s="7679"/>
      <c r="BO285" s="7679"/>
      <c r="BP285" s="7679"/>
      <c r="BQ285" s="7679"/>
      <c r="BR285" s="7680"/>
      <c r="BS285" s="7678"/>
      <c r="BT285" s="7679"/>
      <c r="BU285" s="7679"/>
      <c r="BV285" s="7679"/>
      <c r="BW285" s="7679"/>
      <c r="BX285" s="7679"/>
      <c r="BY285" s="7680"/>
      <c r="BZ285" s="7678"/>
      <c r="CA285" s="7679"/>
      <c r="CB285" s="7679"/>
      <c r="CC285" s="7679"/>
      <c r="CD285" s="7679"/>
      <c r="CE285" s="7679"/>
      <c r="CF285" s="7680"/>
      <c r="CG285" s="7678"/>
      <c r="CH285" s="7679"/>
      <c r="CI285" s="7679"/>
      <c r="CJ285" s="7679"/>
      <c r="CK285" s="7679"/>
      <c r="CL285" s="7679"/>
      <c r="CM285" s="7680"/>
      <c r="CN285" s="7678"/>
      <c r="CO285" s="7679"/>
      <c r="CP285" s="7679"/>
      <c r="CQ285" s="7679"/>
      <c r="CR285" s="7679"/>
      <c r="CS285" s="7679"/>
      <c r="CT285" s="7680"/>
      <c r="CU285" s="7680"/>
      <c r="CV285" s="1231" t="s">
        <v>658</v>
      </c>
      <c r="CW285" s="1562"/>
      <c r="CX285" s="1544"/>
      <c r="CY285" s="1544" t="str">
        <f t="shared" si="4"/>
        <v>Группа потребителей</v>
      </c>
      <c r="CZ285" s="1544"/>
      <c r="DA285" s="1544"/>
    </row>
    <row r="286" spans="1:105" s="1827" customFormat="1" ht="23.25" customHeight="1">
      <c r="A286" s="1284"/>
      <c r="B286" s="1284"/>
      <c r="C286" s="1284"/>
      <c r="D286" s="1284"/>
      <c r="E286" s="7690"/>
      <c r="F286" s="7690"/>
      <c r="G286" s="7690"/>
      <c r="H286" s="7690"/>
      <c r="I286" s="7710"/>
      <c r="J286" s="7710" t="str">
        <f>I280&amp;".1"</f>
        <v>16.1.1.1.1</v>
      </c>
      <c r="K286" s="7687" t="str">
        <f>J285&amp;".1"</f>
        <v>16.1.1.1.2.1</v>
      </c>
      <c r="L286" s="1290"/>
      <c r="M286" s="1696"/>
      <c r="N286" s="1696"/>
      <c r="O286" s="1696"/>
      <c r="P286" s="7688"/>
      <c r="Q286" s="7688"/>
      <c r="R286" s="278">
        <v>1</v>
      </c>
      <c r="S286" s="1813" t="str">
        <f>$K286</f>
        <v>16.1.1.1.2.1</v>
      </c>
      <c r="T286" s="1357" t="s">
        <v>670</v>
      </c>
      <c r="U286" s="214"/>
      <c r="V286" s="666"/>
      <c r="W286" s="666"/>
      <c r="X286" s="1181"/>
      <c r="Y286" s="7692"/>
      <c r="Z286" s="7540" t="s">
        <v>60</v>
      </c>
      <c r="AA286" s="7692"/>
      <c r="AB286" s="7540" t="s">
        <v>60</v>
      </c>
      <c r="AC286" s="666">
        <v>61.08</v>
      </c>
      <c r="AD286" s="666"/>
      <c r="AE286" s="1181"/>
      <c r="AF286" s="7692">
        <v>45292</v>
      </c>
      <c r="AG286" s="7540" t="s">
        <v>60</v>
      </c>
      <c r="AH286" s="7711">
        <v>45473</v>
      </c>
      <c r="AI286" s="7540" t="s">
        <v>60</v>
      </c>
      <c r="AJ286" s="666">
        <v>84.09</v>
      </c>
      <c r="AK286" s="666"/>
      <c r="AL286" s="1181"/>
      <c r="AM286" s="7692">
        <v>45474</v>
      </c>
      <c r="AN286" s="7540" t="s">
        <v>60</v>
      </c>
      <c r="AO286" s="7692">
        <v>45657</v>
      </c>
      <c r="AP286" s="7540" t="s">
        <v>60</v>
      </c>
      <c r="AQ286" s="666">
        <v>77.19</v>
      </c>
      <c r="AR286" s="666"/>
      <c r="AS286" s="1181"/>
      <c r="AT286" s="7692">
        <v>45658</v>
      </c>
      <c r="AU286" s="7540" t="s">
        <v>60</v>
      </c>
      <c r="AV286" s="7692">
        <v>45838</v>
      </c>
      <c r="AW286" s="7540" t="s">
        <v>60</v>
      </c>
      <c r="AX286" s="666">
        <v>77.19</v>
      </c>
      <c r="AY286" s="666"/>
      <c r="AZ286" s="1181"/>
      <c r="BA286" s="7692">
        <v>45839</v>
      </c>
      <c r="BB286" s="7540" t="s">
        <v>60</v>
      </c>
      <c r="BC286" s="7692">
        <v>46022</v>
      </c>
      <c r="BD286" s="7540" t="s">
        <v>60</v>
      </c>
      <c r="BE286" s="666">
        <v>77.19</v>
      </c>
      <c r="BF286" s="666"/>
      <c r="BG286" s="1181"/>
      <c r="BH286" s="7692">
        <v>46023</v>
      </c>
      <c r="BI286" s="7540" t="s">
        <v>60</v>
      </c>
      <c r="BJ286" s="7692">
        <v>46203</v>
      </c>
      <c r="BK286" s="7540" t="s">
        <v>60</v>
      </c>
      <c r="BL286" s="666">
        <v>77.97</v>
      </c>
      <c r="BM286" s="666"/>
      <c r="BN286" s="1181"/>
      <c r="BO286" s="7692">
        <v>46204</v>
      </c>
      <c r="BP286" s="7540" t="s">
        <v>60</v>
      </c>
      <c r="BQ286" s="7692">
        <v>46387</v>
      </c>
      <c r="BR286" s="7540" t="s">
        <v>60</v>
      </c>
      <c r="BS286" s="666">
        <v>77.97</v>
      </c>
      <c r="BT286" s="666"/>
      <c r="BU286" s="1181"/>
      <c r="BV286" s="7692">
        <v>46388</v>
      </c>
      <c r="BW286" s="7540" t="s">
        <v>60</v>
      </c>
      <c r="BX286" s="7692">
        <v>46568</v>
      </c>
      <c r="BY286" s="7540" t="s">
        <v>60</v>
      </c>
      <c r="BZ286" s="666">
        <v>82.24</v>
      </c>
      <c r="CA286" s="666"/>
      <c r="CB286" s="1181"/>
      <c r="CC286" s="7692">
        <v>46569</v>
      </c>
      <c r="CD286" s="7540" t="s">
        <v>60</v>
      </c>
      <c r="CE286" s="7692">
        <v>46752</v>
      </c>
      <c r="CF286" s="7540" t="s">
        <v>60</v>
      </c>
      <c r="CG286" s="666">
        <v>82.24</v>
      </c>
      <c r="CH286" s="666"/>
      <c r="CI286" s="1181"/>
      <c r="CJ286" s="7692">
        <v>46753</v>
      </c>
      <c r="CK286" s="7540" t="s">
        <v>60</v>
      </c>
      <c r="CL286" s="7692">
        <v>46934</v>
      </c>
      <c r="CM286" s="7540" t="s">
        <v>60</v>
      </c>
      <c r="CN286" s="666">
        <v>84.74</v>
      </c>
      <c r="CO286" s="666"/>
      <c r="CP286" s="1181"/>
      <c r="CQ286" s="7692">
        <v>46935</v>
      </c>
      <c r="CR286" s="7540" t="s">
        <v>60</v>
      </c>
      <c r="CS286" s="7692">
        <v>47118</v>
      </c>
      <c r="CT286" s="7540" t="s">
        <v>60</v>
      </c>
      <c r="CU286" s="1358"/>
      <c r="CV28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86" s="1562" t="e">
        <f ca="1">STRCHECKDATE(V287:CU287)</f>
        <v>#NAME?</v>
      </c>
      <c r="CX286" s="1544"/>
      <c r="CY286" s="1544" t="str">
        <f t="shared" si="4"/>
        <v>Тариф, руб. за 1 куб. метр без НДС</v>
      </c>
      <c r="CZ286" s="1544"/>
      <c r="DA286" s="1544"/>
    </row>
    <row r="287" spans="1:105" s="1827" customFormat="1" ht="14.25" customHeight="1">
      <c r="A287" s="1284"/>
      <c r="B287" s="1284"/>
      <c r="C287" s="1284"/>
      <c r="D287" s="1284"/>
      <c r="E287" s="7690"/>
      <c r="F287" s="7690"/>
      <c r="G287" s="7690"/>
      <c r="H287" s="7690"/>
      <c r="I287" s="7710"/>
      <c r="J287" s="7710" t="str">
        <f>I280&amp;".1"</f>
        <v>16.1.1.1.1</v>
      </c>
      <c r="K287" s="7687"/>
      <c r="L287" s="1290"/>
      <c r="M287" s="1696"/>
      <c r="N287" s="1696"/>
      <c r="O287" s="1696"/>
      <c r="P287" s="7688"/>
      <c r="Q287" s="7688"/>
      <c r="R287" s="278"/>
      <c r="S287" s="1822"/>
      <c r="T287" s="214"/>
      <c r="U287" s="214"/>
      <c r="V287" s="246"/>
      <c r="W287" s="246"/>
      <c r="X287" s="250" t="str">
        <f>Y286&amp;"-"&amp;AA286</f>
        <v>-</v>
      </c>
      <c r="Y287" s="7693"/>
      <c r="Z287" s="7540"/>
      <c r="AA287" s="7693"/>
      <c r="AB287" s="7540"/>
      <c r="AC287" s="246"/>
      <c r="AD287" s="246"/>
      <c r="AE287" s="250" t="str">
        <f>AF286&amp;"-"&amp;AH286</f>
        <v>45292-45473</v>
      </c>
      <c r="AF287" s="7693"/>
      <c r="AG287" s="7540"/>
      <c r="AH287" s="7712"/>
      <c r="AI287" s="7540"/>
      <c r="AJ287" s="246"/>
      <c r="AK287" s="246"/>
      <c r="AL287" s="250" t="str">
        <f>AM286&amp;"-"&amp;AO286</f>
        <v>45474-45657</v>
      </c>
      <c r="AM287" s="7693"/>
      <c r="AN287" s="7540"/>
      <c r="AO287" s="7693"/>
      <c r="AP287" s="7540"/>
      <c r="AQ287" s="246"/>
      <c r="AR287" s="246"/>
      <c r="AS287" s="250" t="str">
        <f>AT286&amp;"-"&amp;AV286</f>
        <v>45658-45838</v>
      </c>
      <c r="AT287" s="7693"/>
      <c r="AU287" s="7540"/>
      <c r="AV287" s="7693"/>
      <c r="AW287" s="7540"/>
      <c r="AX287" s="246"/>
      <c r="AY287" s="246"/>
      <c r="AZ287" s="250" t="str">
        <f>BA286&amp;"-"&amp;BC286</f>
        <v>45839-46022</v>
      </c>
      <c r="BA287" s="7693"/>
      <c r="BB287" s="7540"/>
      <c r="BC287" s="7693"/>
      <c r="BD287" s="7540"/>
      <c r="BE287" s="246"/>
      <c r="BF287" s="246"/>
      <c r="BG287" s="250" t="str">
        <f>BH286&amp;"-"&amp;BJ286</f>
        <v>46023-46203</v>
      </c>
      <c r="BH287" s="7693"/>
      <c r="BI287" s="7540"/>
      <c r="BJ287" s="7693"/>
      <c r="BK287" s="7540"/>
      <c r="BL287" s="246"/>
      <c r="BM287" s="246"/>
      <c r="BN287" s="250" t="str">
        <f>BO286&amp;"-"&amp;BQ286</f>
        <v>46204-46387</v>
      </c>
      <c r="BO287" s="7693"/>
      <c r="BP287" s="7540"/>
      <c r="BQ287" s="7693"/>
      <c r="BR287" s="7540"/>
      <c r="BS287" s="246"/>
      <c r="BT287" s="246"/>
      <c r="BU287" s="250" t="str">
        <f>BV286&amp;"-"&amp;BX286</f>
        <v>46388-46568</v>
      </c>
      <c r="BV287" s="7693"/>
      <c r="BW287" s="7540"/>
      <c r="BX287" s="7693"/>
      <c r="BY287" s="7540"/>
      <c r="BZ287" s="246"/>
      <c r="CA287" s="246"/>
      <c r="CB287" s="250" t="str">
        <f>CC286&amp;"-"&amp;CE286</f>
        <v>46569-46752</v>
      </c>
      <c r="CC287" s="7693"/>
      <c r="CD287" s="7540"/>
      <c r="CE287" s="7693"/>
      <c r="CF287" s="7540"/>
      <c r="CG287" s="246"/>
      <c r="CH287" s="246"/>
      <c r="CI287" s="250" t="str">
        <f>CJ286&amp;"-"&amp;CL286</f>
        <v>46753-46934</v>
      </c>
      <c r="CJ287" s="7693"/>
      <c r="CK287" s="7540"/>
      <c r="CL287" s="7693"/>
      <c r="CM287" s="7540"/>
      <c r="CN287" s="246"/>
      <c r="CO287" s="246"/>
      <c r="CP287" s="250" t="str">
        <f>CQ286&amp;"-"&amp;CS286</f>
        <v>46935-47118</v>
      </c>
      <c r="CQ287" s="7693"/>
      <c r="CR287" s="7540"/>
      <c r="CS287" s="7693"/>
      <c r="CT287" s="7540"/>
      <c r="CU287" s="1359"/>
      <c r="CV287" s="7747"/>
      <c r="CW287" s="1562"/>
      <c r="CX287" s="1544"/>
      <c r="CY287" s="1544" t="str">
        <f t="shared" si="4"/>
        <v/>
      </c>
      <c r="CZ287" s="1544"/>
      <c r="DA287" s="1544"/>
    </row>
    <row r="288" spans="1:105" s="1827" customFormat="1" ht="21" customHeight="1">
      <c r="A288" s="1284"/>
      <c r="B288" s="1284"/>
      <c r="C288" s="1284"/>
      <c r="D288" s="1284"/>
      <c r="E288" s="7690"/>
      <c r="F288" s="7690"/>
      <c r="G288" s="7690"/>
      <c r="H288" s="7690"/>
      <c r="I288" s="7710"/>
      <c r="J288" s="7687" t="str">
        <f>I280&amp;".1"</f>
        <v>16.1.1.1.1</v>
      </c>
      <c r="K288" s="1284"/>
      <c r="L288" s="1290"/>
      <c r="M288" s="1696"/>
      <c r="N288" s="1696"/>
      <c r="O288" s="1696"/>
      <c r="P288" s="7688"/>
      <c r="Q288" s="7688"/>
      <c r="R288" s="277"/>
      <c r="S288" s="6888"/>
      <c r="T288" s="6889" t="s">
        <v>659</v>
      </c>
      <c r="U288" s="6890"/>
      <c r="V288" s="6891"/>
      <c r="W288" s="6892"/>
      <c r="X288" s="6893"/>
      <c r="Y288" s="6894"/>
      <c r="Z288" s="6895"/>
      <c r="AA288" s="6896"/>
      <c r="AB288" s="6897"/>
      <c r="AC288" s="6898"/>
      <c r="AD288" s="6899"/>
      <c r="AE288" s="6900"/>
      <c r="AF288" s="6901"/>
      <c r="AG288" s="6902"/>
      <c r="AH288" s="6903"/>
      <c r="AI288" s="6904"/>
      <c r="AJ288" s="6905"/>
      <c r="AK288" s="6906"/>
      <c r="AL288" s="6907"/>
      <c r="AM288" s="6908"/>
      <c r="AN288" s="6909"/>
      <c r="AO288" s="6910"/>
      <c r="AP288" s="6911"/>
      <c r="AQ288" s="6912"/>
      <c r="AR288" s="6913"/>
      <c r="AS288" s="6914"/>
      <c r="AT288" s="6915"/>
      <c r="AU288" s="6916"/>
      <c r="AV288" s="6917"/>
      <c r="AW288" s="6918"/>
      <c r="AX288" s="6919"/>
      <c r="AY288" s="6920"/>
      <c r="AZ288" s="6921"/>
      <c r="BA288" s="6922"/>
      <c r="BB288" s="6923"/>
      <c r="BC288" s="6924"/>
      <c r="BD288" s="6925"/>
      <c r="BE288" s="6926"/>
      <c r="BF288" s="6927"/>
      <c r="BG288" s="6928"/>
      <c r="BH288" s="6929"/>
      <c r="BI288" s="6930"/>
      <c r="BJ288" s="6931"/>
      <c r="BK288" s="6932"/>
      <c r="BL288" s="6933"/>
      <c r="BM288" s="6934"/>
      <c r="BN288" s="6935"/>
      <c r="BO288" s="6936"/>
      <c r="BP288" s="6937"/>
      <c r="BQ288" s="6938"/>
      <c r="BR288" s="6939"/>
      <c r="BS288" s="6940"/>
      <c r="BT288" s="6941"/>
      <c r="BU288" s="6942"/>
      <c r="BV288" s="6943"/>
      <c r="BW288" s="6944"/>
      <c r="BX288" s="6945"/>
      <c r="BY288" s="6946"/>
      <c r="BZ288" s="6947"/>
      <c r="CA288" s="6948"/>
      <c r="CB288" s="6949"/>
      <c r="CC288" s="6950"/>
      <c r="CD288" s="6951"/>
      <c r="CE288" s="6952"/>
      <c r="CF288" s="6953"/>
      <c r="CG288" s="6954"/>
      <c r="CH288" s="6955"/>
      <c r="CI288" s="6956"/>
      <c r="CJ288" s="6957"/>
      <c r="CK288" s="6958"/>
      <c r="CL288" s="6959"/>
      <c r="CM288" s="6960"/>
      <c r="CN288" s="6961"/>
      <c r="CO288" s="6962"/>
      <c r="CP288" s="6963"/>
      <c r="CQ288" s="6964"/>
      <c r="CR288" s="6965"/>
      <c r="CS288" s="6966"/>
      <c r="CT288" s="6967"/>
      <c r="CU288" s="6968"/>
      <c r="CV288" s="1182" t="s">
        <v>660</v>
      </c>
      <c r="CW288" s="1562"/>
      <c r="CX288" s="1544"/>
      <c r="CY288" s="1544" t="str">
        <f t="shared" si="4"/>
        <v>Добавить значение признака дифференциации</v>
      </c>
      <c r="CZ288" s="1544"/>
      <c r="DA288" s="1544"/>
    </row>
    <row r="289" spans="1:105" s="1827" customFormat="1" ht="21" customHeight="1">
      <c r="A289" s="1284"/>
      <c r="B289" s="1284"/>
      <c r="C289" s="1284"/>
      <c r="D289" s="1284"/>
      <c r="E289" s="7690" t="s">
        <v>148</v>
      </c>
      <c r="F289" s="7690"/>
      <c r="G289" s="7690"/>
      <c r="H289" s="7690"/>
      <c r="I289" s="7687"/>
      <c r="J289" s="1284"/>
      <c r="K289" s="1284"/>
      <c r="L289" s="1290"/>
      <c r="M289" s="1696"/>
      <c r="N289" s="1696"/>
      <c r="O289" s="1696"/>
      <c r="P289" s="7688"/>
      <c r="Q289" s="1816"/>
      <c r="R289" s="277"/>
      <c r="S289" s="6969"/>
      <c r="T289" s="6970" t="s">
        <v>588</v>
      </c>
      <c r="U289" s="6971"/>
      <c r="V289" s="6972"/>
      <c r="W289" s="6973"/>
      <c r="X289" s="6974"/>
      <c r="Y289" s="6975"/>
      <c r="Z289" s="6976"/>
      <c r="AA289" s="6977"/>
      <c r="AB289" s="6978"/>
      <c r="AC289" s="6979"/>
      <c r="AD289" s="6980"/>
      <c r="AE289" s="6981"/>
      <c r="AF289" s="6982"/>
      <c r="AG289" s="6983"/>
      <c r="AH289" s="6984"/>
      <c r="AI289" s="6985"/>
      <c r="AJ289" s="6986"/>
      <c r="AK289" s="6987"/>
      <c r="AL289" s="6988"/>
      <c r="AM289" s="6989"/>
      <c r="AN289" s="6990"/>
      <c r="AO289" s="6991"/>
      <c r="AP289" s="6992"/>
      <c r="AQ289" s="6993"/>
      <c r="AR289" s="6994"/>
      <c r="AS289" s="6995"/>
      <c r="AT289" s="6996"/>
      <c r="AU289" s="6997"/>
      <c r="AV289" s="6998"/>
      <c r="AW289" s="6999"/>
      <c r="AX289" s="7000"/>
      <c r="AY289" s="7001"/>
      <c r="AZ289" s="7002"/>
      <c r="BA289" s="7003"/>
      <c r="BB289" s="7004"/>
      <c r="BC289" s="7005"/>
      <c r="BD289" s="7006"/>
      <c r="BE289" s="7007"/>
      <c r="BF289" s="7008"/>
      <c r="BG289" s="7009"/>
      <c r="BH289" s="7010"/>
      <c r="BI289" s="7011"/>
      <c r="BJ289" s="7012"/>
      <c r="BK289" s="7013"/>
      <c r="BL289" s="7014"/>
      <c r="BM289" s="7015"/>
      <c r="BN289" s="7016"/>
      <c r="BO289" s="7017"/>
      <c r="BP289" s="7018"/>
      <c r="BQ289" s="7019"/>
      <c r="BR289" s="7020"/>
      <c r="BS289" s="7021"/>
      <c r="BT289" s="7022"/>
      <c r="BU289" s="7023"/>
      <c r="BV289" s="7024"/>
      <c r="BW289" s="7025"/>
      <c r="BX289" s="7026"/>
      <c r="BY289" s="7027"/>
      <c r="BZ289" s="7028"/>
      <c r="CA289" s="7029"/>
      <c r="CB289" s="7030"/>
      <c r="CC289" s="7031"/>
      <c r="CD289" s="7032"/>
      <c r="CE289" s="7033"/>
      <c r="CF289" s="7034"/>
      <c r="CG289" s="7035"/>
      <c r="CH289" s="7036"/>
      <c r="CI289" s="7037"/>
      <c r="CJ289" s="7038"/>
      <c r="CK289" s="7039"/>
      <c r="CL289" s="7040"/>
      <c r="CM289" s="7041"/>
      <c r="CN289" s="7042"/>
      <c r="CO289" s="7043"/>
      <c r="CP289" s="7044"/>
      <c r="CQ289" s="7045"/>
      <c r="CR289" s="7046"/>
      <c r="CS289" s="7047"/>
      <c r="CT289" s="7048"/>
      <c r="CU289" s="7049"/>
      <c r="CV289" s="7050"/>
      <c r="CW289" s="1562"/>
      <c r="CX289" s="1544"/>
      <c r="CY289" s="1544" t="str">
        <f t="shared" si="4"/>
        <v>Добавить группу потребителей</v>
      </c>
      <c r="CZ289" s="1544"/>
      <c r="DA289" s="1544"/>
    </row>
    <row r="290" spans="1:105" s="1827" customFormat="1" ht="14.25" customHeight="1">
      <c r="A290" s="1284"/>
      <c r="B290" s="1284"/>
      <c r="C290" s="1284"/>
      <c r="D290" s="1284"/>
      <c r="E290" s="7690" t="s">
        <v>148</v>
      </c>
      <c r="F290" s="7690"/>
      <c r="G290" s="7690"/>
      <c r="H290" s="7689"/>
      <c r="I290" s="1284"/>
      <c r="J290" s="1284"/>
      <c r="K290" s="1284"/>
      <c r="L290" s="1290"/>
      <c r="M290" s="1286"/>
      <c r="N290" s="1286"/>
      <c r="O290" s="1287"/>
      <c r="P290" s="1742"/>
      <c r="Q290" s="299"/>
      <c r="R290" s="276"/>
      <c r="S290" s="7051"/>
      <c r="T290" s="7052" t="s">
        <v>661</v>
      </c>
      <c r="U290" s="7053"/>
      <c r="V290" s="7054"/>
      <c r="W290" s="7055"/>
      <c r="X290" s="7056"/>
      <c r="Y290" s="7057"/>
      <c r="Z290" s="7058"/>
      <c r="AA290" s="7059"/>
      <c r="AB290" s="7060"/>
      <c r="AC290" s="7061"/>
      <c r="AD290" s="7062"/>
      <c r="AE290" s="7063"/>
      <c r="AF290" s="7064"/>
      <c r="AG290" s="7065"/>
      <c r="AH290" s="7066"/>
      <c r="AI290" s="7067"/>
      <c r="AJ290" s="7068"/>
      <c r="AK290" s="7069"/>
      <c r="AL290" s="7070"/>
      <c r="AM290" s="7071"/>
      <c r="AN290" s="7072"/>
      <c r="AO290" s="7073"/>
      <c r="AP290" s="7074"/>
      <c r="AQ290" s="7075"/>
      <c r="AR290" s="7076"/>
      <c r="AS290" s="7077"/>
      <c r="AT290" s="7078"/>
      <c r="AU290" s="7079"/>
      <c r="AV290" s="7080"/>
      <c r="AW290" s="7081"/>
      <c r="AX290" s="7082"/>
      <c r="AY290" s="7083"/>
      <c r="AZ290" s="7084"/>
      <c r="BA290" s="7085"/>
      <c r="BB290" s="7086"/>
      <c r="BC290" s="7087"/>
      <c r="BD290" s="7088"/>
      <c r="BE290" s="7089"/>
      <c r="BF290" s="7090"/>
      <c r="BG290" s="7091"/>
      <c r="BH290" s="7092"/>
      <c r="BI290" s="7093"/>
      <c r="BJ290" s="7094"/>
      <c r="BK290" s="7095"/>
      <c r="BL290" s="7096"/>
      <c r="BM290" s="7097"/>
      <c r="BN290" s="7098"/>
      <c r="BO290" s="7099"/>
      <c r="BP290" s="7100"/>
      <c r="BQ290" s="7101"/>
      <c r="BR290" s="7102"/>
      <c r="BS290" s="7103"/>
      <c r="BT290" s="7104"/>
      <c r="BU290" s="7105"/>
      <c r="BV290" s="7106"/>
      <c r="BW290" s="7107"/>
      <c r="BX290" s="7108"/>
      <c r="BY290" s="7109"/>
      <c r="BZ290" s="7110"/>
      <c r="CA290" s="7111"/>
      <c r="CB290" s="7112"/>
      <c r="CC290" s="7113"/>
      <c r="CD290" s="7114"/>
      <c r="CE290" s="7115"/>
      <c r="CF290" s="7116"/>
      <c r="CG290" s="7117"/>
      <c r="CH290" s="7118"/>
      <c r="CI290" s="7119"/>
      <c r="CJ290" s="7120"/>
      <c r="CK290" s="7121"/>
      <c r="CL290" s="7122"/>
      <c r="CM290" s="7123"/>
      <c r="CN290" s="7124"/>
      <c r="CO290" s="7125"/>
      <c r="CP290" s="7126"/>
      <c r="CQ290" s="7127"/>
      <c r="CR290" s="7128"/>
      <c r="CS290" s="7129"/>
      <c r="CT290" s="7130"/>
      <c r="CU290" s="7131"/>
      <c r="CV290" s="7132"/>
      <c r="CW290" s="1562"/>
      <c r="CX290" s="1544"/>
      <c r="CY290" s="1544" t="str">
        <f t="shared" si="4"/>
        <v>Добавить наименование признака дифференциации</v>
      </c>
      <c r="CZ290" s="1544"/>
      <c r="DA290" s="1544"/>
    </row>
    <row r="291" spans="1:105" s="541" customFormat="1" ht="14.25" customHeight="1">
      <c r="A291" s="1265"/>
      <c r="B291" s="1265"/>
      <c r="C291" s="1265"/>
      <c r="D291" s="1265"/>
      <c r="E291" s="7690" t="s">
        <v>148</v>
      </c>
      <c r="F291" s="7689"/>
      <c r="G291" s="1265"/>
      <c r="H291" s="1265"/>
      <c r="I291" s="1265"/>
      <c r="J291" s="1265"/>
      <c r="K291" s="1265"/>
      <c r="L291" s="1466"/>
      <c r="M291" s="1244"/>
      <c r="N291" s="1244"/>
      <c r="O291" s="1562"/>
      <c r="P291" s="1239"/>
      <c r="Q291" s="1266"/>
      <c r="R291" s="1239"/>
      <c r="S291" s="1245"/>
      <c r="T291" s="1248" t="s">
        <v>325</v>
      </c>
      <c r="U291" s="1247"/>
      <c r="V291" s="1247"/>
      <c r="W291" s="1247"/>
      <c r="X291" s="1247"/>
      <c r="Y291" s="1247"/>
      <c r="Z291" s="1247"/>
      <c r="AA291" s="1247"/>
      <c r="AB291" s="1247"/>
      <c r="AC291" s="1247"/>
      <c r="AD291" s="1247"/>
      <c r="AE291" s="1247"/>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c r="AY291" s="1247"/>
      <c r="AZ291" s="1247"/>
      <c r="BA291" s="1247"/>
      <c r="BB291" s="1247"/>
      <c r="BC291" s="1247"/>
      <c r="BD291" s="1247"/>
      <c r="BE291" s="1247"/>
      <c r="BF291" s="1247"/>
      <c r="BG291" s="1247"/>
      <c r="BH291" s="1247"/>
      <c r="BI291" s="1247"/>
      <c r="BJ291" s="1247"/>
      <c r="BK291" s="1247"/>
      <c r="BL291" s="1247"/>
      <c r="BM291" s="1247"/>
      <c r="BN291" s="1247"/>
      <c r="BO291" s="1247"/>
      <c r="BP291" s="1247"/>
      <c r="BQ291" s="1247"/>
      <c r="BR291" s="1247"/>
      <c r="BS291" s="1247"/>
      <c r="BT291" s="1247"/>
      <c r="BU291" s="1247"/>
      <c r="BV291" s="1247"/>
      <c r="BW291" s="1247"/>
      <c r="BX291" s="1247"/>
      <c r="BY291" s="1247"/>
      <c r="BZ291" s="1247"/>
      <c r="CA291" s="1247"/>
      <c r="CB291" s="1247"/>
      <c r="CC291" s="1247"/>
      <c r="CD291" s="1247"/>
      <c r="CE291" s="1247"/>
      <c r="CF291" s="1247"/>
      <c r="CG291" s="1247"/>
      <c r="CH291" s="1247"/>
      <c r="CI291" s="1247"/>
      <c r="CJ291" s="1247"/>
      <c r="CK291" s="1247"/>
      <c r="CL291" s="1247"/>
      <c r="CM291" s="1247"/>
      <c r="CN291" s="1247"/>
      <c r="CO291" s="1247"/>
      <c r="CP291" s="1247"/>
      <c r="CQ291" s="1247"/>
      <c r="CR291" s="1247"/>
      <c r="CS291" s="1247"/>
      <c r="CT291" s="1247"/>
      <c r="CU291" s="1247"/>
      <c r="CV291" s="1247"/>
      <c r="CW291" s="1562"/>
      <c r="CX291" s="1544"/>
      <c r="CY291" s="1544" t="str">
        <f t="shared" si="4"/>
        <v>Добавить централизованную систему для дифференциации</v>
      </c>
      <c r="CZ291" s="1544"/>
      <c r="DA291" s="1544"/>
    </row>
    <row r="292" spans="1:105" s="541" customFormat="1" ht="14.25" customHeight="1">
      <c r="A292" s="1265"/>
      <c r="B292" s="1265"/>
      <c r="C292" s="1265"/>
      <c r="D292" s="1265"/>
      <c r="E292" s="7689" t="s">
        <v>148</v>
      </c>
      <c r="F292" s="1265"/>
      <c r="G292" s="1265"/>
      <c r="H292" s="1265"/>
      <c r="I292" s="1265"/>
      <c r="J292" s="1265"/>
      <c r="K292" s="1265"/>
      <c r="L292" s="1466"/>
      <c r="M292" s="1244"/>
      <c r="N292" s="1244"/>
      <c r="O292" s="1562"/>
      <c r="P292" s="1239"/>
      <c r="Q292" s="1266"/>
      <c r="R292" s="1239"/>
      <c r="S292" s="1245"/>
      <c r="T292" s="1248" t="s">
        <v>326</v>
      </c>
      <c r="U292" s="1247"/>
      <c r="V292" s="1247"/>
      <c r="W292" s="1247"/>
      <c r="X292" s="1247"/>
      <c r="Y292" s="1247"/>
      <c r="Z292" s="1247"/>
      <c r="AA292" s="1247"/>
      <c r="AB292" s="1247"/>
      <c r="AC292" s="1247"/>
      <c r="AD292" s="1247"/>
      <c r="AE292" s="1247"/>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c r="AY292" s="1247"/>
      <c r="AZ292" s="1247"/>
      <c r="BA292" s="1247"/>
      <c r="BB292" s="1247"/>
      <c r="BC292" s="1247"/>
      <c r="BD292" s="1247"/>
      <c r="BE292" s="1247"/>
      <c r="BF292" s="1247"/>
      <c r="BG292" s="1247"/>
      <c r="BH292" s="1247"/>
      <c r="BI292" s="1247"/>
      <c r="BJ292" s="1247"/>
      <c r="BK292" s="1247"/>
      <c r="BL292" s="1247"/>
      <c r="BM292" s="1247"/>
      <c r="BN292" s="1247"/>
      <c r="BO292" s="1247"/>
      <c r="BP292" s="1247"/>
      <c r="BQ292" s="1247"/>
      <c r="BR292" s="1247"/>
      <c r="BS292" s="1247"/>
      <c r="BT292" s="1247"/>
      <c r="BU292" s="1247"/>
      <c r="BV292" s="1247"/>
      <c r="BW292" s="1247"/>
      <c r="BX292" s="1247"/>
      <c r="BY292" s="1247"/>
      <c r="BZ292" s="1247"/>
      <c r="CA292" s="1247"/>
      <c r="CB292" s="1247"/>
      <c r="CC292" s="1247"/>
      <c r="CD292" s="1247"/>
      <c r="CE292" s="1247"/>
      <c r="CF292" s="1247"/>
      <c r="CG292" s="1247"/>
      <c r="CH292" s="1247"/>
      <c r="CI292" s="1247"/>
      <c r="CJ292" s="1247"/>
      <c r="CK292" s="1247"/>
      <c r="CL292" s="1247"/>
      <c r="CM292" s="1247"/>
      <c r="CN292" s="1247"/>
      <c r="CO292" s="1247"/>
      <c r="CP292" s="1247"/>
      <c r="CQ292" s="1247"/>
      <c r="CR292" s="1247"/>
      <c r="CS292" s="1247"/>
      <c r="CT292" s="1247"/>
      <c r="CU292" s="1247"/>
      <c r="CV292" s="1247"/>
      <c r="CW292" s="1562"/>
      <c r="CX292" s="1544"/>
      <c r="CY292" s="1544" t="str">
        <f t="shared" si="4"/>
        <v>Добавить территорию для дифференциации</v>
      </c>
      <c r="CZ292" s="1544"/>
      <c r="DA292" s="1544"/>
    </row>
    <row r="293" spans="1:105" s="1562" customFormat="1" ht="0" hidden="1" customHeight="1">
      <c r="A293" s="1237"/>
      <c r="B293" s="1237"/>
      <c r="C293" s="1237"/>
      <c r="D293" s="1237"/>
      <c r="E293" s="1265"/>
      <c r="F293" s="1237"/>
      <c r="G293" s="1237"/>
      <c r="H293" s="1237"/>
      <c r="I293" s="1237"/>
      <c r="J293" s="1237"/>
      <c r="K293" s="1237"/>
      <c r="L293" s="1346"/>
      <c r="M293" s="1244"/>
      <c r="N293" s="1244"/>
      <c r="P293" s="1239"/>
      <c r="Q293" s="1240"/>
      <c r="R293" s="1239"/>
      <c r="S293" s="1245"/>
      <c r="T293" s="1248" t="s">
        <v>402</v>
      </c>
      <c r="U293" s="1247"/>
      <c r="V293" s="1247"/>
      <c r="W293" s="1247"/>
      <c r="X293" s="1247"/>
      <c r="Y293" s="1247"/>
      <c r="Z293" s="1247"/>
      <c r="AA293" s="1247"/>
      <c r="AB293" s="1247"/>
      <c r="AC293" s="1247"/>
      <c r="AD293" s="1247"/>
      <c r="AE293" s="1247"/>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c r="AY293" s="1247"/>
      <c r="AZ293" s="1247"/>
      <c r="BA293" s="1247"/>
      <c r="BB293" s="1247"/>
      <c r="BC293" s="1247"/>
      <c r="BD293" s="1247"/>
      <c r="BE293" s="1247"/>
      <c r="BF293" s="1247"/>
      <c r="BG293" s="1247"/>
      <c r="BH293" s="1247"/>
      <c r="BI293" s="1247"/>
      <c r="BJ293" s="1247"/>
      <c r="BK293" s="1247"/>
      <c r="BL293" s="1247"/>
      <c r="BM293" s="1247"/>
      <c r="BN293" s="1247"/>
      <c r="BO293" s="1247"/>
      <c r="BP293" s="1247"/>
      <c r="BQ293" s="1247"/>
      <c r="BR293" s="1247"/>
      <c r="BS293" s="1247"/>
      <c r="BT293" s="1247"/>
      <c r="BU293" s="1247"/>
      <c r="BV293" s="1247"/>
      <c r="BW293" s="1247"/>
      <c r="BX293" s="1247"/>
      <c r="BY293" s="1247"/>
      <c r="BZ293" s="1247"/>
      <c r="CA293" s="1247"/>
      <c r="CB293" s="1247"/>
      <c r="CC293" s="1247"/>
      <c r="CD293" s="1247"/>
      <c r="CE293" s="1247"/>
      <c r="CF293" s="1247"/>
      <c r="CG293" s="1247"/>
      <c r="CH293" s="1247"/>
      <c r="CI293" s="1247"/>
      <c r="CJ293" s="1247"/>
      <c r="CK293" s="1247"/>
      <c r="CL293" s="1247"/>
      <c r="CM293" s="1247"/>
      <c r="CN293" s="1247"/>
      <c r="CO293" s="1247"/>
      <c r="CP293" s="1247"/>
      <c r="CQ293" s="1247"/>
      <c r="CR293" s="1247"/>
      <c r="CS293" s="1247"/>
      <c r="CT293" s="1247"/>
      <c r="CU293" s="1247"/>
      <c r="CV293" s="1247"/>
      <c r="CX293" s="703"/>
      <c r="CY293" s="703" t="str">
        <f t="shared" si="4"/>
        <v>Добавить наименование тарифа</v>
      </c>
      <c r="CZ293" s="703"/>
      <c r="DA293" s="703"/>
    </row>
    <row r="294" spans="1:105" ht="11.25" customHeight="1">
      <c r="M294" s="1065"/>
      <c r="N294" s="1065"/>
      <c r="O294" s="460"/>
      <c r="P294" s="1060"/>
      <c r="Q294" s="1060"/>
      <c r="R294" s="1060"/>
      <c r="S294" s="1060"/>
      <c r="AJ294" s="1555"/>
      <c r="AK294" s="1555"/>
      <c r="AL294" s="1555"/>
      <c r="AM294" s="1555"/>
      <c r="AN294" s="1555"/>
      <c r="AO294" s="1555"/>
      <c r="AP294" s="1555"/>
      <c r="AQ294" s="1555"/>
      <c r="AR294" s="1555"/>
      <c r="AS294" s="1555"/>
      <c r="AT294" s="1555"/>
      <c r="AU294" s="1555"/>
      <c r="AV294" s="1555"/>
      <c r="AW294" s="1555"/>
      <c r="AX294" s="1555"/>
      <c r="AY294" s="1555"/>
      <c r="AZ294" s="1555"/>
      <c r="BA294" s="1555"/>
      <c r="BB294" s="1555"/>
      <c r="BC294" s="1555"/>
      <c r="BD294" s="1555"/>
      <c r="BE294" s="1555"/>
      <c r="BF294" s="1555"/>
      <c r="BG294" s="1555"/>
      <c r="BH294" s="1555"/>
      <c r="BI294" s="1555"/>
      <c r="BJ294" s="1555"/>
      <c r="BK294" s="1555"/>
      <c r="BL294" s="1555"/>
      <c r="BM294" s="1555"/>
      <c r="BN294" s="1555"/>
      <c r="BO294" s="1555"/>
      <c r="BP294" s="1555"/>
      <c r="BQ294" s="1555"/>
      <c r="BR294" s="1555"/>
      <c r="BS294" s="1555"/>
      <c r="BT294" s="1555"/>
      <c r="BU294" s="1555"/>
      <c r="BV294" s="1555"/>
      <c r="BW294" s="1555"/>
      <c r="BX294" s="1555"/>
      <c r="BY294" s="1555"/>
      <c r="BZ294" s="1555"/>
      <c r="CA294" s="1555"/>
      <c r="CB294" s="1555"/>
      <c r="CC294" s="1555"/>
      <c r="CD294" s="1555"/>
      <c r="CE294" s="1555"/>
      <c r="CF294" s="1555"/>
      <c r="CG294" s="1555"/>
      <c r="CH294" s="1555"/>
      <c r="CI294" s="1555"/>
      <c r="CJ294" s="1555"/>
      <c r="CK294" s="1555"/>
      <c r="CL294" s="1555"/>
      <c r="CM294" s="1555"/>
      <c r="CN294" s="1555"/>
      <c r="CO294" s="1555"/>
      <c r="CP294" s="1555"/>
      <c r="CQ294" s="1555"/>
      <c r="CR294" s="1555"/>
      <c r="CS294" s="1555"/>
      <c r="CT294" s="1555"/>
      <c r="CW294" s="1060"/>
      <c r="CX294" s="1060"/>
      <c r="CY294" s="1060"/>
      <c r="CZ294" s="1060"/>
      <c r="DA294" s="1060"/>
    </row>
    <row r="295" spans="1:105" ht="14.25" customHeight="1">
      <c r="O295" s="460"/>
      <c r="S295" s="1169"/>
      <c r="T295" s="7709"/>
      <c r="U295" s="7709"/>
      <c r="V295" s="7709"/>
      <c r="W295" s="7709"/>
      <c r="X295" s="7709"/>
      <c r="Y295" s="7709"/>
      <c r="Z295" s="7709"/>
      <c r="AA295" s="7709"/>
      <c r="AB295" s="7709"/>
      <c r="AC295" s="7709"/>
      <c r="AD295" s="7709"/>
      <c r="AE295" s="7709"/>
      <c r="AF295" s="7709"/>
      <c r="AG295" s="7709"/>
      <c r="AH295" s="7709"/>
      <c r="AI295" s="7709"/>
      <c r="AJ295" s="7709"/>
      <c r="AK295" s="7709"/>
      <c r="AL295" s="7709"/>
      <c r="AM295" s="7709"/>
      <c r="AN295" s="7709"/>
      <c r="AO295" s="7709"/>
      <c r="AP295" s="7709"/>
      <c r="AQ295" s="7709"/>
      <c r="AR295" s="7709"/>
      <c r="AS295" s="7709"/>
      <c r="AT295" s="7709"/>
      <c r="AU295" s="7709"/>
      <c r="AV295" s="7709"/>
      <c r="AW295" s="7709"/>
      <c r="AX295" s="7709"/>
      <c r="AY295" s="7709"/>
      <c r="AZ295" s="7709"/>
      <c r="BA295" s="7709"/>
      <c r="BB295" s="7709"/>
      <c r="BC295" s="7709"/>
      <c r="BD295" s="7709"/>
      <c r="BE295" s="7709"/>
      <c r="BF295" s="7709"/>
      <c r="BG295" s="7709"/>
      <c r="BH295" s="7709"/>
      <c r="BI295" s="7709"/>
      <c r="BJ295" s="7709"/>
      <c r="BK295" s="7709"/>
      <c r="BL295" s="7709"/>
      <c r="BM295" s="7709"/>
      <c r="BN295" s="7709"/>
      <c r="BO295" s="7709"/>
      <c r="BP295" s="7709"/>
      <c r="BQ295" s="7709"/>
      <c r="BR295" s="7709"/>
      <c r="BS295" s="7709"/>
      <c r="BT295" s="7709"/>
      <c r="BU295" s="7709"/>
      <c r="BV295" s="7709"/>
      <c r="BW295" s="7709"/>
      <c r="BX295" s="7709"/>
      <c r="BY295" s="7709"/>
      <c r="BZ295" s="7709"/>
      <c r="CA295" s="7709"/>
      <c r="CB295" s="7709"/>
      <c r="CC295" s="7709"/>
      <c r="CD295" s="7709"/>
      <c r="CE295" s="7709"/>
      <c r="CF295" s="7709"/>
      <c r="CG295" s="7709"/>
      <c r="CH295" s="7709"/>
      <c r="CI295" s="7709"/>
      <c r="CJ295" s="7709"/>
      <c r="CK295" s="7709"/>
      <c r="CL295" s="7709"/>
      <c r="CM295" s="7709"/>
      <c r="CN295" s="7709"/>
      <c r="CO295" s="7709"/>
      <c r="CP295" s="7709"/>
      <c r="CQ295" s="7709"/>
      <c r="CR295" s="7709"/>
      <c r="CS295" s="7709"/>
      <c r="CT295" s="7709"/>
      <c r="CU295" s="7709"/>
      <c r="CV295" s="7709"/>
    </row>
    <row r="296" spans="1:105" ht="14.25" customHeight="1">
      <c r="O296" s="460"/>
      <c r="AJ296" s="1555"/>
      <c r="AK296" s="1555"/>
      <c r="AL296" s="1555"/>
      <c r="AM296" s="1555"/>
      <c r="AN296" s="1555"/>
      <c r="AO296" s="1555"/>
      <c r="AP296" s="1555"/>
      <c r="AQ296" s="1555"/>
      <c r="AR296" s="1555"/>
      <c r="AS296" s="1555"/>
      <c r="AT296" s="1555"/>
      <c r="AU296" s="1555"/>
      <c r="AV296" s="1555"/>
      <c r="AW296" s="1555"/>
      <c r="AX296" s="1555"/>
      <c r="AY296" s="1555"/>
      <c r="AZ296" s="1555"/>
      <c r="BA296" s="1555"/>
      <c r="BB296" s="1555"/>
      <c r="BC296" s="1555"/>
      <c r="BD296" s="1555"/>
      <c r="BE296" s="1555"/>
      <c r="BF296" s="1555"/>
      <c r="BG296" s="1555"/>
      <c r="BH296" s="1555"/>
      <c r="BI296" s="1555"/>
      <c r="BJ296" s="1555"/>
      <c r="BK296" s="1555"/>
      <c r="BL296" s="1555"/>
      <c r="BM296" s="1555"/>
      <c r="BN296" s="1555"/>
      <c r="BO296" s="1555"/>
      <c r="BP296" s="1555"/>
      <c r="BQ296" s="1555"/>
      <c r="BR296" s="1555"/>
      <c r="BS296" s="1555"/>
      <c r="BT296" s="1555"/>
      <c r="BU296" s="1555"/>
      <c r="BV296" s="1555"/>
      <c r="BW296" s="1555"/>
      <c r="BX296" s="1555"/>
      <c r="BY296" s="1555"/>
      <c r="BZ296" s="1555"/>
      <c r="CA296" s="1555"/>
      <c r="CB296" s="1555"/>
      <c r="CC296" s="1555"/>
      <c r="CD296" s="1555"/>
      <c r="CE296" s="1555"/>
      <c r="CF296" s="1555"/>
      <c r="CG296" s="1555"/>
      <c r="CH296" s="1555"/>
      <c r="CI296" s="1555"/>
      <c r="CJ296" s="1555"/>
      <c r="CK296" s="1555"/>
      <c r="CL296" s="1555"/>
      <c r="CM296" s="1555"/>
      <c r="CN296" s="1555"/>
      <c r="CO296" s="1555"/>
      <c r="CP296" s="1555"/>
      <c r="CQ296" s="1555"/>
      <c r="CR296" s="1555"/>
      <c r="CS296" s="1555"/>
      <c r="CT296" s="1555"/>
    </row>
    <row r="297" spans="1:105" ht="14.25" customHeight="1">
      <c r="O297" s="460"/>
      <c r="S297" s="1169"/>
      <c r="T297" s="7709"/>
      <c r="U297" s="7709"/>
      <c r="V297" s="7709"/>
      <c r="W297" s="7709"/>
      <c r="X297" s="7709"/>
      <c r="Y297" s="7709"/>
      <c r="Z297" s="7709"/>
      <c r="AA297" s="7709"/>
      <c r="AB297" s="7709"/>
      <c r="AC297" s="7709"/>
      <c r="AD297" s="7709"/>
      <c r="AE297" s="7709"/>
      <c r="AF297" s="7709"/>
      <c r="AG297" s="7709"/>
      <c r="AH297" s="7709"/>
      <c r="AI297" s="7709"/>
      <c r="AJ297" s="7709"/>
      <c r="AK297" s="7709"/>
      <c r="AL297" s="7709"/>
      <c r="AM297" s="7709"/>
      <c r="AN297" s="7709"/>
      <c r="AO297" s="7709"/>
      <c r="AP297" s="7709"/>
      <c r="AQ297" s="7709"/>
      <c r="AR297" s="7709"/>
      <c r="AS297" s="7709"/>
      <c r="AT297" s="7709"/>
      <c r="AU297" s="7709"/>
      <c r="AV297" s="7709"/>
      <c r="AW297" s="7709"/>
      <c r="AX297" s="7709"/>
      <c r="AY297" s="7709"/>
      <c r="AZ297" s="7709"/>
      <c r="BA297" s="7709"/>
      <c r="BB297" s="7709"/>
      <c r="BC297" s="7709"/>
      <c r="BD297" s="7709"/>
      <c r="BE297" s="7709"/>
      <c r="BF297" s="7709"/>
      <c r="BG297" s="7709"/>
      <c r="BH297" s="7709"/>
      <c r="BI297" s="7709"/>
      <c r="BJ297" s="7709"/>
      <c r="BK297" s="7709"/>
      <c r="BL297" s="7709"/>
      <c r="BM297" s="7709"/>
      <c r="BN297" s="7709"/>
      <c r="BO297" s="7709"/>
      <c r="BP297" s="7709"/>
      <c r="BQ297" s="7709"/>
      <c r="BR297" s="7709"/>
      <c r="BS297" s="7709"/>
      <c r="BT297" s="7709"/>
      <c r="BU297" s="7709"/>
      <c r="BV297" s="7709"/>
      <c r="BW297" s="7709"/>
      <c r="BX297" s="7709"/>
      <c r="BY297" s="7709"/>
      <c r="BZ297" s="7709"/>
      <c r="CA297" s="7709"/>
      <c r="CB297" s="7709"/>
      <c r="CC297" s="7709"/>
      <c r="CD297" s="7709"/>
      <c r="CE297" s="7709"/>
      <c r="CF297" s="7709"/>
      <c r="CG297" s="7709"/>
      <c r="CH297" s="7709"/>
      <c r="CI297" s="7709"/>
      <c r="CJ297" s="7709"/>
      <c r="CK297" s="7709"/>
      <c r="CL297" s="7709"/>
      <c r="CM297" s="7709"/>
      <c r="CN297" s="7709"/>
      <c r="CO297" s="7709"/>
      <c r="CP297" s="7709"/>
      <c r="CQ297" s="7709"/>
      <c r="CR297" s="7709"/>
      <c r="CS297" s="7709"/>
      <c r="CT297" s="7709"/>
      <c r="CU297" s="7709"/>
      <c r="CV297" s="7709"/>
    </row>
  </sheetData>
  <sheetProtection formatColumns="0" formatRows="0" insertRows="0" deleteColumns="0" deleteRows="0" sort="0" autoFilter="0"/>
  <mergeCells count="2000">
    <mergeCell ref="CQ286:CQ287"/>
    <mergeCell ref="CR286:CR287"/>
    <mergeCell ref="CS286:CS287"/>
    <mergeCell ref="CT286:CT287"/>
    <mergeCell ref="BK286:BK287"/>
    <mergeCell ref="BO286:BO287"/>
    <mergeCell ref="BP286:BP287"/>
    <mergeCell ref="BQ286:BQ287"/>
    <mergeCell ref="BR286:BR287"/>
    <mergeCell ref="BV286:BV287"/>
    <mergeCell ref="BW286:BW287"/>
    <mergeCell ref="BX286:BX287"/>
    <mergeCell ref="BY286:BY287"/>
    <mergeCell ref="CC286:CC287"/>
    <mergeCell ref="CD286:CD287"/>
    <mergeCell ref="CE286:CE287"/>
    <mergeCell ref="CF286:CF287"/>
    <mergeCell ref="CJ286:CJ287"/>
    <mergeCell ref="CK286:CK287"/>
    <mergeCell ref="CL286:CL287"/>
    <mergeCell ref="CM286:CM287"/>
    <mergeCell ref="CR270:CR271"/>
    <mergeCell ref="CS270:CS271"/>
    <mergeCell ref="CT270:CT271"/>
    <mergeCell ref="CV286:CV287"/>
    <mergeCell ref="AG286:AG287"/>
    <mergeCell ref="AH286:AH287"/>
    <mergeCell ref="AF286:AF287"/>
    <mergeCell ref="AI286:AI287"/>
    <mergeCell ref="K286:K287"/>
    <mergeCell ref="Y286:Y287"/>
    <mergeCell ref="Z286:Z287"/>
    <mergeCell ref="AA286:AA287"/>
    <mergeCell ref="AB286:AB287"/>
    <mergeCell ref="J285:J288"/>
    <mergeCell ref="Q285:Q288"/>
    <mergeCell ref="V285:AB285"/>
    <mergeCell ref="AC285:CU285"/>
    <mergeCell ref="AM286:AM287"/>
    <mergeCell ref="AN286:AN287"/>
    <mergeCell ref="AO286:AO287"/>
    <mergeCell ref="AP286:AP287"/>
    <mergeCell ref="AT286:AT287"/>
    <mergeCell ref="AU286:AU287"/>
    <mergeCell ref="AV286:AV287"/>
    <mergeCell ref="AW286:AW287"/>
    <mergeCell ref="BA286:BA287"/>
    <mergeCell ref="BB286:BB287"/>
    <mergeCell ref="BC286:BC287"/>
    <mergeCell ref="BD286:BD287"/>
    <mergeCell ref="BH286:BH287"/>
    <mergeCell ref="BI286:BI287"/>
    <mergeCell ref="BJ286:BJ287"/>
    <mergeCell ref="BO270:BO271"/>
    <mergeCell ref="BP270:BP271"/>
    <mergeCell ref="BQ270:BQ271"/>
    <mergeCell ref="BR270:BR271"/>
    <mergeCell ref="BV270:BV271"/>
    <mergeCell ref="BW270:BW271"/>
    <mergeCell ref="BX270:BX271"/>
    <mergeCell ref="BY270:BY271"/>
    <mergeCell ref="CC270:CC271"/>
    <mergeCell ref="CD270:CD271"/>
    <mergeCell ref="CE270:CE271"/>
    <mergeCell ref="CF270:CF271"/>
    <mergeCell ref="CJ270:CJ271"/>
    <mergeCell ref="CK270:CK271"/>
    <mergeCell ref="CL270:CL271"/>
    <mergeCell ref="CM270:CM271"/>
    <mergeCell ref="CQ270:CQ271"/>
    <mergeCell ref="CS254:CS255"/>
    <mergeCell ref="CT254:CT255"/>
    <mergeCell ref="CV270:CV271"/>
    <mergeCell ref="AG270:AG271"/>
    <mergeCell ref="AH270:AH271"/>
    <mergeCell ref="AF270:AF271"/>
    <mergeCell ref="AI270:AI271"/>
    <mergeCell ref="K270:K271"/>
    <mergeCell ref="Y270:Y271"/>
    <mergeCell ref="Z270:Z271"/>
    <mergeCell ref="AA270:AA271"/>
    <mergeCell ref="AB270:AB271"/>
    <mergeCell ref="J269:J272"/>
    <mergeCell ref="Q269:Q272"/>
    <mergeCell ref="V269:AB269"/>
    <mergeCell ref="AC269:CU269"/>
    <mergeCell ref="AM270:AM271"/>
    <mergeCell ref="AN270:AN271"/>
    <mergeCell ref="AO270:AO271"/>
    <mergeCell ref="AP270:AP271"/>
    <mergeCell ref="AT270:AT271"/>
    <mergeCell ref="AU270:AU271"/>
    <mergeCell ref="AV270:AV271"/>
    <mergeCell ref="AW270:AW271"/>
    <mergeCell ref="BA270:BA271"/>
    <mergeCell ref="BB270:BB271"/>
    <mergeCell ref="BC270:BC271"/>
    <mergeCell ref="BD270:BD271"/>
    <mergeCell ref="BH270:BH271"/>
    <mergeCell ref="BI270:BI271"/>
    <mergeCell ref="BJ270:BJ271"/>
    <mergeCell ref="BK270:BK271"/>
    <mergeCell ref="BP254:BP255"/>
    <mergeCell ref="BQ254:BQ255"/>
    <mergeCell ref="BR254:BR255"/>
    <mergeCell ref="BV254:BV255"/>
    <mergeCell ref="BW254:BW255"/>
    <mergeCell ref="BX254:BX255"/>
    <mergeCell ref="BY254:BY255"/>
    <mergeCell ref="CC254:CC255"/>
    <mergeCell ref="CD254:CD255"/>
    <mergeCell ref="CE254:CE255"/>
    <mergeCell ref="CF254:CF255"/>
    <mergeCell ref="CJ254:CJ255"/>
    <mergeCell ref="CK254:CK255"/>
    <mergeCell ref="CL254:CL255"/>
    <mergeCell ref="CM254:CM255"/>
    <mergeCell ref="CQ254:CQ255"/>
    <mergeCell ref="CR254:CR255"/>
    <mergeCell ref="CT238:CT239"/>
    <mergeCell ref="CV254:CV255"/>
    <mergeCell ref="AG254:AG255"/>
    <mergeCell ref="AH254:AH255"/>
    <mergeCell ref="AF254:AF255"/>
    <mergeCell ref="AI254:AI255"/>
    <mergeCell ref="K254:K255"/>
    <mergeCell ref="Y254:Y255"/>
    <mergeCell ref="Z254:Z255"/>
    <mergeCell ref="AA254:AA255"/>
    <mergeCell ref="AB254:AB255"/>
    <mergeCell ref="J253:J256"/>
    <mergeCell ref="Q253:Q256"/>
    <mergeCell ref="V253:AB253"/>
    <mergeCell ref="AC253:CU253"/>
    <mergeCell ref="AM254:AM255"/>
    <mergeCell ref="AN254:AN255"/>
    <mergeCell ref="AO254:AO255"/>
    <mergeCell ref="AP254:AP255"/>
    <mergeCell ref="AT254:AT255"/>
    <mergeCell ref="AU254:AU255"/>
    <mergeCell ref="AV254:AV255"/>
    <mergeCell ref="AW254:AW255"/>
    <mergeCell ref="BA254:BA255"/>
    <mergeCell ref="BB254:BB255"/>
    <mergeCell ref="BC254:BC255"/>
    <mergeCell ref="BD254:BD255"/>
    <mergeCell ref="BH254:BH255"/>
    <mergeCell ref="BI254:BI255"/>
    <mergeCell ref="BJ254:BJ255"/>
    <mergeCell ref="BK254:BK255"/>
    <mergeCell ref="BO254:BO255"/>
    <mergeCell ref="BQ238:BQ239"/>
    <mergeCell ref="BR238:BR239"/>
    <mergeCell ref="BV238:BV239"/>
    <mergeCell ref="BW238:BW239"/>
    <mergeCell ref="BX238:BX239"/>
    <mergeCell ref="BY238:BY239"/>
    <mergeCell ref="CC238:CC239"/>
    <mergeCell ref="CD238:CD239"/>
    <mergeCell ref="CE238:CE239"/>
    <mergeCell ref="CF238:CF239"/>
    <mergeCell ref="CJ238:CJ239"/>
    <mergeCell ref="CK238:CK239"/>
    <mergeCell ref="CL238:CL239"/>
    <mergeCell ref="CM238:CM239"/>
    <mergeCell ref="CQ238:CQ239"/>
    <mergeCell ref="CR238:CR239"/>
    <mergeCell ref="CS238:CS239"/>
    <mergeCell ref="CV238:CV239"/>
    <mergeCell ref="AG238:AG239"/>
    <mergeCell ref="AH238:AH239"/>
    <mergeCell ref="AF238:AF239"/>
    <mergeCell ref="AI238:AI239"/>
    <mergeCell ref="K238:K239"/>
    <mergeCell ref="Y238:Y239"/>
    <mergeCell ref="Z238:Z239"/>
    <mergeCell ref="AA238:AA239"/>
    <mergeCell ref="AB238:AB239"/>
    <mergeCell ref="J237:J240"/>
    <mergeCell ref="Q237:Q240"/>
    <mergeCell ref="V237:AB237"/>
    <mergeCell ref="AC237:CU237"/>
    <mergeCell ref="AM238:AM239"/>
    <mergeCell ref="AN238:AN239"/>
    <mergeCell ref="AO238:AO239"/>
    <mergeCell ref="AP238:AP239"/>
    <mergeCell ref="AT238:AT239"/>
    <mergeCell ref="AU238:AU239"/>
    <mergeCell ref="AV238:AV239"/>
    <mergeCell ref="AW238:AW239"/>
    <mergeCell ref="BA238:BA239"/>
    <mergeCell ref="BB238:BB239"/>
    <mergeCell ref="BC238:BC239"/>
    <mergeCell ref="BD238:BD239"/>
    <mergeCell ref="BH238:BH239"/>
    <mergeCell ref="BI238:BI239"/>
    <mergeCell ref="BJ238:BJ239"/>
    <mergeCell ref="BK238:BK239"/>
    <mergeCell ref="BO238:BO239"/>
    <mergeCell ref="BP238:BP239"/>
    <mergeCell ref="CV222:CV223"/>
    <mergeCell ref="AG222:AG223"/>
    <mergeCell ref="AH222:AH223"/>
    <mergeCell ref="AF222:AF223"/>
    <mergeCell ref="AI222:AI223"/>
    <mergeCell ref="K222:K223"/>
    <mergeCell ref="Y222:Y223"/>
    <mergeCell ref="Z222:Z223"/>
    <mergeCell ref="AA222:AA223"/>
    <mergeCell ref="AB222:AB223"/>
    <mergeCell ref="J221:J224"/>
    <mergeCell ref="Q221:Q224"/>
    <mergeCell ref="V221:AB221"/>
    <mergeCell ref="AC221:CU221"/>
    <mergeCell ref="AM222:AM223"/>
    <mergeCell ref="AN222:AN223"/>
    <mergeCell ref="AO222:AO223"/>
    <mergeCell ref="AP222:AP223"/>
    <mergeCell ref="AT222:AT223"/>
    <mergeCell ref="AU222:AU223"/>
    <mergeCell ref="AV222:AV223"/>
    <mergeCell ref="AW222:AW223"/>
    <mergeCell ref="BA222:BA223"/>
    <mergeCell ref="BB222:BB223"/>
    <mergeCell ref="BC222:BC223"/>
    <mergeCell ref="BD222:BD223"/>
    <mergeCell ref="BH222:BH223"/>
    <mergeCell ref="BI222:BI223"/>
    <mergeCell ref="BJ222:BJ223"/>
    <mergeCell ref="BK222:BK223"/>
    <mergeCell ref="BO222:BO223"/>
    <mergeCell ref="BP222:BP223"/>
    <mergeCell ref="AG206:AG207"/>
    <mergeCell ref="AH206:AH207"/>
    <mergeCell ref="AF206:AF207"/>
    <mergeCell ref="AI206:AI207"/>
    <mergeCell ref="K206:K207"/>
    <mergeCell ref="Y206:Y207"/>
    <mergeCell ref="Z206:Z207"/>
    <mergeCell ref="AA206:AA207"/>
    <mergeCell ref="AB206:AB207"/>
    <mergeCell ref="J205:J208"/>
    <mergeCell ref="Q205:Q208"/>
    <mergeCell ref="V205:AB205"/>
    <mergeCell ref="AC205:CU205"/>
    <mergeCell ref="AM206:AM207"/>
    <mergeCell ref="AN206:AN207"/>
    <mergeCell ref="AO206:AO207"/>
    <mergeCell ref="AP206:AP207"/>
    <mergeCell ref="AT206:AT207"/>
    <mergeCell ref="AU206:AU207"/>
    <mergeCell ref="AV206:AV207"/>
    <mergeCell ref="AW206:AW207"/>
    <mergeCell ref="BA206:BA207"/>
    <mergeCell ref="BB206:BB207"/>
    <mergeCell ref="BC206:BC207"/>
    <mergeCell ref="BD206:BD207"/>
    <mergeCell ref="BH206:BH207"/>
    <mergeCell ref="BI206:BI207"/>
    <mergeCell ref="BJ206:BJ207"/>
    <mergeCell ref="BK206:BK207"/>
    <mergeCell ref="BO206:BO207"/>
    <mergeCell ref="BP206:BP207"/>
    <mergeCell ref="BQ206:BQ207"/>
    <mergeCell ref="BV190:BV191"/>
    <mergeCell ref="BW190:BW191"/>
    <mergeCell ref="BX190:BX191"/>
    <mergeCell ref="BY190:BY191"/>
    <mergeCell ref="CC190:CC191"/>
    <mergeCell ref="CD190:CD191"/>
    <mergeCell ref="CE190:CE191"/>
    <mergeCell ref="CF190:CF191"/>
    <mergeCell ref="CJ190:CJ191"/>
    <mergeCell ref="CK190:CK191"/>
    <mergeCell ref="CL190:CL191"/>
    <mergeCell ref="CM190:CM191"/>
    <mergeCell ref="CQ190:CQ191"/>
    <mergeCell ref="CR190:CR191"/>
    <mergeCell ref="CS190:CS191"/>
    <mergeCell ref="CT190:CT191"/>
    <mergeCell ref="CV206:CV207"/>
    <mergeCell ref="BV206:BV207"/>
    <mergeCell ref="BW206:BW207"/>
    <mergeCell ref="BX206:BX207"/>
    <mergeCell ref="BY206:BY207"/>
    <mergeCell ref="CC206:CC207"/>
    <mergeCell ref="CD206:CD207"/>
    <mergeCell ref="CE206:CE207"/>
    <mergeCell ref="CF206:CF207"/>
    <mergeCell ref="CJ206:CJ207"/>
    <mergeCell ref="CK206:CK207"/>
    <mergeCell ref="CL206:CL207"/>
    <mergeCell ref="CM206:CM207"/>
    <mergeCell ref="CQ206:CQ207"/>
    <mergeCell ref="CR206:CR207"/>
    <mergeCell ref="CS206:CS207"/>
    <mergeCell ref="CV190:CV191"/>
    <mergeCell ref="AG190:AG191"/>
    <mergeCell ref="AH190:AH191"/>
    <mergeCell ref="AF190:AF191"/>
    <mergeCell ref="AI190:AI191"/>
    <mergeCell ref="K190:K191"/>
    <mergeCell ref="Y190:Y191"/>
    <mergeCell ref="Z190:Z191"/>
    <mergeCell ref="AA190:AA191"/>
    <mergeCell ref="AB190:AB191"/>
    <mergeCell ref="J189:J192"/>
    <mergeCell ref="Q189:Q192"/>
    <mergeCell ref="V189:AB189"/>
    <mergeCell ref="AC189:CU189"/>
    <mergeCell ref="AM190:AM191"/>
    <mergeCell ref="AN190:AN191"/>
    <mergeCell ref="AO190:AO191"/>
    <mergeCell ref="AP190:AP191"/>
    <mergeCell ref="AT190:AT191"/>
    <mergeCell ref="AU190:AU191"/>
    <mergeCell ref="AV190:AV191"/>
    <mergeCell ref="AW190:AW191"/>
    <mergeCell ref="BA190:BA191"/>
    <mergeCell ref="BB190:BB191"/>
    <mergeCell ref="BC190:BC191"/>
    <mergeCell ref="BD190:BD191"/>
    <mergeCell ref="BH190:BH191"/>
    <mergeCell ref="BI190:BI191"/>
    <mergeCell ref="BJ190:BJ191"/>
    <mergeCell ref="BK190:BK191"/>
    <mergeCell ref="BO190:BO191"/>
    <mergeCell ref="BP190:BP191"/>
    <mergeCell ref="CT158:CT159"/>
    <mergeCell ref="CV174:CV175"/>
    <mergeCell ref="AG174:AG175"/>
    <mergeCell ref="AH174:AH175"/>
    <mergeCell ref="AF174:AF175"/>
    <mergeCell ref="AI174:AI175"/>
    <mergeCell ref="K174:K175"/>
    <mergeCell ref="Y174:Y175"/>
    <mergeCell ref="Z174:Z175"/>
    <mergeCell ref="AA174:AA175"/>
    <mergeCell ref="AB174:AB175"/>
    <mergeCell ref="J173:J176"/>
    <mergeCell ref="Q173:Q176"/>
    <mergeCell ref="V173:AB173"/>
    <mergeCell ref="AC173:CU173"/>
    <mergeCell ref="AM174:AM175"/>
    <mergeCell ref="AN174:AN175"/>
    <mergeCell ref="AO174:AO175"/>
    <mergeCell ref="AP174:AP175"/>
    <mergeCell ref="AT174:AT175"/>
    <mergeCell ref="AU174:AU175"/>
    <mergeCell ref="AV174:AV175"/>
    <mergeCell ref="AW174:AW175"/>
    <mergeCell ref="BA174:BA175"/>
    <mergeCell ref="BB174:BB175"/>
    <mergeCell ref="BC174:BC175"/>
    <mergeCell ref="BD174:BD175"/>
    <mergeCell ref="BH174:BH175"/>
    <mergeCell ref="BI174:BI175"/>
    <mergeCell ref="BJ174:BJ175"/>
    <mergeCell ref="BK174:BK175"/>
    <mergeCell ref="BO174:BO175"/>
    <mergeCell ref="BQ158:BQ159"/>
    <mergeCell ref="BR158:BR159"/>
    <mergeCell ref="BV158:BV159"/>
    <mergeCell ref="BW158:BW159"/>
    <mergeCell ref="BX158:BX159"/>
    <mergeCell ref="BY158:BY159"/>
    <mergeCell ref="CC158:CC159"/>
    <mergeCell ref="CD158:CD159"/>
    <mergeCell ref="CE158:CE159"/>
    <mergeCell ref="CF158:CF159"/>
    <mergeCell ref="CJ158:CJ159"/>
    <mergeCell ref="CK158:CK159"/>
    <mergeCell ref="CL158:CL159"/>
    <mergeCell ref="CM158:CM159"/>
    <mergeCell ref="CQ158:CQ159"/>
    <mergeCell ref="CR158:CR159"/>
    <mergeCell ref="CS158:CS159"/>
    <mergeCell ref="CV158:CV159"/>
    <mergeCell ref="AG158:AG159"/>
    <mergeCell ref="AH158:AH159"/>
    <mergeCell ref="AF158:AF159"/>
    <mergeCell ref="AI158:AI159"/>
    <mergeCell ref="K158:K159"/>
    <mergeCell ref="Y158:Y159"/>
    <mergeCell ref="Z158:Z159"/>
    <mergeCell ref="AA158:AA159"/>
    <mergeCell ref="AB158:AB159"/>
    <mergeCell ref="J157:J160"/>
    <mergeCell ref="Q157:Q160"/>
    <mergeCell ref="V157:AB157"/>
    <mergeCell ref="AC157:CU157"/>
    <mergeCell ref="AM158:AM159"/>
    <mergeCell ref="AN158:AN159"/>
    <mergeCell ref="AO158:AO159"/>
    <mergeCell ref="AP158:AP159"/>
    <mergeCell ref="AT158:AT159"/>
    <mergeCell ref="AU158:AU159"/>
    <mergeCell ref="AV158:AV159"/>
    <mergeCell ref="AW158:AW159"/>
    <mergeCell ref="BA158:BA159"/>
    <mergeCell ref="BB158:BB159"/>
    <mergeCell ref="BC158:BC159"/>
    <mergeCell ref="BD158:BD159"/>
    <mergeCell ref="BH158:BH159"/>
    <mergeCell ref="BI158:BI159"/>
    <mergeCell ref="BJ158:BJ159"/>
    <mergeCell ref="BK158:BK159"/>
    <mergeCell ref="BO158:BO159"/>
    <mergeCell ref="BP158:BP159"/>
    <mergeCell ref="CV142:CV143"/>
    <mergeCell ref="AG142:AG143"/>
    <mergeCell ref="AH142:AH143"/>
    <mergeCell ref="AF142:AF143"/>
    <mergeCell ref="AI142:AI143"/>
    <mergeCell ref="K142:K143"/>
    <mergeCell ref="Y142:Y143"/>
    <mergeCell ref="Z142:Z143"/>
    <mergeCell ref="AA142:AA143"/>
    <mergeCell ref="AB142:AB143"/>
    <mergeCell ref="J141:J144"/>
    <mergeCell ref="Q141:Q144"/>
    <mergeCell ref="V141:AB141"/>
    <mergeCell ref="AC141:CU141"/>
    <mergeCell ref="AM142:AM143"/>
    <mergeCell ref="AN142:AN143"/>
    <mergeCell ref="AO142:AO143"/>
    <mergeCell ref="AP142:AP143"/>
    <mergeCell ref="AT142:AT143"/>
    <mergeCell ref="AU142:AU143"/>
    <mergeCell ref="AV142:AV143"/>
    <mergeCell ref="AW142:AW143"/>
    <mergeCell ref="BA142:BA143"/>
    <mergeCell ref="BB142:BB143"/>
    <mergeCell ref="BC142:BC143"/>
    <mergeCell ref="BD142:BD143"/>
    <mergeCell ref="BH142:BH143"/>
    <mergeCell ref="BI142:BI143"/>
    <mergeCell ref="BJ142:BJ143"/>
    <mergeCell ref="BK142:BK143"/>
    <mergeCell ref="BO142:BO143"/>
    <mergeCell ref="BP142:BP143"/>
    <mergeCell ref="J125:J128"/>
    <mergeCell ref="Q125:Q128"/>
    <mergeCell ref="V125:AB125"/>
    <mergeCell ref="AC125:CU125"/>
    <mergeCell ref="AM126:AM127"/>
    <mergeCell ref="AN126:AN127"/>
    <mergeCell ref="AO126:AO127"/>
    <mergeCell ref="AP126:AP127"/>
    <mergeCell ref="AT126:AT127"/>
    <mergeCell ref="AU126:AU127"/>
    <mergeCell ref="AV126:AV127"/>
    <mergeCell ref="AW126:AW127"/>
    <mergeCell ref="BA126:BA127"/>
    <mergeCell ref="BB126:BB127"/>
    <mergeCell ref="BC126:BC127"/>
    <mergeCell ref="BD126:BD127"/>
    <mergeCell ref="BH126:BH127"/>
    <mergeCell ref="BI126:BI127"/>
    <mergeCell ref="BJ126:BJ127"/>
    <mergeCell ref="BK126:BK127"/>
    <mergeCell ref="BO126:BO127"/>
    <mergeCell ref="BP126:BP127"/>
    <mergeCell ref="BQ126:BQ127"/>
    <mergeCell ref="BR126:BR127"/>
    <mergeCell ref="BV126:BV127"/>
    <mergeCell ref="BW126:BW127"/>
    <mergeCell ref="BX126:BX127"/>
    <mergeCell ref="BY126:BY127"/>
    <mergeCell ref="CC126:CC127"/>
    <mergeCell ref="CD126:CD127"/>
    <mergeCell ref="CE126:CE127"/>
    <mergeCell ref="CF126:CF127"/>
    <mergeCell ref="CK110:CK111"/>
    <mergeCell ref="CL110:CL111"/>
    <mergeCell ref="CM110:CM111"/>
    <mergeCell ref="CQ110:CQ111"/>
    <mergeCell ref="CR110:CR111"/>
    <mergeCell ref="CS110:CS111"/>
    <mergeCell ref="CT110:CT111"/>
    <mergeCell ref="CV126:CV127"/>
    <mergeCell ref="AG126:AG127"/>
    <mergeCell ref="AH126:AH127"/>
    <mergeCell ref="AF126:AF127"/>
    <mergeCell ref="AI126:AI127"/>
    <mergeCell ref="K126:K127"/>
    <mergeCell ref="Y126:Y127"/>
    <mergeCell ref="Z126:Z127"/>
    <mergeCell ref="AA126:AA127"/>
    <mergeCell ref="AB126:AB127"/>
    <mergeCell ref="CJ126:CJ127"/>
    <mergeCell ref="CK126:CK127"/>
    <mergeCell ref="CL126:CL127"/>
    <mergeCell ref="CM126:CM127"/>
    <mergeCell ref="CQ126:CQ127"/>
    <mergeCell ref="CR126:CR127"/>
    <mergeCell ref="CS126:CS127"/>
    <mergeCell ref="CT126:CT127"/>
    <mergeCell ref="BH110:BH111"/>
    <mergeCell ref="BI110:BI111"/>
    <mergeCell ref="BJ110:BJ111"/>
    <mergeCell ref="BK110:BK111"/>
    <mergeCell ref="BO110:BO111"/>
    <mergeCell ref="BP110:BP111"/>
    <mergeCell ref="BQ110:BQ111"/>
    <mergeCell ref="BR110:BR111"/>
    <mergeCell ref="BV110:BV111"/>
    <mergeCell ref="BW110:BW111"/>
    <mergeCell ref="BX110:BX111"/>
    <mergeCell ref="BY110:BY111"/>
    <mergeCell ref="CC110:CC111"/>
    <mergeCell ref="CD110:CD111"/>
    <mergeCell ref="CE110:CE111"/>
    <mergeCell ref="CF110:CF111"/>
    <mergeCell ref="CJ110:CJ111"/>
    <mergeCell ref="CL94:CL95"/>
    <mergeCell ref="CM94:CM95"/>
    <mergeCell ref="CQ94:CQ95"/>
    <mergeCell ref="CR94:CR95"/>
    <mergeCell ref="CS94:CS95"/>
    <mergeCell ref="CT94:CT95"/>
    <mergeCell ref="CV110:CV111"/>
    <mergeCell ref="AG110:AG111"/>
    <mergeCell ref="AH110:AH111"/>
    <mergeCell ref="AF110:AF111"/>
    <mergeCell ref="AI110:AI111"/>
    <mergeCell ref="K110:K111"/>
    <mergeCell ref="Y110:Y111"/>
    <mergeCell ref="Z110:Z111"/>
    <mergeCell ref="AA110:AA111"/>
    <mergeCell ref="AB110:AB111"/>
    <mergeCell ref="J109:J112"/>
    <mergeCell ref="Q109:Q112"/>
    <mergeCell ref="V109:AB109"/>
    <mergeCell ref="AC109:CU109"/>
    <mergeCell ref="AM110:AM111"/>
    <mergeCell ref="AN110:AN111"/>
    <mergeCell ref="AO110:AO111"/>
    <mergeCell ref="AP110:AP111"/>
    <mergeCell ref="AT110:AT111"/>
    <mergeCell ref="AU110:AU111"/>
    <mergeCell ref="AV110:AV111"/>
    <mergeCell ref="AW110:AW111"/>
    <mergeCell ref="BA110:BA111"/>
    <mergeCell ref="BB110:BB111"/>
    <mergeCell ref="BC110:BC111"/>
    <mergeCell ref="BD110:BD111"/>
    <mergeCell ref="BI94:BI95"/>
    <mergeCell ref="BJ94:BJ95"/>
    <mergeCell ref="BK94:BK95"/>
    <mergeCell ref="BO94:BO95"/>
    <mergeCell ref="BP94:BP95"/>
    <mergeCell ref="BQ94:BQ95"/>
    <mergeCell ref="BR94:BR95"/>
    <mergeCell ref="BV94:BV95"/>
    <mergeCell ref="BW94:BW95"/>
    <mergeCell ref="BX94:BX95"/>
    <mergeCell ref="BY94:BY95"/>
    <mergeCell ref="CC94:CC95"/>
    <mergeCell ref="CD94:CD95"/>
    <mergeCell ref="CE94:CE95"/>
    <mergeCell ref="CF94:CF95"/>
    <mergeCell ref="CJ94:CJ95"/>
    <mergeCell ref="CK94:CK95"/>
    <mergeCell ref="CM78:CM79"/>
    <mergeCell ref="CQ78:CQ79"/>
    <mergeCell ref="CR78:CR79"/>
    <mergeCell ref="CS78:CS79"/>
    <mergeCell ref="CT78:CT79"/>
    <mergeCell ref="CV94:CV95"/>
    <mergeCell ref="AG94:AG95"/>
    <mergeCell ref="AH94:AH95"/>
    <mergeCell ref="AF94:AF95"/>
    <mergeCell ref="AI94:AI95"/>
    <mergeCell ref="K94:K95"/>
    <mergeCell ref="Y94:Y95"/>
    <mergeCell ref="Z94:Z95"/>
    <mergeCell ref="AA94:AA95"/>
    <mergeCell ref="AB94:AB95"/>
    <mergeCell ref="J93:J96"/>
    <mergeCell ref="Q93:Q96"/>
    <mergeCell ref="V93:AB93"/>
    <mergeCell ref="AC93:CU93"/>
    <mergeCell ref="AM94:AM95"/>
    <mergeCell ref="AN94:AN95"/>
    <mergeCell ref="AO94:AO95"/>
    <mergeCell ref="AP94:AP95"/>
    <mergeCell ref="AT94:AT95"/>
    <mergeCell ref="AU94:AU95"/>
    <mergeCell ref="AV94:AV95"/>
    <mergeCell ref="AW94:AW95"/>
    <mergeCell ref="BA94:BA95"/>
    <mergeCell ref="BB94:BB95"/>
    <mergeCell ref="BC94:BC95"/>
    <mergeCell ref="BD94:BD95"/>
    <mergeCell ref="BH94:BH95"/>
    <mergeCell ref="BJ78:BJ79"/>
    <mergeCell ref="BK78:BK79"/>
    <mergeCell ref="BO78:BO79"/>
    <mergeCell ref="BP78:BP79"/>
    <mergeCell ref="BQ78:BQ79"/>
    <mergeCell ref="BR78:BR79"/>
    <mergeCell ref="BV78:BV79"/>
    <mergeCell ref="BW78:BW79"/>
    <mergeCell ref="BX78:BX79"/>
    <mergeCell ref="BY78:BY79"/>
    <mergeCell ref="CC78:CC79"/>
    <mergeCell ref="CD78:CD79"/>
    <mergeCell ref="CE78:CE79"/>
    <mergeCell ref="CF78:CF79"/>
    <mergeCell ref="CJ78:CJ79"/>
    <mergeCell ref="CK78:CK79"/>
    <mergeCell ref="CL78:CL79"/>
    <mergeCell ref="K62:K63"/>
    <mergeCell ref="Y62:Y63"/>
    <mergeCell ref="Z62:Z63"/>
    <mergeCell ref="AA62:AA63"/>
    <mergeCell ref="AB62:AB63"/>
    <mergeCell ref="J61:J64"/>
    <mergeCell ref="Q61:Q64"/>
    <mergeCell ref="V61:AB61"/>
    <mergeCell ref="AC61:CU61"/>
    <mergeCell ref="AM62:AM63"/>
    <mergeCell ref="AN62:AN63"/>
    <mergeCell ref="AO62:AO63"/>
    <mergeCell ref="AP62:AP63"/>
    <mergeCell ref="AT62:AT63"/>
    <mergeCell ref="AU62:AU63"/>
    <mergeCell ref="AV62:AV63"/>
    <mergeCell ref="AW62:AW63"/>
    <mergeCell ref="BA62:BA63"/>
    <mergeCell ref="BB62:BB63"/>
    <mergeCell ref="BC62:BC63"/>
    <mergeCell ref="BD62:BD63"/>
    <mergeCell ref="BH62:BH63"/>
    <mergeCell ref="BI62:BI63"/>
    <mergeCell ref="BJ62:BJ63"/>
    <mergeCell ref="BK62:BK63"/>
    <mergeCell ref="BO62:BO63"/>
    <mergeCell ref="BP62:BP63"/>
    <mergeCell ref="BQ62:BQ63"/>
    <mergeCell ref="BR62:BR63"/>
    <mergeCell ref="BV62:BV63"/>
    <mergeCell ref="BW62:BW63"/>
    <mergeCell ref="BX62:BX63"/>
    <mergeCell ref="CQ250:CQ251"/>
    <mergeCell ref="CR250:CR251"/>
    <mergeCell ref="CS250:CS251"/>
    <mergeCell ref="CT250:CT251"/>
    <mergeCell ref="CQ266:CQ267"/>
    <mergeCell ref="CR266:CR267"/>
    <mergeCell ref="CS266:CS267"/>
    <mergeCell ref="CT266:CT267"/>
    <mergeCell ref="CQ282:CQ283"/>
    <mergeCell ref="CR282:CR283"/>
    <mergeCell ref="CS282:CS283"/>
    <mergeCell ref="CT282:CT283"/>
    <mergeCell ref="CV62:CV63"/>
    <mergeCell ref="AG62:AG63"/>
    <mergeCell ref="AH62:AH63"/>
    <mergeCell ref="AF62:AF63"/>
    <mergeCell ref="AI62:AI63"/>
    <mergeCell ref="BY62:BY63"/>
    <mergeCell ref="CC62:CC63"/>
    <mergeCell ref="CD62:CD63"/>
    <mergeCell ref="CE62:CE63"/>
    <mergeCell ref="CF62:CF63"/>
    <mergeCell ref="CJ62:CJ63"/>
    <mergeCell ref="CK62:CK63"/>
    <mergeCell ref="CL62:CL63"/>
    <mergeCell ref="CM62:CM63"/>
    <mergeCell ref="CQ62:CQ63"/>
    <mergeCell ref="CR62:CR63"/>
    <mergeCell ref="CS62:CS63"/>
    <mergeCell ref="CT62:CT63"/>
    <mergeCell ref="CV78:CV79"/>
    <mergeCell ref="AG78:AG79"/>
    <mergeCell ref="CQ170:CQ171"/>
    <mergeCell ref="CR170:CR171"/>
    <mergeCell ref="CS170:CS171"/>
    <mergeCell ref="CT170:CT171"/>
    <mergeCell ref="CQ186:CQ187"/>
    <mergeCell ref="CR186:CR187"/>
    <mergeCell ref="CS186:CS187"/>
    <mergeCell ref="CT186:CT187"/>
    <mergeCell ref="CQ202:CQ203"/>
    <mergeCell ref="CR202:CR203"/>
    <mergeCell ref="CS202:CS203"/>
    <mergeCell ref="CT202:CT203"/>
    <mergeCell ref="CQ218:CQ219"/>
    <mergeCell ref="CR218:CR219"/>
    <mergeCell ref="CS218:CS219"/>
    <mergeCell ref="CT218:CT219"/>
    <mergeCell ref="CQ234:CQ235"/>
    <mergeCell ref="CR234:CR235"/>
    <mergeCell ref="CS234:CS235"/>
    <mergeCell ref="CT234:CT235"/>
    <mergeCell ref="CQ174:CQ175"/>
    <mergeCell ref="CR174:CR175"/>
    <mergeCell ref="CS174:CS175"/>
    <mergeCell ref="CT174:CT175"/>
    <mergeCell ref="CT206:CT207"/>
    <mergeCell ref="CQ222:CQ223"/>
    <mergeCell ref="CR222:CR223"/>
    <mergeCell ref="CS222:CS223"/>
    <mergeCell ref="CT222:CT223"/>
    <mergeCell ref="CQ90:CQ91"/>
    <mergeCell ref="CR90:CR91"/>
    <mergeCell ref="CS90:CS91"/>
    <mergeCell ref="CT90:CT91"/>
    <mergeCell ref="CQ106:CQ107"/>
    <mergeCell ref="CR106:CR107"/>
    <mergeCell ref="CS106:CS107"/>
    <mergeCell ref="CT106:CT107"/>
    <mergeCell ref="CQ122:CQ123"/>
    <mergeCell ref="CR122:CR123"/>
    <mergeCell ref="CS122:CS123"/>
    <mergeCell ref="CT122:CT123"/>
    <mergeCell ref="CQ138:CQ139"/>
    <mergeCell ref="CR138:CR139"/>
    <mergeCell ref="CS138:CS139"/>
    <mergeCell ref="CT138:CT139"/>
    <mergeCell ref="CQ154:CQ155"/>
    <mergeCell ref="CR154:CR155"/>
    <mergeCell ref="CS154:CS155"/>
    <mergeCell ref="CT154:CT155"/>
    <mergeCell ref="CQ142:CQ143"/>
    <mergeCell ref="CR142:CR143"/>
    <mergeCell ref="CS142:CS143"/>
    <mergeCell ref="CT142:CT143"/>
    <mergeCell ref="CJ282:CJ283"/>
    <mergeCell ref="CK282:CK283"/>
    <mergeCell ref="CL282:CL283"/>
    <mergeCell ref="CM282:CM283"/>
    <mergeCell ref="CQ7:CQ8"/>
    <mergeCell ref="CR7:CR8"/>
    <mergeCell ref="CS7:CS8"/>
    <mergeCell ref="CT7:CT8"/>
    <mergeCell ref="CN27:CS27"/>
    <mergeCell ref="CN28:CS28"/>
    <mergeCell ref="CN29:CS29"/>
    <mergeCell ref="CN30:CS30"/>
    <mergeCell ref="CN32:CS32"/>
    <mergeCell ref="CN33:CS33"/>
    <mergeCell ref="CN35:CT35"/>
    <mergeCell ref="CN37:CS37"/>
    <mergeCell ref="CT37:CT39"/>
    <mergeCell ref="CO38:CP38"/>
    <mergeCell ref="CQ38:CS38"/>
    <mergeCell ref="CR39:CS39"/>
    <mergeCell ref="CR40:CS40"/>
    <mergeCell ref="CQ46:CQ47"/>
    <mergeCell ref="CR46:CR47"/>
    <mergeCell ref="CS46:CS47"/>
    <mergeCell ref="CT46:CT47"/>
    <mergeCell ref="CQ58:CQ59"/>
    <mergeCell ref="CR58:CR59"/>
    <mergeCell ref="CS58:CS59"/>
    <mergeCell ref="CT58:CT59"/>
    <mergeCell ref="CQ74:CQ75"/>
    <mergeCell ref="CR74:CR75"/>
    <mergeCell ref="CS74:CS75"/>
    <mergeCell ref="CJ202:CJ203"/>
    <mergeCell ref="CK202:CK203"/>
    <mergeCell ref="CL202:CL203"/>
    <mergeCell ref="CM202:CM203"/>
    <mergeCell ref="CJ218:CJ219"/>
    <mergeCell ref="CK218:CK219"/>
    <mergeCell ref="CL218:CL219"/>
    <mergeCell ref="CM218:CM219"/>
    <mergeCell ref="CJ234:CJ235"/>
    <mergeCell ref="CK234:CK235"/>
    <mergeCell ref="CL234:CL235"/>
    <mergeCell ref="CM234:CM235"/>
    <mergeCell ref="CJ250:CJ251"/>
    <mergeCell ref="CK250:CK251"/>
    <mergeCell ref="CL250:CL251"/>
    <mergeCell ref="CM250:CM251"/>
    <mergeCell ref="CJ266:CJ267"/>
    <mergeCell ref="CK266:CK267"/>
    <mergeCell ref="CL266:CL267"/>
    <mergeCell ref="CM266:CM267"/>
    <mergeCell ref="CJ222:CJ223"/>
    <mergeCell ref="CK222:CK223"/>
    <mergeCell ref="CL222:CL223"/>
    <mergeCell ref="CM222:CM223"/>
    <mergeCell ref="CJ122:CJ123"/>
    <mergeCell ref="CK122:CK123"/>
    <mergeCell ref="CL122:CL123"/>
    <mergeCell ref="CM122:CM123"/>
    <mergeCell ref="CJ138:CJ139"/>
    <mergeCell ref="CK138:CK139"/>
    <mergeCell ref="CL138:CL139"/>
    <mergeCell ref="CM138:CM139"/>
    <mergeCell ref="CJ154:CJ155"/>
    <mergeCell ref="CK154:CK155"/>
    <mergeCell ref="CL154:CL155"/>
    <mergeCell ref="CM154:CM155"/>
    <mergeCell ref="CJ170:CJ171"/>
    <mergeCell ref="CK170:CK171"/>
    <mergeCell ref="CL170:CL171"/>
    <mergeCell ref="CM170:CM171"/>
    <mergeCell ref="CJ186:CJ187"/>
    <mergeCell ref="CK186:CK187"/>
    <mergeCell ref="CL186:CL187"/>
    <mergeCell ref="CM186:CM187"/>
    <mergeCell ref="CJ142:CJ143"/>
    <mergeCell ref="CK142:CK143"/>
    <mergeCell ref="CL142:CL143"/>
    <mergeCell ref="CM142:CM143"/>
    <mergeCell ref="CJ174:CJ175"/>
    <mergeCell ref="CK174:CK175"/>
    <mergeCell ref="CL174:CL175"/>
    <mergeCell ref="CM174:CM175"/>
    <mergeCell ref="CM46:CM47"/>
    <mergeCell ref="CJ58:CJ59"/>
    <mergeCell ref="CK58:CK59"/>
    <mergeCell ref="CL58:CL59"/>
    <mergeCell ref="CM58:CM59"/>
    <mergeCell ref="CJ74:CJ75"/>
    <mergeCell ref="CK74:CK75"/>
    <mergeCell ref="CL74:CL75"/>
    <mergeCell ref="CM74:CM75"/>
    <mergeCell ref="CJ90:CJ91"/>
    <mergeCell ref="CK90:CK91"/>
    <mergeCell ref="CL90:CL91"/>
    <mergeCell ref="CM90:CM91"/>
    <mergeCell ref="CJ106:CJ107"/>
    <mergeCell ref="CK106:CK107"/>
    <mergeCell ref="CL106:CL107"/>
    <mergeCell ref="CM106:CM107"/>
    <mergeCell ref="AC77:CU77"/>
    <mergeCell ref="AM78:AM79"/>
    <mergeCell ref="AN78:AN79"/>
    <mergeCell ref="AO78:AO79"/>
    <mergeCell ref="AP78:AP79"/>
    <mergeCell ref="AT78:AT79"/>
    <mergeCell ref="AU78:AU79"/>
    <mergeCell ref="AV78:AV79"/>
    <mergeCell ref="AW78:AW79"/>
    <mergeCell ref="BA78:BA79"/>
    <mergeCell ref="BB78:BB79"/>
    <mergeCell ref="BC78:BC79"/>
    <mergeCell ref="BD78:BD79"/>
    <mergeCell ref="BH78:BH79"/>
    <mergeCell ref="BI78:BI79"/>
    <mergeCell ref="CC250:CC251"/>
    <mergeCell ref="CD250:CD251"/>
    <mergeCell ref="CE250:CE251"/>
    <mergeCell ref="CF250:CF251"/>
    <mergeCell ref="CC266:CC267"/>
    <mergeCell ref="CD266:CD267"/>
    <mergeCell ref="CE266:CE267"/>
    <mergeCell ref="CF266:CF267"/>
    <mergeCell ref="CC282:CC283"/>
    <mergeCell ref="CD282:CD283"/>
    <mergeCell ref="CE282:CE283"/>
    <mergeCell ref="CF282:CF283"/>
    <mergeCell ref="CJ7:CJ8"/>
    <mergeCell ref="CK7:CK8"/>
    <mergeCell ref="CL7:CL8"/>
    <mergeCell ref="CM7:CM8"/>
    <mergeCell ref="CG27:CL27"/>
    <mergeCell ref="CG28:CL28"/>
    <mergeCell ref="CG29:CL29"/>
    <mergeCell ref="CG30:CL30"/>
    <mergeCell ref="CG32:CL32"/>
    <mergeCell ref="CG33:CL33"/>
    <mergeCell ref="CG35:CM35"/>
    <mergeCell ref="CG37:CL37"/>
    <mergeCell ref="CM37:CM39"/>
    <mergeCell ref="CH38:CI38"/>
    <mergeCell ref="CJ38:CL38"/>
    <mergeCell ref="CK39:CL39"/>
    <mergeCell ref="CK40:CL40"/>
    <mergeCell ref="CJ46:CJ47"/>
    <mergeCell ref="CK46:CK47"/>
    <mergeCell ref="CL46:CL47"/>
    <mergeCell ref="CC170:CC171"/>
    <mergeCell ref="CD170:CD171"/>
    <mergeCell ref="CE170:CE171"/>
    <mergeCell ref="CF170:CF171"/>
    <mergeCell ref="CC186:CC187"/>
    <mergeCell ref="CD186:CD187"/>
    <mergeCell ref="CE186:CE187"/>
    <mergeCell ref="CF186:CF187"/>
    <mergeCell ref="CC202:CC203"/>
    <mergeCell ref="CD202:CD203"/>
    <mergeCell ref="CE202:CE203"/>
    <mergeCell ref="CF202:CF203"/>
    <mergeCell ref="CC218:CC219"/>
    <mergeCell ref="CD218:CD219"/>
    <mergeCell ref="CE218:CE219"/>
    <mergeCell ref="CF218:CF219"/>
    <mergeCell ref="CC234:CC235"/>
    <mergeCell ref="CD234:CD235"/>
    <mergeCell ref="CE234:CE235"/>
    <mergeCell ref="CF234:CF235"/>
    <mergeCell ref="CC174:CC175"/>
    <mergeCell ref="CD174:CD175"/>
    <mergeCell ref="CE174:CE175"/>
    <mergeCell ref="CF174:CF175"/>
    <mergeCell ref="CC222:CC223"/>
    <mergeCell ref="CD222:CD223"/>
    <mergeCell ref="CE222:CE223"/>
    <mergeCell ref="CF222:CF223"/>
    <mergeCell ref="CC90:CC91"/>
    <mergeCell ref="CD90:CD91"/>
    <mergeCell ref="CE90:CE91"/>
    <mergeCell ref="CF90:CF91"/>
    <mergeCell ref="CC106:CC107"/>
    <mergeCell ref="CD106:CD107"/>
    <mergeCell ref="CE106:CE107"/>
    <mergeCell ref="CF106:CF107"/>
    <mergeCell ref="CC122:CC123"/>
    <mergeCell ref="CD122:CD123"/>
    <mergeCell ref="CE122:CE123"/>
    <mergeCell ref="CF122:CF123"/>
    <mergeCell ref="CC138:CC139"/>
    <mergeCell ref="CD138:CD139"/>
    <mergeCell ref="CE138:CE139"/>
    <mergeCell ref="CF138:CF139"/>
    <mergeCell ref="CC154:CC155"/>
    <mergeCell ref="CD154:CD155"/>
    <mergeCell ref="CE154:CE155"/>
    <mergeCell ref="CF154:CF155"/>
    <mergeCell ref="CC142:CC143"/>
    <mergeCell ref="CD142:CD143"/>
    <mergeCell ref="CE142:CE143"/>
    <mergeCell ref="CF142:CF143"/>
    <mergeCell ref="BV282:BV283"/>
    <mergeCell ref="BW282:BW283"/>
    <mergeCell ref="BX282:BX283"/>
    <mergeCell ref="BY282:BY283"/>
    <mergeCell ref="CC7:CC8"/>
    <mergeCell ref="CD7:CD8"/>
    <mergeCell ref="CE7:CE8"/>
    <mergeCell ref="CF7:CF8"/>
    <mergeCell ref="BZ27:CE27"/>
    <mergeCell ref="BZ28:CE28"/>
    <mergeCell ref="BZ29:CE29"/>
    <mergeCell ref="BZ30:CE30"/>
    <mergeCell ref="BZ32:CE32"/>
    <mergeCell ref="BZ33:CE33"/>
    <mergeCell ref="BZ35:CF35"/>
    <mergeCell ref="BZ37:CE37"/>
    <mergeCell ref="CF37:CF39"/>
    <mergeCell ref="CA38:CB38"/>
    <mergeCell ref="CC38:CE38"/>
    <mergeCell ref="CD39:CE39"/>
    <mergeCell ref="CD40:CE40"/>
    <mergeCell ref="CC46:CC47"/>
    <mergeCell ref="CD46:CD47"/>
    <mergeCell ref="CE46:CE47"/>
    <mergeCell ref="CF46:CF47"/>
    <mergeCell ref="CC58:CC59"/>
    <mergeCell ref="CD58:CD59"/>
    <mergeCell ref="CE58:CE59"/>
    <mergeCell ref="CF58:CF59"/>
    <mergeCell ref="CC74:CC75"/>
    <mergeCell ref="CD74:CD75"/>
    <mergeCell ref="CE74:CE75"/>
    <mergeCell ref="BV202:BV203"/>
    <mergeCell ref="BW202:BW203"/>
    <mergeCell ref="BX202:BX203"/>
    <mergeCell ref="BY202:BY203"/>
    <mergeCell ref="BV218:BV219"/>
    <mergeCell ref="BW218:BW219"/>
    <mergeCell ref="BX218:BX219"/>
    <mergeCell ref="BY218:BY219"/>
    <mergeCell ref="BV234:BV235"/>
    <mergeCell ref="BW234:BW235"/>
    <mergeCell ref="BX234:BX235"/>
    <mergeCell ref="BY234:BY235"/>
    <mergeCell ref="BV250:BV251"/>
    <mergeCell ref="BW250:BW251"/>
    <mergeCell ref="BX250:BX251"/>
    <mergeCell ref="BY250:BY251"/>
    <mergeCell ref="BV266:BV267"/>
    <mergeCell ref="BW266:BW267"/>
    <mergeCell ref="BX266:BX267"/>
    <mergeCell ref="BY266:BY267"/>
    <mergeCell ref="BV222:BV223"/>
    <mergeCell ref="BW222:BW223"/>
    <mergeCell ref="BX222:BX223"/>
    <mergeCell ref="BY222:BY223"/>
    <mergeCell ref="BV122:BV123"/>
    <mergeCell ref="BW122:BW123"/>
    <mergeCell ref="BX122:BX123"/>
    <mergeCell ref="BY122:BY123"/>
    <mergeCell ref="BV138:BV139"/>
    <mergeCell ref="BW138:BW139"/>
    <mergeCell ref="BX138:BX139"/>
    <mergeCell ref="BY138:BY139"/>
    <mergeCell ref="BV154:BV155"/>
    <mergeCell ref="BW154:BW155"/>
    <mergeCell ref="BX154:BX155"/>
    <mergeCell ref="BY154:BY155"/>
    <mergeCell ref="BV170:BV171"/>
    <mergeCell ref="BW170:BW171"/>
    <mergeCell ref="BX170:BX171"/>
    <mergeCell ref="BY170:BY171"/>
    <mergeCell ref="BV186:BV187"/>
    <mergeCell ref="BW186:BW187"/>
    <mergeCell ref="BX186:BX187"/>
    <mergeCell ref="BY186:BY187"/>
    <mergeCell ref="BV142:BV143"/>
    <mergeCell ref="BW142:BW143"/>
    <mergeCell ref="BX142:BX143"/>
    <mergeCell ref="BY142:BY143"/>
    <mergeCell ref="BV174:BV175"/>
    <mergeCell ref="BW174:BW175"/>
    <mergeCell ref="BX174:BX175"/>
    <mergeCell ref="BY174:BY175"/>
    <mergeCell ref="BY46:BY47"/>
    <mergeCell ref="BV58:BV59"/>
    <mergeCell ref="BW58:BW59"/>
    <mergeCell ref="BX58:BX59"/>
    <mergeCell ref="BY58:BY59"/>
    <mergeCell ref="BV74:BV75"/>
    <mergeCell ref="BW74:BW75"/>
    <mergeCell ref="BX74:BX75"/>
    <mergeCell ref="BY74:BY75"/>
    <mergeCell ref="BV90:BV91"/>
    <mergeCell ref="BW90:BW91"/>
    <mergeCell ref="BX90:BX91"/>
    <mergeCell ref="BY90:BY91"/>
    <mergeCell ref="BV106:BV107"/>
    <mergeCell ref="BW106:BW107"/>
    <mergeCell ref="BX106:BX107"/>
    <mergeCell ref="BY106:BY107"/>
    <mergeCell ref="BO250:BO251"/>
    <mergeCell ref="BP250:BP251"/>
    <mergeCell ref="BQ250:BQ251"/>
    <mergeCell ref="BR250:BR251"/>
    <mergeCell ref="BO266:BO267"/>
    <mergeCell ref="BP266:BP267"/>
    <mergeCell ref="BQ266:BQ267"/>
    <mergeCell ref="BR266:BR267"/>
    <mergeCell ref="BO282:BO283"/>
    <mergeCell ref="BP282:BP283"/>
    <mergeCell ref="BQ282:BQ283"/>
    <mergeCell ref="BR282:BR283"/>
    <mergeCell ref="BV7:BV8"/>
    <mergeCell ref="BW7:BW8"/>
    <mergeCell ref="BX7:BX8"/>
    <mergeCell ref="BY7:BY8"/>
    <mergeCell ref="BS27:BX27"/>
    <mergeCell ref="BS28:BX28"/>
    <mergeCell ref="BS29:BX29"/>
    <mergeCell ref="BS30:BX30"/>
    <mergeCell ref="BS32:BX32"/>
    <mergeCell ref="BS33:BX33"/>
    <mergeCell ref="BS35:BY35"/>
    <mergeCell ref="BS37:BX37"/>
    <mergeCell ref="BY37:BY39"/>
    <mergeCell ref="BT38:BU38"/>
    <mergeCell ref="BV38:BX38"/>
    <mergeCell ref="BW39:BX39"/>
    <mergeCell ref="BW40:BX40"/>
    <mergeCell ref="BV46:BV47"/>
    <mergeCell ref="BW46:BW47"/>
    <mergeCell ref="BX46:BX47"/>
    <mergeCell ref="BO170:BO171"/>
    <mergeCell ref="BP170:BP171"/>
    <mergeCell ref="BQ170:BQ171"/>
    <mergeCell ref="BR170:BR171"/>
    <mergeCell ref="BO186:BO187"/>
    <mergeCell ref="BP186:BP187"/>
    <mergeCell ref="BQ186:BQ187"/>
    <mergeCell ref="BR186:BR187"/>
    <mergeCell ref="BO202:BO203"/>
    <mergeCell ref="BP202:BP203"/>
    <mergeCell ref="BQ202:BQ203"/>
    <mergeCell ref="BR202:BR203"/>
    <mergeCell ref="BO218:BO219"/>
    <mergeCell ref="BP218:BP219"/>
    <mergeCell ref="BQ218:BQ219"/>
    <mergeCell ref="BR218:BR219"/>
    <mergeCell ref="BO234:BO235"/>
    <mergeCell ref="BP234:BP235"/>
    <mergeCell ref="BQ234:BQ235"/>
    <mergeCell ref="BR234:BR235"/>
    <mergeCell ref="BP174:BP175"/>
    <mergeCell ref="BQ174:BQ175"/>
    <mergeCell ref="BR174:BR175"/>
    <mergeCell ref="BQ190:BQ191"/>
    <mergeCell ref="BR190:BR191"/>
    <mergeCell ref="BR206:BR207"/>
    <mergeCell ref="BQ222:BQ223"/>
    <mergeCell ref="BR222:BR223"/>
    <mergeCell ref="BO90:BO91"/>
    <mergeCell ref="BP90:BP91"/>
    <mergeCell ref="BQ90:BQ91"/>
    <mergeCell ref="BR90:BR91"/>
    <mergeCell ref="BO106:BO107"/>
    <mergeCell ref="BP106:BP107"/>
    <mergeCell ref="BQ106:BQ107"/>
    <mergeCell ref="BR106:BR107"/>
    <mergeCell ref="BO122:BO123"/>
    <mergeCell ref="BP122:BP123"/>
    <mergeCell ref="BQ122:BQ123"/>
    <mergeCell ref="BR122:BR123"/>
    <mergeCell ref="BO138:BO139"/>
    <mergeCell ref="BP138:BP139"/>
    <mergeCell ref="BQ138:BQ139"/>
    <mergeCell ref="BR138:BR139"/>
    <mergeCell ref="BO154:BO155"/>
    <mergeCell ref="BP154:BP155"/>
    <mergeCell ref="BQ154:BQ155"/>
    <mergeCell ref="BR154:BR155"/>
    <mergeCell ref="BQ142:BQ143"/>
    <mergeCell ref="BR142:BR143"/>
    <mergeCell ref="BH282:BH283"/>
    <mergeCell ref="BI282:BI283"/>
    <mergeCell ref="BJ282:BJ283"/>
    <mergeCell ref="BK282:BK283"/>
    <mergeCell ref="BO7:BO8"/>
    <mergeCell ref="BP7:BP8"/>
    <mergeCell ref="BQ7:BQ8"/>
    <mergeCell ref="BR7:BR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P40:BQ40"/>
    <mergeCell ref="BO46:BO47"/>
    <mergeCell ref="BP46:BP47"/>
    <mergeCell ref="BQ46:BQ47"/>
    <mergeCell ref="BR46:BR47"/>
    <mergeCell ref="BO58:BO59"/>
    <mergeCell ref="BP58:BP59"/>
    <mergeCell ref="BQ58:BQ59"/>
    <mergeCell ref="BR58:BR59"/>
    <mergeCell ref="BO74:BO75"/>
    <mergeCell ref="BP74:BP75"/>
    <mergeCell ref="BQ74:BQ75"/>
    <mergeCell ref="BH202:BH203"/>
    <mergeCell ref="BI202:BI203"/>
    <mergeCell ref="BJ202:BJ203"/>
    <mergeCell ref="BK202:BK203"/>
    <mergeCell ref="BH218:BH219"/>
    <mergeCell ref="BI218:BI219"/>
    <mergeCell ref="BJ218:BJ219"/>
    <mergeCell ref="BK218:BK219"/>
    <mergeCell ref="BH234:BH235"/>
    <mergeCell ref="BI234:BI235"/>
    <mergeCell ref="BJ234:BJ235"/>
    <mergeCell ref="BK234:BK235"/>
    <mergeCell ref="BH250:BH251"/>
    <mergeCell ref="BI250:BI251"/>
    <mergeCell ref="BJ250:BJ251"/>
    <mergeCell ref="BK250:BK251"/>
    <mergeCell ref="BH266:BH267"/>
    <mergeCell ref="BI266:BI267"/>
    <mergeCell ref="BJ266:BJ267"/>
    <mergeCell ref="BK266:BK267"/>
    <mergeCell ref="BH122:BH123"/>
    <mergeCell ref="BI122:BI123"/>
    <mergeCell ref="BJ122:BJ123"/>
    <mergeCell ref="BK122:BK123"/>
    <mergeCell ref="BH138:BH139"/>
    <mergeCell ref="BI138:BI139"/>
    <mergeCell ref="BJ138:BJ139"/>
    <mergeCell ref="BK138:BK139"/>
    <mergeCell ref="BH154:BH155"/>
    <mergeCell ref="BI154:BI155"/>
    <mergeCell ref="BJ154:BJ155"/>
    <mergeCell ref="BK154:BK155"/>
    <mergeCell ref="BH170:BH171"/>
    <mergeCell ref="BI170:BI171"/>
    <mergeCell ref="BJ170:BJ171"/>
    <mergeCell ref="BK170:BK171"/>
    <mergeCell ref="BH186:BH187"/>
    <mergeCell ref="BI186:BI187"/>
    <mergeCell ref="BJ186:BJ187"/>
    <mergeCell ref="BK186:BK187"/>
    <mergeCell ref="BA282:BA283"/>
    <mergeCell ref="BB282:BB283"/>
    <mergeCell ref="BC282:BC283"/>
    <mergeCell ref="BD282:BD283"/>
    <mergeCell ref="BH7:BH8"/>
    <mergeCell ref="BI7:BI8"/>
    <mergeCell ref="BJ7:BJ8"/>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I40:BJ40"/>
    <mergeCell ref="BH46:BH47"/>
    <mergeCell ref="BI46:BI47"/>
    <mergeCell ref="BJ46:BJ47"/>
    <mergeCell ref="BK46:BK47"/>
    <mergeCell ref="BH58:BH59"/>
    <mergeCell ref="BI58:BI59"/>
    <mergeCell ref="BJ58:BJ59"/>
    <mergeCell ref="BK58:BK59"/>
    <mergeCell ref="BH74:BH75"/>
    <mergeCell ref="BI74:BI75"/>
    <mergeCell ref="BJ74:BJ75"/>
    <mergeCell ref="BA202:BA203"/>
    <mergeCell ref="BB202:BB203"/>
    <mergeCell ref="BC202:BC203"/>
    <mergeCell ref="BD202:BD203"/>
    <mergeCell ref="BA218:BA219"/>
    <mergeCell ref="BB218:BB219"/>
    <mergeCell ref="BC218:BC219"/>
    <mergeCell ref="BD218:BD219"/>
    <mergeCell ref="BA234:BA235"/>
    <mergeCell ref="BB234:BB235"/>
    <mergeCell ref="BC234:BC235"/>
    <mergeCell ref="BD234:BD235"/>
    <mergeCell ref="BA250:BA251"/>
    <mergeCell ref="BB250:BB251"/>
    <mergeCell ref="BC250:BC251"/>
    <mergeCell ref="BD250:BD251"/>
    <mergeCell ref="BA266:BA267"/>
    <mergeCell ref="BB266:BB267"/>
    <mergeCell ref="BC266:BC267"/>
    <mergeCell ref="BD266:BD267"/>
    <mergeCell ref="BA122:BA123"/>
    <mergeCell ref="BB122:BB123"/>
    <mergeCell ref="BC122:BC123"/>
    <mergeCell ref="BD122:BD123"/>
    <mergeCell ref="BA138:BA139"/>
    <mergeCell ref="BB138:BB139"/>
    <mergeCell ref="BC138:BC139"/>
    <mergeCell ref="BD138:BD139"/>
    <mergeCell ref="BA154:BA155"/>
    <mergeCell ref="BB154:BB155"/>
    <mergeCell ref="BC154:BC155"/>
    <mergeCell ref="BD154:BD155"/>
    <mergeCell ref="BA170:BA171"/>
    <mergeCell ref="BB170:BB171"/>
    <mergeCell ref="BC170:BC171"/>
    <mergeCell ref="BD170:BD171"/>
    <mergeCell ref="BA186:BA187"/>
    <mergeCell ref="BB186:BB187"/>
    <mergeCell ref="BC186:BC187"/>
    <mergeCell ref="BD186:BD187"/>
    <mergeCell ref="BA46:BA47"/>
    <mergeCell ref="BB46:BB47"/>
    <mergeCell ref="BC46:BC47"/>
    <mergeCell ref="BD46:BD47"/>
    <mergeCell ref="BA58:BA59"/>
    <mergeCell ref="BB58:BB59"/>
    <mergeCell ref="BC58:BC59"/>
    <mergeCell ref="BD58:BD59"/>
    <mergeCell ref="BA74:BA75"/>
    <mergeCell ref="BB74:BB75"/>
    <mergeCell ref="BC74:BC75"/>
    <mergeCell ref="BD74:BD75"/>
    <mergeCell ref="BA90:BA91"/>
    <mergeCell ref="BB90:BB91"/>
    <mergeCell ref="BC90:BC91"/>
    <mergeCell ref="BD90:BD91"/>
    <mergeCell ref="BA106:BA107"/>
    <mergeCell ref="BB106:BB107"/>
    <mergeCell ref="BC106:BC107"/>
    <mergeCell ref="BD106:BD107"/>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AT218:AT219"/>
    <mergeCell ref="AU218:AU219"/>
    <mergeCell ref="AV218:AV219"/>
    <mergeCell ref="AW218:AW219"/>
    <mergeCell ref="AT234:AT235"/>
    <mergeCell ref="AU234:AU235"/>
    <mergeCell ref="AV234:AV235"/>
    <mergeCell ref="AW234:AW235"/>
    <mergeCell ref="AT250:AT251"/>
    <mergeCell ref="AU250:AU251"/>
    <mergeCell ref="AV250:AV251"/>
    <mergeCell ref="AW250:AW251"/>
    <mergeCell ref="AT266:AT267"/>
    <mergeCell ref="AU266:AU267"/>
    <mergeCell ref="AV266:AV267"/>
    <mergeCell ref="AW266:AW267"/>
    <mergeCell ref="AT282:AT283"/>
    <mergeCell ref="AU282:AU283"/>
    <mergeCell ref="AV282:AV283"/>
    <mergeCell ref="AW282:AW283"/>
    <mergeCell ref="AT138:AT139"/>
    <mergeCell ref="AU138:AU139"/>
    <mergeCell ref="AV138:AV139"/>
    <mergeCell ref="AW138:AW139"/>
    <mergeCell ref="AT154:AT155"/>
    <mergeCell ref="AU154:AU155"/>
    <mergeCell ref="AV154:AV155"/>
    <mergeCell ref="AW154:AW155"/>
    <mergeCell ref="AT170:AT171"/>
    <mergeCell ref="AU170:AU171"/>
    <mergeCell ref="AV170:AV171"/>
    <mergeCell ref="AW170:AW171"/>
    <mergeCell ref="AT186:AT187"/>
    <mergeCell ref="AU186:AU187"/>
    <mergeCell ref="AV186:AV187"/>
    <mergeCell ref="AW186:AW187"/>
    <mergeCell ref="AT202:AT203"/>
    <mergeCell ref="AU202:AU203"/>
    <mergeCell ref="AV202:AV203"/>
    <mergeCell ref="AW202:AW203"/>
    <mergeCell ref="AU46:AU47"/>
    <mergeCell ref="AV46:AV47"/>
    <mergeCell ref="AW46:AW47"/>
    <mergeCell ref="AT58:AT59"/>
    <mergeCell ref="AU58:AU59"/>
    <mergeCell ref="AV58:AV59"/>
    <mergeCell ref="AW58:AW59"/>
    <mergeCell ref="AT74:AT75"/>
    <mergeCell ref="AU74:AU75"/>
    <mergeCell ref="AV74:AV75"/>
    <mergeCell ref="AW74:AW75"/>
    <mergeCell ref="AT90:AT91"/>
    <mergeCell ref="AU90:AU91"/>
    <mergeCell ref="AV90:AV91"/>
    <mergeCell ref="AW90:AW91"/>
    <mergeCell ref="AT106:AT107"/>
    <mergeCell ref="AU106:AU107"/>
    <mergeCell ref="AV106:AV107"/>
    <mergeCell ref="AW106:AW107"/>
    <mergeCell ref="AT7:AT8"/>
    <mergeCell ref="AU7:AU8"/>
    <mergeCell ref="AV7:AV8"/>
    <mergeCell ref="AW7:AW8"/>
    <mergeCell ref="AQ27:AV27"/>
    <mergeCell ref="AQ28:AV28"/>
    <mergeCell ref="AQ29:AV29"/>
    <mergeCell ref="AQ30:AV30"/>
    <mergeCell ref="AQ32:AV32"/>
    <mergeCell ref="AQ33:AV33"/>
    <mergeCell ref="AQ35:AW35"/>
    <mergeCell ref="AQ37:AV37"/>
    <mergeCell ref="AW37:AW39"/>
    <mergeCell ref="AR38:AS38"/>
    <mergeCell ref="AT38:AV38"/>
    <mergeCell ref="AU39:AV39"/>
    <mergeCell ref="AU40:AV40"/>
    <mergeCell ref="AM58:AM59"/>
    <mergeCell ref="AN58:AN59"/>
    <mergeCell ref="AO58:AO59"/>
    <mergeCell ref="AP58:AP59"/>
    <mergeCell ref="AM74:AM75"/>
    <mergeCell ref="AN74:AN75"/>
    <mergeCell ref="AO74:AO75"/>
    <mergeCell ref="AP74:AP75"/>
    <mergeCell ref="AM90:AM91"/>
    <mergeCell ref="AN90:AN91"/>
    <mergeCell ref="AO90:AO91"/>
    <mergeCell ref="AP90:AP91"/>
    <mergeCell ref="AM106:AM107"/>
    <mergeCell ref="AN106:AN107"/>
    <mergeCell ref="AO106:AO107"/>
    <mergeCell ref="AP106:AP107"/>
    <mergeCell ref="AM122:AM123"/>
    <mergeCell ref="AN122:AN123"/>
    <mergeCell ref="AO122:AO123"/>
    <mergeCell ref="AP122:AP123"/>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N40:AO40"/>
    <mergeCell ref="CV282:CV283"/>
    <mergeCell ref="AG282:AG283"/>
    <mergeCell ref="AH282:AH283"/>
    <mergeCell ref="AF282:AF283"/>
    <mergeCell ref="E277:E292"/>
    <mergeCell ref="V277:AB277"/>
    <mergeCell ref="AC277:CU277"/>
    <mergeCell ref="F278:F291"/>
    <mergeCell ref="V278:AB278"/>
    <mergeCell ref="AC278:CU278"/>
    <mergeCell ref="G279:G290"/>
    <mergeCell ref="V279:AB279"/>
    <mergeCell ref="AC279:CU279"/>
    <mergeCell ref="H280:H290"/>
    <mergeCell ref="AI282:AI283"/>
    <mergeCell ref="K282:K283"/>
    <mergeCell ref="Y282:Y283"/>
    <mergeCell ref="Z282:Z283"/>
    <mergeCell ref="AA282:AA283"/>
    <mergeCell ref="AB282:AB283"/>
    <mergeCell ref="I280:I289"/>
    <mergeCell ref="P280:P289"/>
    <mergeCell ref="V280:AB280"/>
    <mergeCell ref="AC280:CU280"/>
    <mergeCell ref="J281:J284"/>
    <mergeCell ref="Q281:Q284"/>
    <mergeCell ref="V281:AB281"/>
    <mergeCell ref="AC281:CU281"/>
    <mergeCell ref="AM282:AM283"/>
    <mergeCell ref="AN282:AN283"/>
    <mergeCell ref="AO282:AO283"/>
    <mergeCell ref="AP282:AP283"/>
    <mergeCell ref="CV266:CV267"/>
    <mergeCell ref="AG266:AG267"/>
    <mergeCell ref="AH266:AH267"/>
    <mergeCell ref="AF266:AF267"/>
    <mergeCell ref="E261:E276"/>
    <mergeCell ref="V261:AB261"/>
    <mergeCell ref="AC261:CU261"/>
    <mergeCell ref="F262:F275"/>
    <mergeCell ref="V262:AB262"/>
    <mergeCell ref="AC262:CU262"/>
    <mergeCell ref="G263:G274"/>
    <mergeCell ref="V263:AB263"/>
    <mergeCell ref="AC263:CU263"/>
    <mergeCell ref="H264:H274"/>
    <mergeCell ref="AI266:AI267"/>
    <mergeCell ref="K266:K267"/>
    <mergeCell ref="Y266:Y267"/>
    <mergeCell ref="Z266:Z267"/>
    <mergeCell ref="AA266:AA267"/>
    <mergeCell ref="AB266:AB267"/>
    <mergeCell ref="I264:I273"/>
    <mergeCell ref="P264:P273"/>
    <mergeCell ref="V264:AB264"/>
    <mergeCell ref="AC264:CU264"/>
    <mergeCell ref="J265:J268"/>
    <mergeCell ref="Q265:Q268"/>
    <mergeCell ref="V265:AB265"/>
    <mergeCell ref="AC265:CU265"/>
    <mergeCell ref="AM266:AM267"/>
    <mergeCell ref="AN266:AN267"/>
    <mergeCell ref="AO266:AO267"/>
    <mergeCell ref="AP266:AP267"/>
    <mergeCell ref="CV250:CV251"/>
    <mergeCell ref="AG250:AG251"/>
    <mergeCell ref="AH250:AH251"/>
    <mergeCell ref="AF250:AF251"/>
    <mergeCell ref="E245:E260"/>
    <mergeCell ref="V245:AB245"/>
    <mergeCell ref="AC245:CU245"/>
    <mergeCell ref="F246:F259"/>
    <mergeCell ref="V246:AB246"/>
    <mergeCell ref="AC246:CU246"/>
    <mergeCell ref="G247:G258"/>
    <mergeCell ref="V247:AB247"/>
    <mergeCell ref="AC247:CU247"/>
    <mergeCell ref="H248:H258"/>
    <mergeCell ref="AI250:AI251"/>
    <mergeCell ref="K250:K251"/>
    <mergeCell ref="Y250:Y251"/>
    <mergeCell ref="Z250:Z251"/>
    <mergeCell ref="AA250:AA251"/>
    <mergeCell ref="AB250:AB251"/>
    <mergeCell ref="I248:I257"/>
    <mergeCell ref="P248:P257"/>
    <mergeCell ref="V248:AB248"/>
    <mergeCell ref="AC248:CU248"/>
    <mergeCell ref="J249:J252"/>
    <mergeCell ref="Q249:Q252"/>
    <mergeCell ref="V249:AB249"/>
    <mergeCell ref="AC249:CU249"/>
    <mergeCell ref="AM250:AM251"/>
    <mergeCell ref="AN250:AN251"/>
    <mergeCell ref="AO250:AO251"/>
    <mergeCell ref="AP250:AP251"/>
    <mergeCell ref="CV234:CV235"/>
    <mergeCell ref="AG234:AG235"/>
    <mergeCell ref="AH234:AH235"/>
    <mergeCell ref="AF234:AF235"/>
    <mergeCell ref="E229:E244"/>
    <mergeCell ref="V229:AB229"/>
    <mergeCell ref="AC229:CU229"/>
    <mergeCell ref="F230:F243"/>
    <mergeCell ref="V230:AB230"/>
    <mergeCell ref="AC230:CU230"/>
    <mergeCell ref="G231:G242"/>
    <mergeCell ref="V231:AB231"/>
    <mergeCell ref="AC231:CU231"/>
    <mergeCell ref="H232:H242"/>
    <mergeCell ref="AI234:AI235"/>
    <mergeCell ref="K234:K235"/>
    <mergeCell ref="Y234:Y235"/>
    <mergeCell ref="Z234:Z235"/>
    <mergeCell ref="AA234:AA235"/>
    <mergeCell ref="AB234:AB235"/>
    <mergeCell ref="I232:I241"/>
    <mergeCell ref="P232:P241"/>
    <mergeCell ref="V232:AB232"/>
    <mergeCell ref="AC232:CU232"/>
    <mergeCell ref="J233:J236"/>
    <mergeCell ref="Q233:Q236"/>
    <mergeCell ref="V233:AB233"/>
    <mergeCell ref="AC233:CU233"/>
    <mergeCell ref="AM234:AM235"/>
    <mergeCell ref="AN234:AN235"/>
    <mergeCell ref="AO234:AO235"/>
    <mergeCell ref="AP234:AP235"/>
    <mergeCell ref="CV218:CV219"/>
    <mergeCell ref="AG218:AG219"/>
    <mergeCell ref="AH218:AH219"/>
    <mergeCell ref="AF218:AF219"/>
    <mergeCell ref="E213:E228"/>
    <mergeCell ref="V213:AB213"/>
    <mergeCell ref="AC213:CU213"/>
    <mergeCell ref="F214:F227"/>
    <mergeCell ref="V214:AB214"/>
    <mergeCell ref="AC214:CU214"/>
    <mergeCell ref="G215:G226"/>
    <mergeCell ref="V215:AB215"/>
    <mergeCell ref="AC215:CU215"/>
    <mergeCell ref="H216:H226"/>
    <mergeCell ref="AI218:AI219"/>
    <mergeCell ref="K218:K219"/>
    <mergeCell ref="Y218:Y219"/>
    <mergeCell ref="Z218:Z219"/>
    <mergeCell ref="AA218:AA219"/>
    <mergeCell ref="AB218:AB219"/>
    <mergeCell ref="I216:I225"/>
    <mergeCell ref="P216:P225"/>
    <mergeCell ref="V216:AB216"/>
    <mergeCell ref="AC216:CU216"/>
    <mergeCell ref="J217:J220"/>
    <mergeCell ref="Q217:Q220"/>
    <mergeCell ref="V217:AB217"/>
    <mergeCell ref="AC217:CU217"/>
    <mergeCell ref="AM218:AM219"/>
    <mergeCell ref="AN218:AN219"/>
    <mergeCell ref="AO218:AO219"/>
    <mergeCell ref="AP218:AP219"/>
    <mergeCell ref="CV202:CV203"/>
    <mergeCell ref="AG202:AG203"/>
    <mergeCell ref="AH202:AH203"/>
    <mergeCell ref="AF202:AF203"/>
    <mergeCell ref="E197:E212"/>
    <mergeCell ref="V197:AB197"/>
    <mergeCell ref="AC197:CU197"/>
    <mergeCell ref="F198:F211"/>
    <mergeCell ref="V198:AB198"/>
    <mergeCell ref="AC198:CU198"/>
    <mergeCell ref="G199:G210"/>
    <mergeCell ref="V199:AB199"/>
    <mergeCell ref="AC199:CU199"/>
    <mergeCell ref="H200:H210"/>
    <mergeCell ref="AI202:AI203"/>
    <mergeCell ref="K202:K203"/>
    <mergeCell ref="Y202:Y203"/>
    <mergeCell ref="Z202:Z203"/>
    <mergeCell ref="AA202:AA203"/>
    <mergeCell ref="AB202:AB203"/>
    <mergeCell ref="I200:I209"/>
    <mergeCell ref="P200:P209"/>
    <mergeCell ref="V200:AB200"/>
    <mergeCell ref="AC200:CU200"/>
    <mergeCell ref="J201:J204"/>
    <mergeCell ref="Q201:Q204"/>
    <mergeCell ref="V201:AB201"/>
    <mergeCell ref="AC201:CU201"/>
    <mergeCell ref="AM202:AM203"/>
    <mergeCell ref="AN202:AN203"/>
    <mergeCell ref="AO202:AO203"/>
    <mergeCell ref="AP202:AP203"/>
    <mergeCell ref="CV186:CV187"/>
    <mergeCell ref="AG186:AG187"/>
    <mergeCell ref="AH186:AH187"/>
    <mergeCell ref="AF186:AF187"/>
    <mergeCell ref="E181:E196"/>
    <mergeCell ref="V181:AB181"/>
    <mergeCell ref="AC181:CU181"/>
    <mergeCell ref="F182:F195"/>
    <mergeCell ref="V182:AB182"/>
    <mergeCell ref="AC182:CU182"/>
    <mergeCell ref="G183:G194"/>
    <mergeCell ref="V183:AB183"/>
    <mergeCell ref="AC183:CU183"/>
    <mergeCell ref="H184:H194"/>
    <mergeCell ref="AI186:AI187"/>
    <mergeCell ref="K186:K187"/>
    <mergeCell ref="Y186:Y187"/>
    <mergeCell ref="Z186:Z187"/>
    <mergeCell ref="AA186:AA187"/>
    <mergeCell ref="AB186:AB187"/>
    <mergeCell ref="I184:I193"/>
    <mergeCell ref="P184:P193"/>
    <mergeCell ref="V184:AB184"/>
    <mergeCell ref="AC184:CU184"/>
    <mergeCell ref="J185:J188"/>
    <mergeCell ref="Q185:Q188"/>
    <mergeCell ref="V185:AB185"/>
    <mergeCell ref="AC185:CU185"/>
    <mergeCell ref="AM186:AM187"/>
    <mergeCell ref="AN186:AN187"/>
    <mergeCell ref="AO186:AO187"/>
    <mergeCell ref="AP186:AP187"/>
    <mergeCell ref="CV170:CV171"/>
    <mergeCell ref="AG170:AG171"/>
    <mergeCell ref="AH170:AH171"/>
    <mergeCell ref="AF170:AF171"/>
    <mergeCell ref="E165:E180"/>
    <mergeCell ref="V165:AB165"/>
    <mergeCell ref="AC165:CU165"/>
    <mergeCell ref="F166:F179"/>
    <mergeCell ref="V166:AB166"/>
    <mergeCell ref="AC166:CU166"/>
    <mergeCell ref="G167:G178"/>
    <mergeCell ref="V167:AB167"/>
    <mergeCell ref="AC167:CU167"/>
    <mergeCell ref="H168:H178"/>
    <mergeCell ref="AI170:AI171"/>
    <mergeCell ref="K170:K171"/>
    <mergeCell ref="Y170:Y171"/>
    <mergeCell ref="Z170:Z171"/>
    <mergeCell ref="AA170:AA171"/>
    <mergeCell ref="AB170:AB171"/>
    <mergeCell ref="I168:I177"/>
    <mergeCell ref="P168:P177"/>
    <mergeCell ref="V168:AB168"/>
    <mergeCell ref="AC168:CU168"/>
    <mergeCell ref="J169:J172"/>
    <mergeCell ref="Q169:Q172"/>
    <mergeCell ref="V169:AB169"/>
    <mergeCell ref="AC169:CU169"/>
    <mergeCell ref="AM170:AM171"/>
    <mergeCell ref="AN170:AN171"/>
    <mergeCell ref="AO170:AO171"/>
    <mergeCell ref="AP170:AP171"/>
    <mergeCell ref="CV154:CV155"/>
    <mergeCell ref="AG154:AG155"/>
    <mergeCell ref="AH154:AH155"/>
    <mergeCell ref="AF154:AF155"/>
    <mergeCell ref="E149:E164"/>
    <mergeCell ref="V149:AB149"/>
    <mergeCell ref="AC149:CU149"/>
    <mergeCell ref="F150:F163"/>
    <mergeCell ref="V150:AB150"/>
    <mergeCell ref="AC150:CU150"/>
    <mergeCell ref="G151:G162"/>
    <mergeCell ref="V151:AB151"/>
    <mergeCell ref="AC151:CU151"/>
    <mergeCell ref="H152:H162"/>
    <mergeCell ref="AI154:AI155"/>
    <mergeCell ref="K154:K155"/>
    <mergeCell ref="Y154:Y155"/>
    <mergeCell ref="Z154:Z155"/>
    <mergeCell ref="AA154:AA155"/>
    <mergeCell ref="AB154:AB155"/>
    <mergeCell ref="I152:I161"/>
    <mergeCell ref="P152:P161"/>
    <mergeCell ref="V152:AB152"/>
    <mergeCell ref="AC152:CU152"/>
    <mergeCell ref="J153:J156"/>
    <mergeCell ref="Q153:Q156"/>
    <mergeCell ref="V153:AB153"/>
    <mergeCell ref="AC153:CU153"/>
    <mergeCell ref="AM154:AM155"/>
    <mergeCell ref="AN154:AN155"/>
    <mergeCell ref="AO154:AO155"/>
    <mergeCell ref="AP154:AP155"/>
    <mergeCell ref="CV138:CV139"/>
    <mergeCell ref="AG138:AG139"/>
    <mergeCell ref="AH138:AH139"/>
    <mergeCell ref="AF138:AF139"/>
    <mergeCell ref="E133:E148"/>
    <mergeCell ref="V133:AB133"/>
    <mergeCell ref="AC133:CU133"/>
    <mergeCell ref="F134:F147"/>
    <mergeCell ref="V134:AB134"/>
    <mergeCell ref="AC134:CU134"/>
    <mergeCell ref="G135:G146"/>
    <mergeCell ref="V135:AB135"/>
    <mergeCell ref="AC135:CU135"/>
    <mergeCell ref="H136:H146"/>
    <mergeCell ref="AI138:AI139"/>
    <mergeCell ref="K138:K139"/>
    <mergeCell ref="Y138:Y139"/>
    <mergeCell ref="Z138:Z139"/>
    <mergeCell ref="AA138:AA139"/>
    <mergeCell ref="AB138:AB139"/>
    <mergeCell ref="I136:I145"/>
    <mergeCell ref="P136:P145"/>
    <mergeCell ref="V136:AB136"/>
    <mergeCell ref="AC136:CU136"/>
    <mergeCell ref="J137:J140"/>
    <mergeCell ref="Q137:Q140"/>
    <mergeCell ref="V137:AB137"/>
    <mergeCell ref="AC137:CU137"/>
    <mergeCell ref="AM138:AM139"/>
    <mergeCell ref="AN138:AN139"/>
    <mergeCell ref="AO138:AO139"/>
    <mergeCell ref="AP138:AP139"/>
    <mergeCell ref="CV122:CV123"/>
    <mergeCell ref="AG122:AG123"/>
    <mergeCell ref="AH122:AH123"/>
    <mergeCell ref="AF122:AF123"/>
    <mergeCell ref="E117:E132"/>
    <mergeCell ref="V117:AB117"/>
    <mergeCell ref="AC117:CU117"/>
    <mergeCell ref="F118:F131"/>
    <mergeCell ref="V118:AB118"/>
    <mergeCell ref="AC118:CU118"/>
    <mergeCell ref="G119:G130"/>
    <mergeCell ref="V119:AB119"/>
    <mergeCell ref="AC119:CU119"/>
    <mergeCell ref="H120:H130"/>
    <mergeCell ref="AI122:AI123"/>
    <mergeCell ref="K122:K123"/>
    <mergeCell ref="Y122:Y123"/>
    <mergeCell ref="Z122:Z123"/>
    <mergeCell ref="AA122:AA123"/>
    <mergeCell ref="AB122:AB123"/>
    <mergeCell ref="I120:I129"/>
    <mergeCell ref="P120:P129"/>
    <mergeCell ref="V120:AB120"/>
    <mergeCell ref="AC120:CU120"/>
    <mergeCell ref="J121:J124"/>
    <mergeCell ref="Q121:Q124"/>
    <mergeCell ref="V121:AB121"/>
    <mergeCell ref="AC121:CU121"/>
    <mergeCell ref="AT122:AT123"/>
    <mergeCell ref="AU122:AU123"/>
    <mergeCell ref="AV122:AV123"/>
    <mergeCell ref="AW122:AW123"/>
    <mergeCell ref="CV106:CV107"/>
    <mergeCell ref="AG106:AG107"/>
    <mergeCell ref="AH106:AH107"/>
    <mergeCell ref="AF106:AF107"/>
    <mergeCell ref="E101:E116"/>
    <mergeCell ref="V101:AB101"/>
    <mergeCell ref="AC101:CU101"/>
    <mergeCell ref="F102:F115"/>
    <mergeCell ref="V102:AB102"/>
    <mergeCell ref="AC102:CU102"/>
    <mergeCell ref="G103:G114"/>
    <mergeCell ref="V103:AB103"/>
    <mergeCell ref="AC103:CU103"/>
    <mergeCell ref="H104:H114"/>
    <mergeCell ref="AI106:AI107"/>
    <mergeCell ref="K106:K107"/>
    <mergeCell ref="Y106:Y107"/>
    <mergeCell ref="Z106:Z107"/>
    <mergeCell ref="AA106:AA107"/>
    <mergeCell ref="AB106:AB107"/>
    <mergeCell ref="I104:I113"/>
    <mergeCell ref="P104:P113"/>
    <mergeCell ref="V104:AB104"/>
    <mergeCell ref="AC104:CU104"/>
    <mergeCell ref="J105:J108"/>
    <mergeCell ref="Q105:Q108"/>
    <mergeCell ref="V105:AB105"/>
    <mergeCell ref="AC105:CU105"/>
    <mergeCell ref="BH106:BH107"/>
    <mergeCell ref="BI106:BI107"/>
    <mergeCell ref="BJ106:BJ107"/>
    <mergeCell ref="BK106:BK107"/>
    <mergeCell ref="CV90:CV91"/>
    <mergeCell ref="AG90:AG91"/>
    <mergeCell ref="AH90:AH91"/>
    <mergeCell ref="AF90:AF91"/>
    <mergeCell ref="E85:E100"/>
    <mergeCell ref="V85:AB85"/>
    <mergeCell ref="AC85:CU85"/>
    <mergeCell ref="F86:F99"/>
    <mergeCell ref="V86:AB86"/>
    <mergeCell ref="AC86:CU86"/>
    <mergeCell ref="G87:G98"/>
    <mergeCell ref="V87:AB87"/>
    <mergeCell ref="AC87:CU87"/>
    <mergeCell ref="H88:H98"/>
    <mergeCell ref="AI90:AI91"/>
    <mergeCell ref="K90:K91"/>
    <mergeCell ref="Y90:Y91"/>
    <mergeCell ref="Z90:Z91"/>
    <mergeCell ref="AA90:AA91"/>
    <mergeCell ref="AB90:AB91"/>
    <mergeCell ref="I88:I97"/>
    <mergeCell ref="P88:P97"/>
    <mergeCell ref="V88:AB88"/>
    <mergeCell ref="AC88:CU88"/>
    <mergeCell ref="J89:J92"/>
    <mergeCell ref="Q89:Q92"/>
    <mergeCell ref="V89:AB89"/>
    <mergeCell ref="AC89:CU89"/>
    <mergeCell ref="BH90:BH91"/>
    <mergeCell ref="BI90:BI91"/>
    <mergeCell ref="BJ90:BJ91"/>
    <mergeCell ref="BK90:BK91"/>
    <mergeCell ref="V71:AB71"/>
    <mergeCell ref="AC71:CU71"/>
    <mergeCell ref="H72:H82"/>
    <mergeCell ref="AI74:AI75"/>
    <mergeCell ref="K74:K75"/>
    <mergeCell ref="Y74:Y75"/>
    <mergeCell ref="Z74:Z75"/>
    <mergeCell ref="AA74:AA75"/>
    <mergeCell ref="AB74:AB75"/>
    <mergeCell ref="I72:I81"/>
    <mergeCell ref="P72:P81"/>
    <mergeCell ref="V72:AB72"/>
    <mergeCell ref="AC72:CU72"/>
    <mergeCell ref="J73:J76"/>
    <mergeCell ref="Q73:Q76"/>
    <mergeCell ref="V73:AB73"/>
    <mergeCell ref="AC73:CU73"/>
    <mergeCell ref="BK74:BK75"/>
    <mergeCell ref="BR74:BR75"/>
    <mergeCell ref="CF74:CF75"/>
    <mergeCell ref="CT74:CT75"/>
    <mergeCell ref="AH78:AH79"/>
    <mergeCell ref="AF78:AF79"/>
    <mergeCell ref="AI78:AI79"/>
    <mergeCell ref="K78:K79"/>
    <mergeCell ref="Y78:Y79"/>
    <mergeCell ref="Z78:Z79"/>
    <mergeCell ref="AA78:AA79"/>
    <mergeCell ref="AB78:AB79"/>
    <mergeCell ref="J77:J80"/>
    <mergeCell ref="Q77:Q80"/>
    <mergeCell ref="V77:AB77"/>
    <mergeCell ref="I5:I10"/>
    <mergeCell ref="P5:P10"/>
    <mergeCell ref="V5:AB5"/>
    <mergeCell ref="AC5:CU5"/>
    <mergeCell ref="J6:J9"/>
    <mergeCell ref="Q6:Q9"/>
    <mergeCell ref="V6:AB6"/>
    <mergeCell ref="AC6:CU6"/>
    <mergeCell ref="CV58:CV59"/>
    <mergeCell ref="AG58:AG59"/>
    <mergeCell ref="AH58:AH59"/>
    <mergeCell ref="AF58:AF59"/>
    <mergeCell ref="E53:E68"/>
    <mergeCell ref="V53:AB53"/>
    <mergeCell ref="AC53:CU53"/>
    <mergeCell ref="F54:F67"/>
    <mergeCell ref="V54:AB54"/>
    <mergeCell ref="AC54:CU54"/>
    <mergeCell ref="G55:G66"/>
    <mergeCell ref="V55:AB55"/>
    <mergeCell ref="AC55:CU55"/>
    <mergeCell ref="H56:H66"/>
    <mergeCell ref="AI58:AI59"/>
    <mergeCell ref="K58:K59"/>
    <mergeCell ref="Y58:Y59"/>
    <mergeCell ref="Z58:Z59"/>
    <mergeCell ref="AA58:AA59"/>
    <mergeCell ref="AB58:AB59"/>
    <mergeCell ref="I56:I65"/>
    <mergeCell ref="P56:P65"/>
    <mergeCell ref="V56:AB56"/>
    <mergeCell ref="AC56:CU56"/>
    <mergeCell ref="CV7:CV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CU2"/>
    <mergeCell ref="F3:F12"/>
    <mergeCell ref="V3:AB3"/>
    <mergeCell ref="AC3:CU3"/>
    <mergeCell ref="G4:G11"/>
    <mergeCell ref="V4:AB4"/>
    <mergeCell ref="AC4:CU4"/>
    <mergeCell ref="H5:H11"/>
    <mergeCell ref="AI7:AI8"/>
    <mergeCell ref="K7:K8"/>
    <mergeCell ref="Y7:Y8"/>
    <mergeCell ref="Z7:Z8"/>
    <mergeCell ref="AA7:AA8"/>
    <mergeCell ref="AB7:AB8"/>
    <mergeCell ref="CV36:CV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CU37:CU39"/>
    <mergeCell ref="W38:X38"/>
    <mergeCell ref="Y38:AA38"/>
    <mergeCell ref="AD38:AE38"/>
    <mergeCell ref="AF38:AH38"/>
    <mergeCell ref="Z39:AA39"/>
    <mergeCell ref="H44:H50"/>
    <mergeCell ref="I44:I49"/>
    <mergeCell ref="P44:P49"/>
    <mergeCell ref="V44:AB44"/>
    <mergeCell ref="AC44:CU44"/>
    <mergeCell ref="J45:J48"/>
    <mergeCell ref="AG39:AH39"/>
    <mergeCell ref="Z40:AA40"/>
    <mergeCell ref="AG40:AH40"/>
    <mergeCell ref="K46:K47"/>
    <mergeCell ref="V43:AB43"/>
    <mergeCell ref="AC43:CU43"/>
    <mergeCell ref="AC29:AH29"/>
    <mergeCell ref="S30:T30"/>
    <mergeCell ref="V30:AA30"/>
    <mergeCell ref="AC30:AH30"/>
    <mergeCell ref="V35:AB35"/>
    <mergeCell ref="AC35:AI35"/>
    <mergeCell ref="S36:CU36"/>
    <mergeCell ref="AN46:AN47"/>
    <mergeCell ref="AO46:AO47"/>
    <mergeCell ref="AM46:AM47"/>
    <mergeCell ref="AP46:AP47"/>
    <mergeCell ref="Z46:Z47"/>
    <mergeCell ref="AA46:AA47"/>
    <mergeCell ref="Y46:Y47"/>
    <mergeCell ref="AB46:AB47"/>
    <mergeCell ref="AT46:AT47"/>
    <mergeCell ref="T295:CV295"/>
    <mergeCell ref="T297:CV297"/>
    <mergeCell ref="Q45:Q48"/>
    <mergeCell ref="V45:AB45"/>
    <mergeCell ref="AC45:CU45"/>
    <mergeCell ref="AF46:AF47"/>
    <mergeCell ref="AG46:AG47"/>
    <mergeCell ref="CV46:CV47"/>
    <mergeCell ref="AH46:AH47"/>
    <mergeCell ref="AI46:AI47"/>
    <mergeCell ref="E41:E52"/>
    <mergeCell ref="V41:AB41"/>
    <mergeCell ref="AC41:CU41"/>
    <mergeCell ref="F42:F51"/>
    <mergeCell ref="V42:AB42"/>
    <mergeCell ref="AC42:CU42"/>
    <mergeCell ref="G43:G50"/>
    <mergeCell ref="J57:J60"/>
    <mergeCell ref="Q57:Q60"/>
    <mergeCell ref="V57:AB57"/>
    <mergeCell ref="AC57:CU57"/>
    <mergeCell ref="CV74:CV75"/>
    <mergeCell ref="AG74:AG75"/>
    <mergeCell ref="AH74:AH75"/>
    <mergeCell ref="AF74:AF75"/>
    <mergeCell ref="E69:E84"/>
    <mergeCell ref="V69:AB69"/>
    <mergeCell ref="AC69:CU69"/>
    <mergeCell ref="F70:F83"/>
    <mergeCell ref="V70:AB70"/>
    <mergeCell ref="AC70:CU70"/>
    <mergeCell ref="G71:G82"/>
  </mergeCells>
  <dataValidations count="8">
    <dataValidation type="list" allowBlank="1" showInputMessage="1" errorTitle="Ошибка" error="Выберите значение из списка" prompt="Выберите значение из списка" sqref="V983321:CU983321 V65817:CU65817 V131353:CU131353 V196889:CU196889 V262425:CU262425 V327961:CU327961 V393497:CU393497 V459033:CU459033 V524569:CU524569 V590105:CU590105 V655641:CU655641 V721177:CU721177 V786713:CU786713 V852249:CU852249 V917785:CU917785">
      <formula1>kind_of_cons</formula1>
    </dataValidation>
    <dataValidation allowBlank="1" sqref="S131356:CV131362 S196892:CV196898 S262428:CV262434 S327964:CV327970 S393500:CV393506 S459036:CV459042 S524572:CV524578 S590108:CV590114 S655644:CV655650 S721180:CV721186 S786716:CV786722 S852252:CV852258 S917788:CV917794 S983324:CV983330 S65820:CV65826"/>
    <dataValidation allowBlank="1" showInputMessage="1" showErrorMessage="1" prompt="Для выбора выполните двойной щелчок левой клавиши мыши по соответствующей ячейке." sqref="Z65818 Z131354 Z196890 Z262426 Z327962 Z393498 Z459034 Z524570 Z590106 Z655642 Z721178 Z786714 Z852250 Z917786 Z983322 AB131354 AB459034 AB196890 AB262426 AB327962 AB393498 AB524570 AB590106 AB655642 AB721178 AB786714 AB852250 AB917786 AB983322 AB65818 AG65818 AG131354 AG196890 AG262426 AG327962 AG393498 AG459034 AG524570 AG590106 AG655642 AG721178 AG786714 AG852250 AG917786 AG983322 AI524570:CT524570 AI196890:CT196890 AI590106:CT590106 AI655642:CT655642 AI15 AI721178:CT721178 AI786714:CT786714 AI852250:CT852250 AI917786:CT917786 AI983322:CT983322 AI65818:CT65818 AI131354:CT131354 AI459034:CT459034 AI262426:CT262426 AI7 AN7 AP7 AU7 AW7 BB7 BD7 BI7 BK7 BP7 BR7 BW7 BY7 CD7 CF7 CK7 CM7 CR7 CT7 AG46 AI327962:CT327962 AG15 AG7 Z7 AB7 AI393498:CT393498 AI46 AN46 AP46 AU46 AW46 BB46 BD46 BI46 BK46 BP46 BR46 BW46 BY46 CD46 CF46 CK46 CM46 CR46 CT46 Z46 AB46 Z58 AB58 AG58 AI58 AN58 AP58 AU58 AW58 BB58 BD58 BI58 BK58 BP58 BR58 BW58 BY58 CD58 CF58 CK58 CM58 CR58 CT58 Z74 AB74 AG74 AI74 AN74 AP74 AU74 AW74 BB74 BD74 BI74 BK74 BP74 BR74 BW74 BY74 CD74 CF74 CK74 CM74 CR74 CT74 Z90 AB90 AG90 AI90 AN90 AP90 AU90 AW90 BB90 BD90 BI90 BK90 BP90 BR90 BW90 BY90 CD90 CF90 CK90 CM90 CR90 CT90 Z106 AB106 AG106 AI106 AN106 AP106 AU106 AW106 BB106 BD106 BI106 BK106 BP106 BR106 BW106 BY106 CD106 CF106 CK106 CM106 CR106 CT106 Z122 AB122 AG122 AI122 AN122 AP122 AU122 AW122 BB122 BD122 BI122 BK122 BP122 BR122 BW122 BY122 CD122 CF122 CK122 CM122 CR122 CT122 Z138 AB138 AG138 AI138 AN138 AP138 AU138 AW138 BB138 BD138 BI138 BK138 BP138 BR138 BW138 BY138 CD138 CF138 CK138 CM138 CR138 CT138 Z154 AB154 AG154 AI154 AN154 AP154 AU154 AW154 BB154 BD154 BI154 BK154 BP154 BR154 BW154 BY154 CD154 CF154 CK154 CM154 CR154 CT154 Z170 AB170 AG170 AI170 AN170 AP170 AU170 AW170 BB170 BD170 BI170 BK170 BP170 BR170 BW170 BY170 CD170 CF170 CK170 CM170 CR170 CT170 Z186 AB186 AG186 AI186 AN186 AP186 AU186 AW186 BB186 BD186 BI186 BK186 BP186 BR186 BW186 BY186 CD186 CF186 CK186 CM186 CR186 CT186 Z202 AB202 AG202 AI202 AN202 AP202 AU202 AW202 BB202 BD202 BI202 BK202 BP202 BR202 BW202 BY202 CD202 CF202 CK202 CM202 CR202 CT202 Z218 AB218 AG218 AI218 AN218 AP218 AU218 AW218 BB218 BD218 BI218 BK218 BP218 BR218 BW218 BY218 CD218 CF218 CK218 CM218 CR218 CT218 Z234 AB234 AG234 AI234 AN234 AP234 AU234 AW234 BB234 BD234 BI234 BK234 BP234 BR234 BW234 BY234 CD234 CF234 CK234 CM234 CR234 CT234 Z250 AB250 AG250 AI250 AN250 AP250 AU250 AW250 BB250 BD250 BI250 BK250 BP250 BR250 BW250 BY250 CD250 CF250 CK250 CM250 CR250 CT250 Z266 AB266 AG266 AI266 AN266 AP266 AU266 AW266 BB266 BD266 BI266 BK266 BP266 BR266 BW266 BY266 CD266 CF266 CK266 CM266 CR266 CT266 Z282 AB282 AG282 AI282 AN282 AP282 AU282 AW282 BB282 BD282 BI282 BK282 BP282 BR282 BW282 BY282 CD282 CF282 CK282 CM282 CR282 CT282 Z62 AB62 AG62 AI62 AN62 AP62 AU62 AW62 BB62 BD62 BI62 BK62 BP62 BR62 BW62 BY62 CD62 CF62 CK62 CM62 CR62 CT62 Z78 AB78 AG78 AI78 AN78 AP78 AU78 AW78 BB78 BD78 BI78 BK78 BP78 BR78 BW78 BY78 CD78 CF78 CK78 CM78 CR78 CT78 Z94 AB94 AG94 AI94 AN94 AP94 AU94 AW94 BB94 BD94 BI94 BK94 BP94 BR94 BW94 BY94 CD94 CF94 CK94 CM94 CR94 CT94 Z110 AB110 AG110 AI110 AN110 AP110 AU110 AW110 BB110 BD110 BI110 BK110 BP110 BR110 BW110 BY110 CD110 CF110 CK110 CM110 CR110 CT110 Z126 AB126 AG126 AI126 AN126 AP126 AU126 AW126 BB126 BD126 BI126 BK126 BP126 BR126 BW126 BY126 CD126 CF126 CK126 CM126 CR126 CT126 Z142 AB142 AG142 AI142 AN142 AP142 AU142 AW142 BB142 BD142 BI142 BK142 BP142 BR142 BW142 BY142 CD142 CF142 CK142 CM142 CR142 CT142 Z158 AB158 AG158 AI158 AN158 AP158 AU158 AW158 BB158 BD158 BI158 BK158 BP158 BR158 BW158 BY158 CD158 CF158 CK158 CM158 CR158 CT158 Z174 AB174 AG174 AI174 AN174 AP174 AU174 AW174 BB174 BD174 BI174 BK174 BP174 BR174 BW174 BY174 CD174 CF174 CK174 CM174 CR174 CT174 Z190 AB190 AG190 AI190 AN190 AP190 AU190 AW190 BB190 BD190 BI190 BK190 BP190 BR190 BW190 BY190 CD190 CF190 CK190 CM190 CR190 CT190 Z206 AB206 AG206 AI206 AN206 AP206 AU206 AW206 BB206 BD206 BI206 BK206 BP206 BR206 BW206 BY206 CD206 CF206 CK206 CM206 CR206 CT206 Z222 AB222 AG222 AI222 AN222 AP222 AU222 AW222 BB222 BD222 BI222 BK222 BP222 BR222 BW222 BY222 CD222 CF222 CK222 CM222 CR222 CT222 Z238 AB238 AG238 AI238 AN238 AP238 AU238 AW238 BB238 BD238 BI238 BK238 BP238 BR238 BW238 BY238 CD238 CF238 CK238 CM238 CR238 CT238 Z254 AB254 AG254 AI254 AN254 AP254 AU254 AW254 BB254 BD254 BI254 BK254 BP254 BR254 BW254 BY254 CD254 CF254 CK254 CM254 CR254 CT254 Z270 AB270 AG270 AI270 AN270 AP270 AU270 AW270 BB270 BD270 BI270 BK270 BP270 BR270 BW270 BY270 CD270 CF270 CK270 CM270 CR270 CT270 Z286 AB286 AG286 AI286 AN286 AP286 AU286 AW286 BB286 BD286 BI286 BK286 BP286 BR286 BW286 BY286 CD286 CF286 CK286 CM286 CR286 CT28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818 Y131354 Y196890 Y262426 Y327962 Y393498 Y459034 Y524570 Y590106 Y655642 Y721178 Y786714 Y852250 Y917786 Y983322 AA65818 AA131354 AA196890 AA262426 AA327962 AA393498 AA459034 AA524570 AA590106 AA655642 AA721178 AA786714 AA852250 AA917786 AA983322 AF15 AF65818 AF131354 AF196890 AF262426 AF327962 AF393498 AF459034 AF524570 AF590106 AF655642 AF721178 AF786714 AF852250 AF917786 AF983322 AH65818 AH131354 AH196890 AH262426 AH327962 AH393498 AH459034 AH524570 AH590106 AH655642 AH721178 AH786714 AH852250 AH917786 AH983322 AH46 AF46 AH15 AH7 AF7 Y7 AA7 Y46 AA46 Y58 AA58 AF58 AH58 Y74 AA74 AF74 AH74 Y90 AA90 AF90 AH90 Y106 AA106 AF106 AH106 Y122 AA122 AF122 AH122 Y138 AA138 AF138 AH138 Y154 AA154 AF154 AH154 Y170 AA170 AF170 AH170 Y186 AA186 AF186 AH186 Y202 AA202 AF202 AH202 Y218 AA218 AF218 AH218 Y234 AA234 AF234 AH234 Y250 AA250 AF250 AH250 Y266 AA266 AF266 AH266 Y282 AA282 AF282 AH282 AM7 AO7 AM46 AO46 AM58 AO58 AM74 AO74 AM90 AO90 AM106 AO106 AM122 AO122 AM138 AO138 AM154 AO154 AM170 AO170 AM186 AO186 AM202 AO202 AM218 AO218 AM234 AO234 AM250 AO250 AM266 AO266 AM282 AO282 AT7 AV7 AT46 AV46 AT58 AV58 AT74 AV74 AT90 AV90 AT106 AV106 AT122 AV122 AT138 AV138 AT154 AV154 AT170 AV170 AT186 AV186 AT202 AV202 AT218 AV218 AT234 AV234 AT250 AV250 AT266 AV266 AT282 AV282 BA7 BC7 BA46 BC46 BA58 BC58 BA74 BC74 BA90 BC90 BA106 BC106 BA122 BC122 BA138 BC138 BA154 BC154 BA170 BC170 BA186 BC186 BA202 BC202 BA218 BC218 BA234 BC234 BA250 BC250 BA266 BC266 BA282 BC282 BH7 BJ7 BH46 BJ46 BH58 BJ58 BH74 BJ74 BH90 BJ90 BH106 BJ106 BH122 BJ122 BH138 BJ138 BH154 BJ154 BH170 BJ170 BH186 BJ186 BH202 BJ202 BH218 BJ218 BH234 BJ234 BH250 BJ250 BH266 BJ266 BH282 BJ282 BO7 BQ7 BO46 BQ46 BO58 BQ58 BO74 BQ74 BO90 BQ90 BO106 BQ106 BO122 BQ122 BO138 BQ138 BO154 BQ154 BO170 BQ170 BO186 BQ186 BO202 BQ202 BO218 BQ218 BO234 BQ234 BO250 BQ250 BO266 BQ266 BO282 BQ282 BV7 BX7 BV46 BX46 BV58 BX58 BV74 BX74 BV90 BX90 BV106 BX106 BV122 BX122 BV138 BX138 BV154 BX154 BV170 BX170 BV186 BX186 BV202 BX202 BV218 BX218 BV234 BX234 BV250 BX250 BV266 BX266 BV282 BX282 CC7 CE7 CC46 CE46 CC58 CE58 CC74 CE74 CC90 CE90 CC106 CE106 CC122 CE122 CC138 CE138 CC154 CE154 CC170 CE170 CC186 CE186 CC202 CE202 CC218 CE218 CC234 CE234 CC250 CE250 CC266 CE266 CC282 CE282 CJ7 CL7 CJ46 CL46 CJ58 CL58 CJ74 CL74 CJ90 CL90 CJ106 CL106 CJ122 CL122 CJ138 CL138 CJ154 CL154 CJ170 CL170 CJ186 CL186 CJ202 CL202 CJ218 CL218 CJ234 CL234 CJ250 CL250 CJ266 CL266 CJ282 CL282 CQ7 CS7 CQ46 CS46 CQ58 CS58 CQ74 CS74 CQ90 CS90 CQ106 CS106 CQ122 CS122 CQ138 CS138 CQ154 CS154 CQ170 CS170 CQ186 CS186 CQ202 CS202 CQ218 CS218 CQ234 CS234 CQ250 CS250 CQ266 CS266 CQ282 CS282 Y62 AA62 AF62 AH62 AM62 AO62 AT62 AV62 BA62 BC62 BH62 BJ62 BO62 BQ62 BV62 BX62 CC62 CE62 CJ62 CL62 CQ62 CS62 Y78 AA78 AF78 AH78 AM78 AO78 AT78 AV78 BA78 BC78 BH78 BJ78 BO78 BQ78 BV78 BX78 CC78 CE78 CJ78 CL78 CQ78 CS78 Y94 AA94 AF94 AH94 AM94 AO94 AT94 AV94 BA94 BC94 BH94 BJ94 BO94 BQ94 BV94 BX94 CC94 CE94 CJ94 CL94 CQ94 CS94 Y110 AA110 AF110 AH110 AM110 AO110 AT110 AV110 BA110 BC110 BH110 BJ110 BO110 BQ110 BV110 BX110 CC110 CE110 CJ110 CL110 CQ110 CS110 Y126 AA126 AF126 AH126 AM126 AO126 AT126 AV126 BA126 BC126 BH126 BJ126 BO126 BQ126 BV126 BX126 CC126 CE126 CJ126 CL126 CQ126 CS126 Y142 AA142 AF142 AH142 AM142 AO142 AT142 AV142 BA142 BC142 BH142 BJ142 BO142 BQ142 BV142 BX142 CC142 CE142 CJ142 CL142 CQ142 CS142 Y158 AA158 AF158 AH158 AM158 AO158 AT158 AV158 BA158 BC158 BH158 BJ158 BO158 BQ158 BV158 BX158 CC158 CE158 CJ158 CL158 CQ158 CS158 Y174 AA174 AF174 AH174 AM174 AO174 AT174 AV174 BA174 BC174 BH174 BJ174 BO174 BQ174 BV174 BX174 CC174 CE174 CJ174 CL174 CQ174 CS174 Y190 AA190 AF190 AH190 AM190 AO190 AT190 AV190 BA190 BC190 BH190 BJ190 BO190 BQ190 BV190 BX190 CC190 CE190 CJ190 CL190 CQ190 CS190 Y206 AA206 AF206 AH206 AM206 AO206 AT206 AV206 BA206 BC206 BH206 BJ206 BO206 BQ206 BV206 BX206 CC206 CE206 CJ206 CL206 CQ206 CS206 Y222 AA222 AF222 AH222 AM222 AO222 AT222 AV222 BA222 BC222 BH222 BJ222 BO222 BQ222 BV222 BX222 CC222 CE222 CJ222 CL222 CQ222 CS222 Y238 AA238 AF238 AH238 AM238 AO238 AT238 AV238 BA238 BC238 BH238 BJ238 BO238 BQ238 BV238 BX238 CC238 CE238 CJ238 CL238 CQ238 CS238 Y254 AA254 AF254 AH254 AM254 AO254 AT254 AV254 BA254 BC254 BH254 BJ254 BO254 BQ254 BV254 BX254 CC254 CE254 CJ254 CL254 CQ254 CS254 Y270 AA270 AF270 AH270 AM270 AO270 AT270 AV270 BA270 BC270 BH270 BJ270 BO270 BQ270 BV270 BX270 CC270 CE270 CJ270 CL270 CQ270 CS270 Y286 AA286 AF286 AH286 AM286 AO286 AT286 AV286 BA286 BC286 BH286 BJ286 BO286 BQ286 BV286 BX286 CC286 CE286 CJ286 CL286 CQ286 CS286"/>
    <dataValidation type="list" allowBlank="1" showInputMessage="1" showErrorMessage="1" errorTitle="Ошибка" error="Выберите значение из списка" sqref="T65818 T131354 T196890 T262426 T327962 T393498 T459034 T524570 T590106 T655642 T721178 T786714 T852250 T917786 T983322">
      <formula1>kind_of_heat_transfer</formula1>
    </dataValidation>
    <dataValidation type="textLength" operator="lessThanOrEqual" allowBlank="1" showInputMessage="1" showErrorMessage="1" errorTitle="Ошибка" error="Допускается ввод не более 900 символов!" sqref="CV65812:CV65819 CV131348:CV131355 CV196884:CV196891 CV262420:CV262427 CV327956:CV327963 CV393492:CV393499 CV459028:CV459035 CV524564:CV524571 CV590100:CV590107 CV655636:CV655643 CV721172:CV721179 CV786708:CV786715 CV852244:CV852251 CV917780:CV917787 CV983316:CV983323 T46 T7 AC5:AI5 CU5 AC44:AI44 CU44 AC56 AD56 AE56 AF56 AG56 AH56 AI56 CU56 T58 AC72 AD72 AE72 AF72 AG72 AH72 AI72 CU72 T74 AC88 AD88 AE88 AF88 AG88 AH88 AI88 CU88 T90 AC104 AD104 AE104 AF104 AG104 AH104 AI104 CU104 T106 AC120 AD120 AE120 AF120 AG120 AH120 AI120 CU120 T122 AC136 AD136 AE136 AF136 AG136 AH136 AI136 CU136 T138 AC152 AD152 AE152 AF152 AG152 AH152 AI152 CU152 T154 AC168 AD168 AE168 AF168 AG168 AH168 AI168 CU168 T170 AC184 AD184 AE184 AF184 AG184 AH184 AI184 CU184 T186 AC200 AD200 AE200 AF200 AG200 AH200 AI200 CU200 T202 AC216 AD216 AE216 AF216 AG216 AH216 AI216 CU216 T218 AC232 AD232 AE232 AF232 AG232 AH232 AI232 CU232 T234 AC248 AD248 AE248 AF248 AG248 AH248 AI248 CU248 T250 AC264 AD264 AE264 AF264 AG264 AH264 AI264 CU264 T266 AC280 AD280 AE280 AF280 AG280 AH280 AI280 CU280 T282 T62 T78 T94 T110 T126 T142 T158 T174 T190 T206 T222 T238 T254 T270 T286">
      <formula1>900</formula1>
    </dataValidation>
    <dataValidation type="list" allowBlank="1" showInputMessage="1" showErrorMessage="1" errorTitle="Ошибка" error="Выберите значение из списка" sqref="V983320 V65816 V131352 V196888 V262424 V327960 V393496 V459032 V524568 V590104 V655640 V721176 V786712 V852248 V917784 AC983320 AC65816 AC131352 AC196888 AC262424 AC327960 AC393496 AC459032 AC524568 AC590104 AC655640 AC721176 AC786712 AC852248 AC917784">
      <formula1>kind_of_scheme_in</formula1>
    </dataValidation>
    <dataValidation allowBlank="1" promptTitle="checkPeriodRange" sqref="X65819 X131355 X196891 X262427 X327963 X393499 X459035 X524571 X590107 X655643 X721179 X786715 X852251 X917787 X983323 AE16 AE65819 AE131355 AE196891 AE262427 AE327963 AE393499 AE459035 AE524571 AE590107 AE655643 AE721179 AE786715 AE852251 AE917787 AE983323 AE47 AE8 X8 X47 X59 AE59 X75 AE75 X91 AE91 X107 AE107 X123 AE123 X139 AE139 X155 AE155 X171 AE171 X187 AE187 X203 AE203 X219 AE219 X235 AE235 X251 AE251 X267 AE267 X283 AE283 AL8 AL47 AL59 AL75 AL91 AL107 AL123 AL139 AL155 AL171 AL187 AL203 AL219 AL235 AL251 AL267 AL283 AS8 AS47 AS59 AS75 AS91 AS107 AS123 AS139 AS155 AS171 AS187 AS203 AS219 AS235 AS251 AS267 AS283 AZ8 AZ47 AZ59 AZ75 AZ91 AZ107 AZ123 AZ139 AZ155 AZ171 AZ187 AZ203 AZ219 AZ235 AZ251 AZ267 AZ283 BG8 BG47 BG59 BG75 BG91 BG107 BG123 BG139 BG155 BG171 BG187 BG203 BG219 BG235 BG251 BG267 BG283 BN8 BN47 BN59 BN75 BN91 BN107 BN123 BN139 BN155 BN171 BN187 BN203 BN219 BN235 BN251 BN267 BN283 BU8 BU47 BU59 BU75 BU91 BU107 BU123 BU139 BU155 BU171 BU187 BU203 BU219 BU235 BU251 BU267 BU283 CB8 CB47 CB59 CB75 CB91 CB107 CB123 CB139 CB155 CB171 CB187 CB203 CB219 CB235 CB251 CB267 CB283 CI8 CI47 CI59 CI75 CI91 CI107 CI123 CI139 CI155 CI171 CI187 CI203 CI219 CI235 CI251 CI267 CI283 CP8 CP47 CP59 CP75 CP91 CP107 CP123 CP139 CP155 CP171 CP187 CP203 CP219 CP235 CP251 CP267 CP283 X63 AE63 AL63 AS63 AZ63 BG63 BN63 BU63 CB63 CI63 CP63 X79 AE79 AL79 AS79 AZ79 BG79 BN79 BU79 CB79 CI79 CP79 X95 AE95 AL95 AS95 AZ95 BG95 BN95 BU95 CB95 CI95 CP95 X111 AE111 AL111 AS111 AZ111 BG111 BN111 BU111 CB111 CI111 CP111 X127 AE127 AL127 AS127 AZ127 BG127 BN127 BU127 CB127 CI127 CP127 X143 AE143 AL143 AS143 AZ143 BG143 BN143 BU143 CB143 CI143 CP143 X159 AE159 AL159 AS159 AZ159 BG159 BN159 BU159 CB159 CI159 CP159 X175 AE175 AL175 AS175 AZ175 BG175 BN175 BU175 CB175 CI175 CP175 X191 AE191 AL191 AS191 AZ191 BG191 BN191 BU191 CB191 CI191 CP191 X207 AE207 AL207 AS207 AZ207 BG207 BN207 BU207 CB207 CI207 CP207 X223 AE223 AL223 AS223 AZ223 BG223 BN223 BU223 CB223 CI223 CP223 X239 AE239 AL239 AS239 AZ239 BG239 BN239 BU239 CB239 CI239 CP239 X255 AE255 AL255 AS255 AZ255 BG255 BN255 BU255 CB255 CI255 CP255 X271 AE271 AL271 AS271 AZ271 BG271 BN271 BU271 CB271 CI271 CP271 X287 AE287 AL287 AS287 AZ287 BG287 BN287 BU287 CB287 CI287 CP28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F65" sqref="F65"/>
    </sheetView>
  </sheetViews>
  <sheetFormatPr defaultColWidth="9.140625" defaultRowHeight="11.25" customHeight="1"/>
  <cols>
    <col min="1" max="1" width="10.7109375" style="701" hidden="1" customWidth="1"/>
    <col min="2" max="2" width="10.7109375" style="649" hidden="1" customWidth="1"/>
    <col min="3" max="3" width="3.7109375" style="454" customWidth="1"/>
    <col min="4" max="4" width="1.7109375" style="1555" customWidth="1"/>
    <col min="5" max="5" width="55.28515625" style="1555" customWidth="1"/>
    <col min="6" max="6" width="50.7109375" style="1555" customWidth="1"/>
    <col min="7" max="7" width="1.7109375" style="1807" customWidth="1"/>
    <col min="8" max="8" width="18" style="1555" hidden="1" customWidth="1"/>
    <col min="9" max="9" width="9.5703125" style="455" customWidth="1"/>
    <col min="10" max="10" width="52.140625" style="1287" hidden="1" customWidth="1"/>
    <col min="11" max="11" width="9.140625" style="1555"/>
    <col min="12" max="12" width="78" style="1555" customWidth="1"/>
    <col min="13" max="16" width="9.140625" style="1555"/>
  </cols>
  <sheetData>
    <row r="1" spans="1:11" s="541" customFormat="1" ht="3" customHeight="1">
      <c r="A1" s="697"/>
      <c r="B1" s="156"/>
      <c r="F1" s="157">
        <v>26354809</v>
      </c>
      <c r="G1" s="340"/>
      <c r="H1" s="4"/>
      <c r="I1" s="340"/>
      <c r="J1" s="785"/>
    </row>
    <row r="2" spans="1:11" s="1552" customFormat="1" ht="14.25" customHeight="1">
      <c r="A2" s="697"/>
      <c r="B2" s="27"/>
      <c r="E2" s="1659" t="str">
        <f>code</f>
        <v>Код отчёта: PP108.OPEN.INFO.PRICE.COLDVSNA.EIAS</v>
      </c>
      <c r="F2" s="184"/>
      <c r="G2" s="160"/>
      <c r="H2" s="160"/>
      <c r="I2" s="160"/>
      <c r="J2" s="786"/>
      <c r="K2" s="160"/>
    </row>
    <row r="3" spans="1:11" ht="14.25" customHeight="1">
      <c r="E3" s="161" t="str">
        <f>version</f>
        <v>Версия отчёта: 1.0.5</v>
      </c>
      <c r="F3" s="184"/>
      <c r="G3" s="1827"/>
      <c r="H3"/>
      <c r="I3"/>
      <c r="J3" s="787"/>
      <c r="K3"/>
    </row>
    <row r="4" spans="1:11" s="1533" customFormat="1" ht="6" customHeight="1">
      <c r="A4" s="698"/>
      <c r="B4" s="148"/>
      <c r="C4" s="149"/>
      <c r="D4" s="150"/>
      <c r="E4" s="158"/>
      <c r="F4" s="159"/>
      <c r="G4" s="685"/>
      <c r="H4" s="338"/>
      <c r="I4" s="340"/>
      <c r="J4" s="788"/>
    </row>
    <row r="5" spans="1:11" ht="37.5" customHeight="1">
      <c r="D5" s="6"/>
      <c r="E5" s="7529" t="str">
        <f>NameTemplatesInTitle</f>
        <v>Показатели, подлежащие раскрытию в сфере холодного водоснабжения (цены и тарифы)</v>
      </c>
      <c r="F5" s="7530"/>
      <c r="G5" s="686"/>
      <c r="J5" s="789"/>
    </row>
    <row r="6" spans="1:11" s="1533" customFormat="1" ht="6" customHeight="1">
      <c r="A6" s="698"/>
      <c r="B6" s="148"/>
      <c r="C6" s="149"/>
      <c r="D6" s="150"/>
      <c r="E6" s="152"/>
      <c r="F6" s="153"/>
      <c r="G6" s="686"/>
      <c r="H6" s="338"/>
      <c r="I6" s="340"/>
      <c r="J6" s="788"/>
    </row>
    <row r="7" spans="1:11" ht="19.5" customHeight="1">
      <c r="D7" s="6"/>
      <c r="E7" s="320" t="s">
        <v>13</v>
      </c>
      <c r="F7" s="132" t="s">
        <v>14</v>
      </c>
      <c r="G7" s="686"/>
    </row>
    <row r="8" spans="1:11" s="1533" customFormat="1" ht="6" customHeight="1">
      <c r="A8" s="699"/>
      <c r="B8" s="148"/>
      <c r="C8" s="149"/>
      <c r="D8" s="154"/>
      <c r="E8" s="152"/>
      <c r="F8" s="155"/>
      <c r="G8" s="8"/>
      <c r="H8" s="338"/>
      <c r="I8" s="340"/>
      <c r="J8" s="791"/>
    </row>
    <row r="9" spans="1:11" s="1555" customFormat="1" ht="19.5" hidden="1" customHeight="1">
      <c r="A9" s="698"/>
      <c r="B9" s="27"/>
      <c r="C9" s="337"/>
      <c r="D9" s="339"/>
      <c r="E9" s="1070" t="s">
        <v>15</v>
      </c>
      <c r="F9" s="1056"/>
      <c r="G9" s="686"/>
      <c r="I9" s="340"/>
      <c r="J9" s="790"/>
    </row>
    <row r="10" spans="1:11" s="1533" customFormat="1" ht="6" customHeight="1">
      <c r="A10" s="699"/>
      <c r="B10" s="353"/>
      <c r="C10" s="354"/>
      <c r="D10" s="154"/>
      <c r="E10" s="152"/>
      <c r="F10" s="155"/>
      <c r="G10" s="8"/>
      <c r="H10" s="338"/>
      <c r="I10" s="340"/>
      <c r="J10" s="791"/>
    </row>
    <row r="11" spans="1:11" ht="22.5" customHeight="1">
      <c r="A11" s="7532" t="s">
        <v>16</v>
      </c>
      <c r="D11" s="6"/>
      <c r="E11" s="1070" t="s">
        <v>17</v>
      </c>
      <c r="F11" s="1651">
        <v>45292.410879629628</v>
      </c>
      <c r="G11" s="8"/>
      <c r="H11" s="687" t="s">
        <v>18</v>
      </c>
      <c r="J11" s="790" t="s">
        <v>19</v>
      </c>
    </row>
    <row r="12" spans="1:11" ht="22.5" customHeight="1">
      <c r="A12" s="7532"/>
      <c r="D12" s="6"/>
      <c r="E12" s="1070" t="s">
        <v>20</v>
      </c>
      <c r="F12" s="1651">
        <v>47118.410937499997</v>
      </c>
      <c r="G12" s="5"/>
      <c r="J12" s="790" t="s">
        <v>21</v>
      </c>
    </row>
    <row r="13" spans="1:11" s="1555" customFormat="1" ht="22.5" hidden="1" customHeight="1">
      <c r="A13" s="702" t="s">
        <v>22</v>
      </c>
      <c r="B13" s="27"/>
      <c r="C13" s="337"/>
      <c r="D13" s="339"/>
      <c r="E13" s="1695" t="s">
        <v>23</v>
      </c>
      <c r="F13" s="1651" t="s">
        <v>24</v>
      </c>
      <c r="G13" s="8"/>
      <c r="H13"/>
      <c r="I13" s="340"/>
      <c r="J13" s="1696" t="s">
        <v>25</v>
      </c>
    </row>
    <row r="14" spans="1:11" s="1555" customFormat="1" ht="27" hidden="1" customHeight="1">
      <c r="A14" s="702" t="s">
        <v>26</v>
      </c>
      <c r="B14" s="27"/>
      <c r="C14" s="337"/>
      <c r="D14" s="339"/>
      <c r="E14" s="1070" t="s">
        <v>27</v>
      </c>
      <c r="F14" s="1687"/>
      <c r="G14" s="8"/>
      <c r="H14"/>
      <c r="I14" s="340"/>
      <c r="J14" s="790" t="s">
        <v>28</v>
      </c>
    </row>
    <row r="15" spans="1:11" s="1555" customFormat="1" ht="19.5" hidden="1" customHeight="1">
      <c r="A15" s="702" t="s">
        <v>29</v>
      </c>
      <c r="B15" s="27"/>
      <c r="C15" s="337"/>
      <c r="D15" s="339"/>
      <c r="E15" s="1070" t="s">
        <v>30</v>
      </c>
      <c r="F15" s="1687"/>
      <c r="G15" s="8"/>
      <c r="H15"/>
      <c r="I15" s="340"/>
      <c r="J15" s="790" t="s">
        <v>31</v>
      </c>
    </row>
    <row r="16" spans="1:11" s="1533" customFormat="1" ht="6" customHeight="1">
      <c r="A16" s="699"/>
      <c r="B16" s="148"/>
      <c r="C16" s="149"/>
      <c r="D16" s="154"/>
      <c r="E16" s="152"/>
      <c r="F16" s="155"/>
      <c r="G16" s="8"/>
      <c r="H16" s="338"/>
      <c r="I16" s="340"/>
      <c r="J16" s="788"/>
    </row>
    <row r="17" spans="1:10" ht="19.5" customHeight="1">
      <c r="D17" s="6"/>
      <c r="E17" s="320" t="s">
        <v>32</v>
      </c>
      <c r="F17" s="133" t="s">
        <v>33</v>
      </c>
      <c r="G17" s="5"/>
      <c r="H17" s="687" t="s">
        <v>18</v>
      </c>
    </row>
    <row r="18" spans="1:10" ht="25.5" hidden="1" customHeight="1">
      <c r="D18" s="6"/>
      <c r="E18" s="1695" t="s">
        <v>34</v>
      </c>
      <c r="F18" s="1652"/>
      <c r="G18" s="5"/>
      <c r="I18" s="688"/>
      <c r="J18" s="7531" t="s">
        <v>35</v>
      </c>
    </row>
    <row r="19" spans="1:10" ht="25.5" hidden="1" customHeight="1">
      <c r="D19" s="6"/>
      <c r="E19" s="107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2"/>
      <c r="G19" s="5"/>
      <c r="I19" s="688"/>
      <c r="J19" s="7531"/>
    </row>
    <row r="20" spans="1:10" ht="22.5" customHeight="1">
      <c r="D20" s="6"/>
      <c r="E20" s="7"/>
      <c r="F20" s="185" t="str">
        <f>"Первичное "&amp;IF(TEMPLATE_GROUP="P","установление тарифов","предложение по тарифам")</f>
        <v>Первичное установление тарифов</v>
      </c>
      <c r="G20" s="5"/>
      <c r="I20" s="323"/>
      <c r="J20" s="789" t="s">
        <v>36</v>
      </c>
    </row>
    <row r="21" spans="1:10" ht="19.5" customHeight="1">
      <c r="D21" s="6"/>
      <c r="E21" s="320" t="str">
        <f>"Дата "&amp;IF(TEMPLATE_GROUP="P","документа","подачи заявления")&amp;" об утверждении тарифов"</f>
        <v>Дата документа об утверждении тарифов</v>
      </c>
      <c r="F21" s="1651">
        <v>45278</v>
      </c>
      <c r="G21" s="5"/>
      <c r="I21" s="689"/>
    </row>
    <row r="22" spans="1:10" ht="19.5" customHeight="1">
      <c r="D22" s="6"/>
      <c r="E22" s="320" t="str">
        <f>"Номер "&amp;IF(TEMPLATE_GROUP="P","документа","подачи заявления")&amp;" об утверждении тарифов"</f>
        <v>Номер документа об утверждении тарифов</v>
      </c>
      <c r="F22" s="133" t="s">
        <v>37</v>
      </c>
      <c r="G22" s="5"/>
      <c r="I22" s="689"/>
    </row>
    <row r="23" spans="1:10" ht="22.5" customHeight="1">
      <c r="D23" s="6"/>
      <c r="E23" s="320" t="s">
        <v>38</v>
      </c>
      <c r="F23" s="133" t="s">
        <v>39</v>
      </c>
      <c r="G23" s="5"/>
    </row>
    <row r="24" spans="1:10" ht="19.5" customHeight="1">
      <c r="D24" s="6"/>
      <c r="E24" s="320" t="s">
        <v>40</v>
      </c>
      <c r="F24" s="1828" t="s">
        <v>41</v>
      </c>
      <c r="G24" s="5"/>
    </row>
    <row r="25" spans="1:10" ht="22.5" hidden="1" customHeight="1">
      <c r="D25" s="6"/>
      <c r="E25" s="7"/>
      <c r="F25" s="185" t="str">
        <f>"Изменение "&amp;IF(TEMPLATE_GROUP="P","тарифов","предложения по тарифам")</f>
        <v>Изменение тарифов</v>
      </c>
      <c r="G25" s="5"/>
      <c r="J25" s="789" t="s">
        <v>42</v>
      </c>
    </row>
    <row r="26" spans="1:10" ht="19.5" hidden="1" customHeight="1">
      <c r="D26" s="6"/>
      <c r="E26" s="320" t="str">
        <f>"Дата "&amp;IF(TEMPLATE_GROUP="P","принятия решения","подачи заявления")&amp;" об изменении тарифов"</f>
        <v>Дата принятия решения об изменении тарифов</v>
      </c>
      <c r="F26" s="1652"/>
      <c r="G26" s="5"/>
    </row>
    <row r="27" spans="1:10" ht="19.5" hidden="1" customHeight="1">
      <c r="D27" s="6"/>
      <c r="E27" s="1070" t="str">
        <f>"Номер "&amp;IF(TEMPLATE_GROUP="P","принятия решения","заявления")&amp;" об изменении тарифов"</f>
        <v>Номер принятия решения об изменении тарифов</v>
      </c>
      <c r="F27" s="135"/>
      <c r="G27" s="5"/>
    </row>
    <row r="28" spans="1:10" ht="24.75" hidden="1" customHeight="1">
      <c r="D28" s="6"/>
      <c r="E28" s="320" t="s">
        <v>43</v>
      </c>
      <c r="F28" s="135"/>
      <c r="G28" s="5"/>
    </row>
    <row r="29" spans="1:10" ht="19.5" hidden="1" customHeight="1">
      <c r="D29" s="6"/>
      <c r="E29" s="320" t="s">
        <v>40</v>
      </c>
      <c r="F29" s="135"/>
      <c r="G29" s="5"/>
    </row>
    <row r="30" spans="1:10" s="1533" customFormat="1" ht="6" customHeight="1">
      <c r="A30" s="699"/>
      <c r="B30" s="148"/>
      <c r="C30" s="149"/>
      <c r="D30" s="154"/>
      <c r="E30" s="152"/>
      <c r="F30" s="155"/>
      <c r="G30" s="8"/>
      <c r="H30" s="338"/>
      <c r="I30" s="340"/>
      <c r="J30" s="788"/>
    </row>
    <row r="31" spans="1:10" ht="19.5" customHeight="1">
      <c r="C31" s="9"/>
      <c r="D31" s="10"/>
      <c r="E31" s="320" t="s">
        <v>44</v>
      </c>
      <c r="F31" s="134" t="s">
        <v>45</v>
      </c>
      <c r="G31" s="690"/>
    </row>
    <row r="32" spans="1:10" ht="19.5" hidden="1" customHeight="1">
      <c r="C32" s="9"/>
      <c r="D32" s="10"/>
      <c r="E32" s="321" t="s">
        <v>46</v>
      </c>
      <c r="F32" s="1686"/>
      <c r="G32" s="690"/>
    </row>
    <row r="33" spans="1:10" ht="19.5" customHeight="1">
      <c r="C33" s="9"/>
      <c r="D33" s="10"/>
      <c r="E33" s="320" t="s">
        <v>47</v>
      </c>
      <c r="F33" s="134" t="s">
        <v>48</v>
      </c>
      <c r="G33" s="690"/>
    </row>
    <row r="34" spans="1:10" ht="19.5" customHeight="1">
      <c r="C34" s="9"/>
      <c r="D34" s="10"/>
      <c r="E34" s="320" t="s">
        <v>49</v>
      </c>
      <c r="F34" s="134" t="s">
        <v>50</v>
      </c>
      <c r="G34" s="690"/>
      <c r="H34" s="11"/>
    </row>
    <row r="35" spans="1:10" s="1533" customFormat="1" ht="11.25" customHeight="1">
      <c r="A35" s="699"/>
      <c r="B35" s="148"/>
      <c r="C35" s="149"/>
      <c r="D35" s="154"/>
      <c r="E35" s="152"/>
      <c r="F35" s="155"/>
      <c r="G35" s="8"/>
      <c r="H35" s="338"/>
      <c r="I35" s="340"/>
      <c r="J35" s="788"/>
    </row>
    <row r="36" spans="1:10" ht="19.5" hidden="1" customHeight="1">
      <c r="A36" s="793"/>
      <c r="D36" s="10"/>
      <c r="E36" s="320" t="s">
        <v>51</v>
      </c>
      <c r="F36" s="269"/>
      <c r="G36" s="8"/>
    </row>
    <row r="37" spans="1:10" ht="19.5" customHeight="1">
      <c r="A37" s="793"/>
      <c r="D37" s="10"/>
      <c r="E37" s="320" t="s">
        <v>52</v>
      </c>
      <c r="F37" s="1117" t="s">
        <v>53</v>
      </c>
      <c r="G37" s="8"/>
    </row>
    <row r="38" spans="1:10" s="1533" customFormat="1" ht="6" customHeight="1">
      <c r="A38" s="699"/>
      <c r="B38" s="148"/>
      <c r="C38" s="149"/>
      <c r="D38" s="150"/>
      <c r="E38" s="151"/>
      <c r="F38" s="964"/>
      <c r="G38" s="5"/>
      <c r="H38" s="338"/>
      <c r="I38" s="340"/>
      <c r="J38" s="790"/>
    </row>
    <row r="39" spans="1:10" ht="22.5" customHeight="1">
      <c r="A39" s="699"/>
      <c r="D39" s="6"/>
      <c r="E39" s="320" t="s">
        <v>54</v>
      </c>
      <c r="F39" s="627" t="s">
        <v>55</v>
      </c>
      <c r="G39" s="5"/>
      <c r="H39" s="687" t="s">
        <v>18</v>
      </c>
    </row>
    <row r="40" spans="1:10" s="1533" customFormat="1" ht="6" hidden="1" customHeight="1">
      <c r="A40" s="698"/>
      <c r="B40" s="353"/>
      <c r="C40" s="354"/>
      <c r="D40" s="355"/>
      <c r="E40" s="356"/>
      <c r="F40" s="964"/>
      <c r="G40" s="5"/>
      <c r="H40" s="338"/>
      <c r="I40" s="340"/>
      <c r="J40" s="790"/>
    </row>
    <row r="41" spans="1:10" s="1555" customFormat="1" ht="19.5" hidden="1" customHeight="1">
      <c r="A41" s="702" t="s">
        <v>22</v>
      </c>
      <c r="B41" s="342"/>
      <c r="C41" s="337"/>
      <c r="D41" s="339"/>
      <c r="E41" s="320"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27" t="s">
        <v>55</v>
      </c>
      <c r="G41" s="5"/>
      <c r="I41" s="340"/>
      <c r="J41" s="790"/>
    </row>
    <row r="42" spans="1:10" s="1533" customFormat="1" ht="6" hidden="1" customHeight="1">
      <c r="A42" s="698"/>
      <c r="B42" s="353"/>
      <c r="C42" s="354"/>
      <c r="D42" s="355"/>
      <c r="E42" s="356"/>
      <c r="F42" s="964"/>
      <c r="G42" s="5"/>
      <c r="H42" s="338"/>
      <c r="I42" s="340"/>
      <c r="J42" s="788"/>
    </row>
    <row r="43" spans="1:10" s="1555" customFormat="1" ht="22.5" hidden="1" customHeight="1">
      <c r="A43" s="698"/>
      <c r="B43" s="342"/>
      <c r="C43" s="337"/>
      <c r="D43" s="339"/>
      <c r="E43" s="320" t="s">
        <v>56</v>
      </c>
      <c r="F43" s="627" t="s">
        <v>55</v>
      </c>
      <c r="G43" s="5"/>
      <c r="I43" s="340"/>
      <c r="J43" s="790"/>
    </row>
    <row r="44" spans="1:10" s="1555" customFormat="1" ht="22.5" hidden="1" customHeight="1">
      <c r="A44" s="698"/>
      <c r="B44" s="342"/>
      <c r="C44" s="337"/>
      <c r="D44" s="339"/>
      <c r="E44" s="1070" t="s">
        <v>57</v>
      </c>
      <c r="F44" s="1826"/>
      <c r="G44" s="5"/>
      <c r="I44" s="340"/>
      <c r="J44" s="790"/>
    </row>
    <row r="45" spans="1:10" s="1533" customFormat="1" ht="6" hidden="1" customHeight="1">
      <c r="A45" s="698"/>
      <c r="B45" s="353"/>
      <c r="C45" s="354"/>
      <c r="D45" s="355"/>
      <c r="E45" s="356"/>
      <c r="F45" s="964"/>
      <c r="G45" s="5"/>
      <c r="H45" s="338"/>
      <c r="I45" s="340"/>
      <c r="J45" s="790"/>
    </row>
    <row r="46" spans="1:10" s="1533" customFormat="1" ht="22.5" hidden="1" customHeight="1">
      <c r="A46" s="698"/>
      <c r="B46" s="353"/>
      <c r="C46" s="354"/>
      <c r="D46" s="355"/>
      <c r="E46" s="1070" t="s">
        <v>58</v>
      </c>
      <c r="F46" s="627" t="s">
        <v>55</v>
      </c>
      <c r="G46" s="5"/>
      <c r="H46" s="338"/>
      <c r="I46" s="340"/>
      <c r="J46" s="790"/>
    </row>
    <row r="47" spans="1:10" s="1555" customFormat="1" ht="22.5" hidden="1" customHeight="1">
      <c r="A47" s="698"/>
      <c r="B47" s="342"/>
      <c r="C47" s="337"/>
      <c r="D47" s="339"/>
      <c r="E47" s="1070" t="s">
        <v>59</v>
      </c>
      <c r="F47" s="627" t="s">
        <v>55</v>
      </c>
      <c r="G47" s="5"/>
      <c r="I47" s="340"/>
      <c r="J47" s="790"/>
    </row>
    <row r="48" spans="1:10" s="1533" customFormat="1" ht="6" customHeight="1">
      <c r="A48" s="698"/>
      <c r="B48" s="148"/>
      <c r="C48" s="149"/>
      <c r="D48" s="150"/>
      <c r="E48" s="151"/>
      <c r="F48" s="964"/>
      <c r="G48" s="5"/>
      <c r="H48" s="338"/>
      <c r="I48" s="340"/>
      <c r="J48" s="790"/>
    </row>
    <row r="49" spans="1:16" ht="19.5" customHeight="1">
      <c r="B49" s="68"/>
      <c r="D49" s="6"/>
      <c r="E49" s="32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27" t="s">
        <v>60</v>
      </c>
      <c r="G49" s="5"/>
    </row>
    <row r="50" spans="1:16" s="1533" customFormat="1" ht="6" hidden="1" customHeight="1">
      <c r="A50" s="699"/>
      <c r="B50" s="353"/>
      <c r="C50" s="354"/>
      <c r="D50" s="154"/>
      <c r="E50" s="152"/>
      <c r="F50" s="155"/>
      <c r="G50" s="8"/>
      <c r="H50" s="338"/>
      <c r="I50" s="340"/>
      <c r="J50" s="790"/>
    </row>
    <row r="51" spans="1:16" s="1555" customFormat="1" ht="22.5" hidden="1" customHeight="1">
      <c r="A51" s="700"/>
      <c r="B51" s="342"/>
      <c r="C51" s="454"/>
      <c r="D51" s="455"/>
      <c r="E51" s="320" t="s">
        <v>61</v>
      </c>
      <c r="F51" s="627" t="s">
        <v>55</v>
      </c>
      <c r="G51" s="456"/>
      <c r="I51" s="457"/>
      <c r="J51" s="792"/>
      <c r="P51" s="458"/>
    </row>
    <row r="52" spans="1:16" s="1533" customFormat="1" ht="6" hidden="1" customHeight="1">
      <c r="A52" s="699"/>
      <c r="B52" s="353"/>
      <c r="C52" s="354"/>
      <c r="D52" s="154"/>
      <c r="E52" s="152"/>
      <c r="F52" s="155"/>
      <c r="G52" s="8"/>
      <c r="H52" s="338"/>
      <c r="I52" s="340"/>
      <c r="J52" s="788"/>
    </row>
    <row r="53" spans="1:16" s="1555" customFormat="1" ht="22.5" hidden="1" customHeight="1">
      <c r="A53" s="700"/>
      <c r="B53" s="342"/>
      <c r="C53" s="454"/>
      <c r="D53" s="455"/>
      <c r="E53" s="320" t="s">
        <v>62</v>
      </c>
      <c r="F53" s="959" t="s">
        <v>55</v>
      </c>
      <c r="G53" s="456"/>
      <c r="I53" s="457"/>
      <c r="J53" s="792"/>
      <c r="P53" s="458"/>
    </row>
    <row r="54" spans="1:16" s="1555" customFormat="1" ht="22.5" hidden="1" customHeight="1">
      <c r="A54" s="700"/>
      <c r="B54" s="342"/>
      <c r="C54" s="454"/>
      <c r="D54" s="455"/>
      <c r="E54" s="320" t="s">
        <v>63</v>
      </c>
      <c r="F54" s="1694"/>
      <c r="G54" s="456"/>
      <c r="I54" s="457"/>
      <c r="J54" s="792"/>
      <c r="P54" s="458"/>
    </row>
    <row r="55" spans="1:16" s="1533" customFormat="1" ht="6" hidden="1" customHeight="1">
      <c r="A55" s="699"/>
      <c r="B55" s="353"/>
      <c r="C55" s="354"/>
      <c r="D55" s="154"/>
      <c r="E55" s="152"/>
      <c r="F55" s="155"/>
      <c r="G55" s="8"/>
      <c r="H55" s="338"/>
      <c r="I55" s="340"/>
      <c r="J55" s="788"/>
    </row>
    <row r="56" spans="1:16" s="1555" customFormat="1" ht="22.5" hidden="1" customHeight="1">
      <c r="A56" s="700"/>
      <c r="B56" s="342"/>
      <c r="C56" s="454"/>
      <c r="D56" s="455"/>
      <c r="E56" s="320" t="s">
        <v>64</v>
      </c>
      <c r="F56" s="959" t="s">
        <v>55</v>
      </c>
      <c r="G56" s="456"/>
      <c r="I56" s="457"/>
      <c r="J56" s="792"/>
      <c r="P56" s="458"/>
    </row>
    <row r="57" spans="1:16" s="1533" customFormat="1" ht="6" hidden="1" customHeight="1">
      <c r="A57" s="699"/>
      <c r="B57" s="353"/>
      <c r="C57" s="354"/>
      <c r="D57" s="154"/>
      <c r="E57" s="152"/>
      <c r="F57" s="155"/>
      <c r="G57" s="8"/>
      <c r="H57" s="338"/>
      <c r="I57" s="340"/>
      <c r="J57" s="788"/>
    </row>
    <row r="58" spans="1:16" s="1555" customFormat="1" ht="15" hidden="1" customHeight="1">
      <c r="A58" s="700"/>
      <c r="B58" s="342"/>
      <c r="C58" s="454"/>
      <c r="D58" s="455"/>
      <c r="E58" s="320" t="s">
        <v>65</v>
      </c>
      <c r="F58" s="959" t="s">
        <v>60</v>
      </c>
      <c r="G58" s="456"/>
      <c r="I58" s="457"/>
      <c r="J58" s="792"/>
      <c r="P58" s="458"/>
    </row>
    <row r="59" spans="1:16" s="1555" customFormat="1" ht="15" hidden="1" customHeight="1">
      <c r="A59" s="700"/>
      <c r="B59" s="342"/>
      <c r="C59" s="454"/>
      <c r="D59" s="455"/>
      <c r="E59" s="32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096"/>
      <c r="G59" s="456"/>
      <c r="I59" s="457"/>
      <c r="J59" s="792"/>
      <c r="P59" s="458"/>
    </row>
    <row r="60" spans="1:16" s="1555" customFormat="1" ht="15" hidden="1" customHeight="1">
      <c r="A60" s="700"/>
      <c r="B60" s="342"/>
      <c r="C60" s="454"/>
      <c r="D60" s="455"/>
      <c r="E60" s="1070" t="s">
        <v>66</v>
      </c>
      <c r="F60" s="1056"/>
      <c r="G60" s="456"/>
      <c r="I60" s="457"/>
      <c r="J60" s="792"/>
      <c r="P60" s="458"/>
    </row>
    <row r="61" spans="1:16" s="1533" customFormat="1" ht="6" hidden="1" customHeight="1">
      <c r="A61" s="699"/>
      <c r="B61" s="353"/>
      <c r="C61" s="354"/>
      <c r="D61" s="355"/>
      <c r="E61" s="356"/>
      <c r="F61" s="964"/>
      <c r="G61" s="5"/>
      <c r="H61" s="338"/>
      <c r="I61" s="340"/>
      <c r="J61" s="790"/>
    </row>
    <row r="62" spans="1:16" s="1555" customFormat="1" ht="33.75" hidden="1" customHeight="1">
      <c r="A62" s="699"/>
      <c r="B62" s="27"/>
      <c r="C62" s="337"/>
      <c r="D62" s="339"/>
      <c r="E62" s="1070" t="s">
        <v>67</v>
      </c>
      <c r="F62" s="1591" t="s">
        <v>60</v>
      </c>
      <c r="G62" s="5"/>
      <c r="H62" s="687" t="s">
        <v>18</v>
      </c>
      <c r="I62" s="340"/>
      <c r="J62" s="790"/>
    </row>
    <row r="63" spans="1:16" s="1533" customFormat="1" ht="6" customHeight="1">
      <c r="A63" s="699"/>
      <c r="B63" s="148"/>
      <c r="C63" s="149"/>
      <c r="D63" s="154"/>
      <c r="E63" s="152"/>
      <c r="F63" s="155"/>
      <c r="G63" s="8"/>
      <c r="H63" s="338"/>
      <c r="I63" s="340"/>
      <c r="J63" s="788"/>
    </row>
    <row r="64" spans="1:16" ht="25.9" customHeight="1">
      <c r="B64" s="28"/>
      <c r="D64" s="13"/>
      <c r="E64" s="320" t="s">
        <v>68</v>
      </c>
      <c r="F64" s="133" t="s">
        <v>69</v>
      </c>
      <c r="G64" s="8"/>
    </row>
    <row r="65" spans="2:9" ht="20.85" customHeight="1">
      <c r="B65" s="28"/>
      <c r="D65" s="13"/>
      <c r="E65" s="320" t="s">
        <v>70</v>
      </c>
      <c r="F65" s="133" t="s">
        <v>71</v>
      </c>
      <c r="G65" s="8"/>
    </row>
    <row r="66" spans="2:9" ht="35.25" customHeight="1">
      <c r="D66" s="6"/>
      <c r="E66" s="322" t="s">
        <v>72</v>
      </c>
      <c r="F66" s="965"/>
      <c r="G66" s="5"/>
    </row>
    <row r="67" spans="2:9" ht="19.5" customHeight="1">
      <c r="D67" s="339"/>
      <c r="E67" s="320" t="s">
        <v>73</v>
      </c>
      <c r="F67" s="186" t="s">
        <v>74</v>
      </c>
      <c r="G67" s="8"/>
    </row>
    <row r="68" spans="2:9" ht="25.9" customHeight="1">
      <c r="B68" s="28"/>
      <c r="D68" s="13"/>
      <c r="E68" s="320" t="s">
        <v>75</v>
      </c>
      <c r="F68" s="186" t="s">
        <v>76</v>
      </c>
      <c r="G68" s="8"/>
    </row>
    <row r="69" spans="2:9" ht="19.5" customHeight="1">
      <c r="B69" s="28"/>
      <c r="D69" s="13"/>
      <c r="E69" s="320" t="s">
        <v>77</v>
      </c>
      <c r="F69" s="186" t="s">
        <v>78</v>
      </c>
      <c r="G69" s="8"/>
    </row>
    <row r="70" spans="2:9" ht="19.5" customHeight="1">
      <c r="D70" s="339"/>
      <c r="E70" s="320" t="s">
        <v>79</v>
      </c>
      <c r="F70" s="1828" t="s">
        <v>80</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9"/>
      <c r="F78" s="319"/>
      <c r="G78" s="319"/>
      <c r="H78" s="319"/>
      <c r="I78" s="319"/>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5" hidden="1" customWidth="1"/>
    <col min="13" max="14" width="12.28515625" style="1696" hidden="1" customWidth="1"/>
    <col min="15" max="15" width="23.42578125" style="1696" hidden="1" customWidth="1"/>
    <col min="16" max="16" width="3.7109375" style="1817" customWidth="1"/>
    <col min="17" max="18" width="3.7109375" style="265" customWidth="1"/>
    <col min="19" max="19" width="12.7109375" style="1820"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7689">
        <v>1</v>
      </c>
      <c r="F2" s="1284"/>
      <c r="G2" s="1284"/>
      <c r="H2" s="1284"/>
      <c r="I2" s="1284"/>
      <c r="J2" s="1284"/>
      <c r="K2" s="1284"/>
      <c r="L2" s="1285"/>
      <c r="M2" s="1286"/>
      <c r="N2" s="1286"/>
      <c r="O2" s="1286"/>
      <c r="P2" s="282"/>
      <c r="Q2" s="281"/>
      <c r="R2" s="276"/>
      <c r="S2" s="1375" t="e">
        <f>INDEX(PT_DIFFERENTIATION_NUM_NTAR,MATCH(A2,PT_DIFFERENTIATION_NTAR_ID,0))</f>
        <v>#N/A</v>
      </c>
      <c r="T2" s="212" t="s">
        <v>237</v>
      </c>
      <c r="U2" s="214"/>
      <c r="V2" s="7675"/>
      <c r="W2" s="7676"/>
      <c r="X2" s="7676"/>
      <c r="Y2" s="7676"/>
      <c r="Z2" s="7676"/>
      <c r="AA2" s="7676"/>
      <c r="AB2" s="7677"/>
      <c r="AC2" s="7675" t="e">
        <f>INDEX(PT_DIFFERENTIATION_NTAR,MATCH(A2,PT_DIFFERENTIATION_NTAR_ID,0))</f>
        <v>#N/A</v>
      </c>
      <c r="AD2" s="7676"/>
      <c r="AE2" s="7676"/>
      <c r="AF2" s="7676"/>
      <c r="AG2" s="7676"/>
      <c r="AH2" s="7676"/>
      <c r="AI2" s="7676"/>
      <c r="AJ2" s="7677"/>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7690"/>
      <c r="F3" s="7689">
        <v>1</v>
      </c>
      <c r="G3" s="1284"/>
      <c r="H3" s="1284"/>
      <c r="I3" s="1284"/>
      <c r="J3" s="1284"/>
      <c r="K3" s="1284"/>
      <c r="L3" s="1285"/>
      <c r="M3" s="1286"/>
      <c r="N3" s="1286"/>
      <c r="O3" s="1286"/>
      <c r="P3" s="1371"/>
      <c r="Q3" s="273"/>
      <c r="R3" s="274"/>
      <c r="S3" s="1375" t="e">
        <f>INDEX(PT_DIFFERENTIATION_NUM_TER,MATCH(B3,PT_DIFFERENTIATION_TER_ID,0))</f>
        <v>#N/A</v>
      </c>
      <c r="T3" s="224" t="s">
        <v>573</v>
      </c>
      <c r="U3" s="214"/>
      <c r="V3" s="7675"/>
      <c r="W3" s="7676"/>
      <c r="X3" s="7676"/>
      <c r="Y3" s="7676"/>
      <c r="Z3" s="7676"/>
      <c r="AA3" s="7676"/>
      <c r="AB3" s="7677"/>
      <c r="AC3" s="7675" t="e">
        <f>INDEX(PT_DIFFERENTIATION_TER,MATCH(B3,PT_DIFFERENTIATION_TER_ID,0))</f>
        <v>#N/A</v>
      </c>
      <c r="AD3" s="7676"/>
      <c r="AE3" s="7676"/>
      <c r="AF3" s="7676"/>
      <c r="AG3" s="7676"/>
      <c r="AH3" s="7676"/>
      <c r="AI3" s="7676"/>
      <c r="AJ3" s="7677"/>
      <c r="AK3" s="1182" t="s">
        <v>574</v>
      </c>
      <c r="AM3" s="424"/>
      <c r="AN3" s="424" t="str">
        <f t="shared" si="0"/>
        <v>Территория действия тарифа</v>
      </c>
      <c r="AO3" s="424"/>
      <c r="AP3" s="424"/>
    </row>
    <row r="4" spans="1:42" ht="23.25" hidden="1" customHeight="1">
      <c r="A4" s="1284"/>
      <c r="B4" s="1284"/>
      <c r="C4" s="1284"/>
      <c r="D4" s="1284"/>
      <c r="E4" s="7690"/>
      <c r="F4" s="7690"/>
      <c r="G4" s="7689">
        <v>1</v>
      </c>
      <c r="H4" s="1284"/>
      <c r="I4" s="1284"/>
      <c r="J4" s="1284"/>
      <c r="K4" s="1284"/>
      <c r="L4" s="1285"/>
      <c r="M4" s="1286"/>
      <c r="N4" s="1286"/>
      <c r="O4" s="1286"/>
      <c r="P4" s="275"/>
      <c r="Q4" s="273"/>
      <c r="R4" s="274"/>
      <c r="S4" s="1375" t="e">
        <f>INDEX(PT_DIFFERENTIATION_NUM_CS,MATCH(C4,PT_DIFFERENTIATION_CS_ID,0))</f>
        <v>#N/A</v>
      </c>
      <c r="T4" s="225" t="s">
        <v>654</v>
      </c>
      <c r="U4" s="214"/>
      <c r="V4" s="7675"/>
      <c r="W4" s="7676"/>
      <c r="X4" s="7676"/>
      <c r="Y4" s="7676"/>
      <c r="Z4" s="7676"/>
      <c r="AA4" s="7676"/>
      <c r="AB4" s="7677"/>
      <c r="AC4" s="7675" t="e">
        <f>INDEX(PT_DIFFERENTIATION_CS,MATCH(C4,PT_DIFFERENTIATION_CS_ID,0))</f>
        <v>#N/A</v>
      </c>
      <c r="AD4" s="7676"/>
      <c r="AE4" s="7676"/>
      <c r="AF4" s="7676"/>
      <c r="AG4" s="7676"/>
      <c r="AH4" s="7676"/>
      <c r="AI4" s="7676"/>
      <c r="AJ4" s="7677"/>
      <c r="AK4" s="1182" t="s">
        <v>655</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7690"/>
      <c r="F5" s="7690"/>
      <c r="G5" s="7690"/>
      <c r="H5" s="7690"/>
      <c r="I5" s="7687" t="e">
        <f>S4&amp;".1"</f>
        <v>#N/A</v>
      </c>
      <c r="J5" s="1284"/>
      <c r="K5" s="1284"/>
      <c r="L5" s="1285"/>
      <c r="P5" s="7688">
        <v>1</v>
      </c>
      <c r="Q5" s="1368"/>
      <c r="R5" s="277"/>
      <c r="S5" s="1375" t="e">
        <f>$I5</f>
        <v>#N/A</v>
      </c>
      <c r="T5" s="200" t="s">
        <v>656</v>
      </c>
      <c r="U5" s="214"/>
      <c r="V5" s="7748"/>
      <c r="W5" s="7749"/>
      <c r="X5" s="7749"/>
      <c r="Y5" s="7749"/>
      <c r="Z5" s="7749"/>
      <c r="AA5" s="7749"/>
      <c r="AB5" s="7750"/>
      <c r="AC5" s="7751"/>
      <c r="AD5" s="7752"/>
      <c r="AE5" s="7752"/>
      <c r="AF5" s="7752"/>
      <c r="AG5" s="7752"/>
      <c r="AH5" s="7752"/>
      <c r="AI5" s="7752"/>
      <c r="AJ5" s="7753"/>
      <c r="AK5" s="1182" t="s">
        <v>657</v>
      </c>
      <c r="AM5" s="424"/>
      <c r="AN5" s="424" t="str">
        <f t="shared" si="0"/>
        <v>Наименование признака дифференциации</v>
      </c>
      <c r="AO5" s="424"/>
      <c r="AP5" s="424"/>
    </row>
    <row r="6" spans="1:42" ht="23.25" hidden="1" customHeight="1">
      <c r="A6" s="1284"/>
      <c r="B6" s="1284"/>
      <c r="C6" s="1284"/>
      <c r="D6" s="1284"/>
      <c r="E6" s="7690"/>
      <c r="F6" s="7690"/>
      <c r="G6" s="7690"/>
      <c r="H6" s="7690"/>
      <c r="I6" s="7710"/>
      <c r="J6" s="7687" t="e">
        <f>I5&amp;".1"</f>
        <v>#N/A</v>
      </c>
      <c r="K6" s="1284"/>
      <c r="L6" s="1285" t="s">
        <v>582</v>
      </c>
      <c r="P6" s="7688"/>
      <c r="Q6" s="7688">
        <v>1</v>
      </c>
      <c r="R6" s="278"/>
      <c r="S6" s="1375" t="e">
        <f>$J6</f>
        <v>#N/A</v>
      </c>
      <c r="T6" s="201" t="s">
        <v>583</v>
      </c>
      <c r="U6" s="214"/>
      <c r="V6" s="7678"/>
      <c r="W6" s="7679"/>
      <c r="X6" s="7679"/>
      <c r="Y6" s="7679"/>
      <c r="Z6" s="7679"/>
      <c r="AA6" s="7679"/>
      <c r="AB6" s="7680"/>
      <c r="AC6" s="7678"/>
      <c r="AD6" s="7679"/>
      <c r="AE6" s="7679"/>
      <c r="AF6" s="7679"/>
      <c r="AG6" s="7679"/>
      <c r="AH6" s="7679"/>
      <c r="AI6" s="7679"/>
      <c r="AJ6" s="7680"/>
      <c r="AK6" s="1231" t="s">
        <v>658</v>
      </c>
      <c r="AM6" s="424"/>
      <c r="AN6" s="424" t="str">
        <f t="shared" si="0"/>
        <v>Группа потребителей</v>
      </c>
      <c r="AO6" s="424"/>
      <c r="AP6" s="424"/>
    </row>
    <row r="7" spans="1:42" ht="23.25" hidden="1" customHeight="1">
      <c r="A7" s="1284"/>
      <c r="B7" s="1284"/>
      <c r="C7" s="1284"/>
      <c r="D7" s="1284"/>
      <c r="E7" s="7690"/>
      <c r="F7" s="7690"/>
      <c r="G7" s="7690"/>
      <c r="H7" s="7690"/>
      <c r="I7" s="7710"/>
      <c r="J7" s="7710"/>
      <c r="K7" s="7687" t="e">
        <f>J6&amp;".1"</f>
        <v>#N/A</v>
      </c>
      <c r="L7" s="1285"/>
      <c r="P7" s="7688"/>
      <c r="Q7" s="7688"/>
      <c r="R7" s="278">
        <v>1</v>
      </c>
      <c r="S7" s="1375" t="e">
        <f>$K7</f>
        <v>#N/A</v>
      </c>
      <c r="T7" s="1357"/>
      <c r="U7" s="214"/>
      <c r="V7" s="666"/>
      <c r="W7" s="666"/>
      <c r="X7" s="1181"/>
      <c r="Y7" s="7692"/>
      <c r="Z7" s="7540" t="s">
        <v>60</v>
      </c>
      <c r="AA7" s="7692"/>
      <c r="AB7" s="7540" t="s">
        <v>60</v>
      </c>
      <c r="AC7" s="666"/>
      <c r="AD7" s="666"/>
      <c r="AE7" s="1181"/>
      <c r="AF7" s="7692"/>
      <c r="AG7" s="7540" t="s">
        <v>60</v>
      </c>
      <c r="AH7" s="7711"/>
      <c r="AI7" s="7540" t="s">
        <v>60</v>
      </c>
      <c r="AJ7" s="1358"/>
      <c r="AK7"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7690"/>
      <c r="F8" s="7690"/>
      <c r="G8" s="7690"/>
      <c r="H8" s="7690"/>
      <c r="I8" s="7710"/>
      <c r="J8" s="7710"/>
      <c r="K8" s="7687"/>
      <c r="L8" s="1285"/>
      <c r="P8" s="7688"/>
      <c r="Q8" s="7688"/>
      <c r="R8" s="278"/>
      <c r="S8" s="1374"/>
      <c r="T8" s="214"/>
      <c r="U8" s="214"/>
      <c r="V8" s="246"/>
      <c r="W8" s="246"/>
      <c r="X8" s="250" t="str">
        <f>Y7&amp;"-"&amp;AA7</f>
        <v>-</v>
      </c>
      <c r="Y8" s="7693"/>
      <c r="Z8" s="7540"/>
      <c r="AA8" s="7693"/>
      <c r="AB8" s="7540"/>
      <c r="AC8" s="246"/>
      <c r="AD8" s="246"/>
      <c r="AE8" s="250" t="str">
        <f>AF7&amp;"-"&amp;AH7</f>
        <v>-</v>
      </c>
      <c r="AF8" s="7693"/>
      <c r="AG8" s="7540"/>
      <c r="AH8" s="7712"/>
      <c r="AI8" s="7540"/>
      <c r="AJ8" s="1359"/>
      <c r="AK8" s="7747"/>
      <c r="AM8" s="424"/>
      <c r="AN8" s="424" t="str">
        <f t="shared" si="0"/>
        <v/>
      </c>
      <c r="AO8" s="424"/>
      <c r="AP8" s="424"/>
    </row>
    <row r="9" spans="1:42" ht="21" hidden="1" customHeight="1">
      <c r="A9" s="1284"/>
      <c r="B9" s="1284"/>
      <c r="C9" s="1284"/>
      <c r="D9" s="1284"/>
      <c r="E9" s="7690"/>
      <c r="F9" s="7690"/>
      <c r="G9" s="7690"/>
      <c r="H9" s="7690"/>
      <c r="I9" s="7710"/>
      <c r="J9" s="7687"/>
      <c r="K9" s="1284"/>
      <c r="L9" s="1285"/>
      <c r="P9" s="7688"/>
      <c r="Q9" s="7688"/>
      <c r="R9" s="277"/>
      <c r="S9" s="1203"/>
      <c r="T9" s="202" t="s">
        <v>659</v>
      </c>
      <c r="U9" s="291"/>
      <c r="V9" s="291"/>
      <c r="W9" s="291"/>
      <c r="X9" s="291"/>
      <c r="Y9" s="291"/>
      <c r="Z9" s="291"/>
      <c r="AA9" s="291"/>
      <c r="AB9" s="291"/>
      <c r="AC9" s="291"/>
      <c r="AD9" s="291"/>
      <c r="AE9" s="291"/>
      <c r="AF9" s="291"/>
      <c r="AG9" s="291"/>
      <c r="AH9" s="291"/>
      <c r="AI9" s="291"/>
      <c r="AJ9" s="291"/>
      <c r="AK9" s="1182" t="s">
        <v>660</v>
      </c>
      <c r="AM9" s="424"/>
      <c r="AN9" s="424" t="str">
        <f t="shared" si="0"/>
        <v>Добавить значение признака дифференциации</v>
      </c>
      <c r="AO9" s="424"/>
      <c r="AP9" s="424"/>
    </row>
    <row r="10" spans="1:42" ht="21" hidden="1" customHeight="1">
      <c r="A10" s="1284"/>
      <c r="B10" s="1284"/>
      <c r="C10" s="1284"/>
      <c r="D10" s="1284"/>
      <c r="E10" s="7690"/>
      <c r="F10" s="7690"/>
      <c r="G10" s="7690"/>
      <c r="H10" s="7690"/>
      <c r="I10" s="7687"/>
      <c r="J10" s="1284"/>
      <c r="K10" s="1284"/>
      <c r="L10" s="1285"/>
      <c r="P10" s="7688"/>
      <c r="Q10" s="1368"/>
      <c r="R10" s="277"/>
      <c r="S10" s="1203"/>
      <c r="T10" s="288" t="s">
        <v>588</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7690"/>
      <c r="F11" s="7690"/>
      <c r="G11" s="7690"/>
      <c r="H11" s="7689"/>
      <c r="I11" s="1284"/>
      <c r="J11" s="1284"/>
      <c r="K11" s="1284"/>
      <c r="L11" s="1285"/>
      <c r="M11" s="1286"/>
      <c r="N11" s="1286"/>
      <c r="O11" s="460"/>
      <c r="P11" s="281"/>
      <c r="Q11" s="299"/>
      <c r="R11" s="276"/>
      <c r="S11" s="1203"/>
      <c r="T11" s="296" t="s">
        <v>661</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7690"/>
      <c r="F12" s="7689"/>
      <c r="G12" s="1237"/>
      <c r="H12" s="1237"/>
      <c r="I12" s="1237"/>
      <c r="J12" s="1237"/>
      <c r="K12" s="1237"/>
      <c r="L12" s="1376"/>
      <c r="M12" s="1244"/>
      <c r="N12" s="1244"/>
      <c r="P12" s="1239"/>
      <c r="Q12" s="1240"/>
      <c r="R12" s="1239"/>
      <c r="S12" s="1245"/>
      <c r="T12" s="1248" t="s">
        <v>325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7689"/>
      <c r="F13" s="1265"/>
      <c r="G13" s="1265"/>
      <c r="H13" s="1265"/>
      <c r="I13" s="1265"/>
      <c r="J13" s="1265"/>
      <c r="K13" s="1265"/>
      <c r="L13" s="1268"/>
      <c r="M13" s="1244"/>
      <c r="N13" s="1244"/>
      <c r="O13" s="442"/>
      <c r="P13" s="308"/>
      <c r="Q13" s="1266"/>
      <c r="R13" s="308"/>
      <c r="S13" s="1245"/>
      <c r="T13" s="1248" t="s">
        <v>326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7694"/>
      <c r="AG15" s="7695" t="s">
        <v>60</v>
      </c>
      <c r="AH15" s="7694"/>
      <c r="AI15" s="7695" t="s">
        <v>60</v>
      </c>
    </row>
    <row r="16" spans="1:42" ht="14.25" hidden="1" customHeight="1">
      <c r="AC16" s="1281"/>
      <c r="AD16" s="1281"/>
      <c r="AE16" s="250" t="str">
        <f>AF15&amp;"-"&amp;AH15</f>
        <v>-</v>
      </c>
      <c r="AF16" s="7695"/>
      <c r="AG16" s="7695"/>
      <c r="AH16" s="7695"/>
      <c r="AI16" s="7695"/>
    </row>
    <row r="17" spans="1:42" ht="14.25" hidden="1" customHeight="1">
      <c r="AI17" s="249"/>
    </row>
    <row r="18" spans="1:42" s="1287" customFormat="1" ht="22.5" hidden="1" customHeight="1">
      <c r="L18" s="1365"/>
      <c r="M18" s="1283"/>
      <c r="N18" s="1283"/>
      <c r="O18" s="1288" t="s">
        <v>591</v>
      </c>
      <c r="P18" s="1283"/>
      <c r="Q18" s="1292"/>
      <c r="R18" s="1292"/>
      <c r="S18" s="646"/>
      <c r="Y18" s="1288"/>
      <c r="AA18" s="1288"/>
      <c r="AF18" s="1288"/>
      <c r="AH18" s="1288"/>
      <c r="AL18" s="435"/>
      <c r="AM18" s="435"/>
      <c r="AN18" s="435"/>
      <c r="AO18" s="435"/>
      <c r="AP18" s="435"/>
    </row>
    <row r="19" spans="1:42" s="1287" customFormat="1" ht="14.25" hidden="1" customHeight="1">
      <c r="L19" s="1365"/>
      <c r="M19" s="1283"/>
      <c r="N19" s="1283"/>
      <c r="O19" s="1283"/>
      <c r="P19" s="1283"/>
      <c r="Q19" s="1292"/>
      <c r="R19" s="1292"/>
      <c r="S19" s="646"/>
      <c r="AL19" s="435"/>
      <c r="AM19" s="435"/>
      <c r="AN19" s="435"/>
      <c r="AO19" s="435"/>
      <c r="AP19" s="435"/>
    </row>
    <row r="20" spans="1:42" s="1287" customFormat="1" ht="12" hidden="1" customHeight="1">
      <c r="L20" s="1365"/>
      <c r="M20" s="1283"/>
      <c r="N20" s="1283"/>
      <c r="O20" s="1285" t="s">
        <v>592</v>
      </c>
      <c r="P20" s="1283"/>
      <c r="Q20" s="1361"/>
      <c r="R20" s="1361"/>
      <c r="S20" s="646"/>
      <c r="T20" s="1065" t="s">
        <v>593</v>
      </c>
      <c r="Z20" s="104" t="s">
        <v>594</v>
      </c>
      <c r="AB20" s="104" t="s">
        <v>595</v>
      </c>
      <c r="AC20" s="1065" t="s">
        <v>593</v>
      </c>
      <c r="AG20" s="104" t="s">
        <v>596</v>
      </c>
      <c r="AI20" s="104" t="s">
        <v>595</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767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7673"/>
      <c r="U24" s="7673"/>
      <c r="V24" s="7673"/>
      <c r="W24" s="7673"/>
      <c r="X24" s="7673"/>
      <c r="Y24" s="7673"/>
      <c r="Z24" s="7673"/>
      <c r="AA24" s="7673"/>
      <c r="AB24" s="7673"/>
      <c r="AC24" s="7673"/>
      <c r="AD24" s="7673"/>
      <c r="AE24" s="7673"/>
      <c r="AF24" s="7673"/>
      <c r="AG24" s="7673"/>
      <c r="AH24" s="7673"/>
      <c r="AI24" s="1157"/>
    </row>
    <row r="25" spans="1:42" ht="14.25" customHeight="1">
      <c r="Q25" s="300"/>
      <c r="R25" s="300"/>
      <c r="S25" s="7620" t="str">
        <f>IF(org=0,"Не определено",org)</f>
        <v>ГУП СК "Ставрополькрайводоканал"</v>
      </c>
      <c r="T25" s="7620"/>
      <c r="U25" s="7620"/>
      <c r="V25" s="7620"/>
      <c r="W25" s="7620"/>
      <c r="X25" s="7620"/>
      <c r="Y25" s="7620"/>
      <c r="Z25" s="7620"/>
      <c r="AA25" s="7620"/>
      <c r="AB25" s="7620"/>
      <c r="AC25" s="7620"/>
      <c r="AD25" s="7620"/>
      <c r="AE25" s="7620"/>
      <c r="AF25" s="7620"/>
      <c r="AG25" s="7620"/>
      <c r="AH25" s="7620"/>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7681" t="s">
        <v>38</v>
      </c>
      <c r="T27" s="7681"/>
      <c r="U27" s="1293"/>
      <c r="V27" s="7682" t="str">
        <f>IF(TITLE_NAME_OR_PR_CHANGE="",IF(TITLE_NAME_OR_PR="","",TITLE_NAME_OR_PR),TITLE_NAME_OR_PR_CHANGE)</f>
        <v>Региональная тарифная комиссия Ставропольского края</v>
      </c>
      <c r="W27" s="7682"/>
      <c r="X27" s="7682"/>
      <c r="Y27" s="7682"/>
      <c r="Z27" s="7682"/>
      <c r="AA27" s="7682"/>
      <c r="AB27" s="248"/>
      <c r="AC27" s="7682" t="str">
        <f>IF(TITLE_NAME_OR_PR_CHANGE="",IF(TITLE_NAME_OR_PR="","",TITLE_NAME_OR_PR),TITLE_NAME_OR_PR_CHANGE)</f>
        <v>Региональная тарифная комиссия Ставропольского края</v>
      </c>
      <c r="AD27" s="7682"/>
      <c r="AE27" s="7682"/>
      <c r="AF27" s="7682"/>
      <c r="AG27" s="7682"/>
      <c r="AH27" s="7682"/>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7681" t="s">
        <v>597</v>
      </c>
      <c r="T28" s="7681"/>
      <c r="U28" s="1293"/>
      <c r="V28" s="7691">
        <f>IF(TITLE_DATE_PR_CHANGE="",IF(TITLE_DATE_PR="","",TITLE_DATE_PR),TITLE_DATE_PR_CHANGE)</f>
        <v>45278</v>
      </c>
      <c r="W28" s="7691"/>
      <c r="X28" s="7691"/>
      <c r="Y28" s="7691"/>
      <c r="Z28" s="7691"/>
      <c r="AA28" s="7691"/>
      <c r="AB28" s="248"/>
      <c r="AC28" s="7691">
        <f>IF(TITLE_DATE_PR_CHANGE="",IF(TITLE_DATE_PR="","",TITLE_DATE_PR),TITLE_DATE_PR_CHANGE)</f>
        <v>45278</v>
      </c>
      <c r="AD28" s="7691"/>
      <c r="AE28" s="7691"/>
      <c r="AF28" s="7691"/>
      <c r="AG28" s="7691"/>
      <c r="AH28" s="7691"/>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7681" t="s">
        <v>598</v>
      </c>
      <c r="T29" s="7681"/>
      <c r="U29" s="1293"/>
      <c r="V29" s="7682" t="str">
        <f>IF(TITLE_NUMBER_PR_CHANGE="",IF(TITLE_NUMBER_PR="","",TITLE_NUMBER_PR),TITLE_NUMBER_PR_CHANGE)</f>
        <v>79/2</v>
      </c>
      <c r="W29" s="7682"/>
      <c r="X29" s="7682"/>
      <c r="Y29" s="7682"/>
      <c r="Z29" s="7682"/>
      <c r="AA29" s="7682"/>
      <c r="AB29" s="248"/>
      <c r="AC29" s="7682" t="str">
        <f>IF(TITLE_NUMBER_PR_CHANGE="",IF(TITLE_NUMBER_PR="","",TITLE_NUMBER_PR),TITLE_NUMBER_PR_CHANGE)</f>
        <v>79/2</v>
      </c>
      <c r="AD29" s="7682"/>
      <c r="AE29" s="7682"/>
      <c r="AF29" s="7682"/>
      <c r="AG29" s="7682"/>
      <c r="AH29" s="7682"/>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7681" t="s">
        <v>40</v>
      </c>
      <c r="T30" s="7681"/>
      <c r="U30" s="1293"/>
      <c r="V30" s="7682" t="str">
        <f>IF(TITLE_IST_PUB_CHANGE="",IF(TITLE_IST_PUB="","",TITLE_IST_PUB),TITLE_IST_PUB_CHANGE)</f>
        <v>http://pravo.stavregion.ru/</v>
      </c>
      <c r="W30" s="7682"/>
      <c r="X30" s="7682"/>
      <c r="Y30" s="7682"/>
      <c r="Z30" s="7682"/>
      <c r="AA30" s="7682"/>
      <c r="AB30" s="248"/>
      <c r="AC30" s="7682" t="str">
        <f>IF(TITLE_IST_PUB_CHANGE="",IF(TITLE_IST_PUB="","",TITLE_IST_PUB),TITLE_IST_PUB_CHANGE)</f>
        <v>http://pravo.stavregion.ru/</v>
      </c>
      <c r="AD30" s="7682"/>
      <c r="AE30" s="7682"/>
      <c r="AF30" s="7682"/>
      <c r="AG30" s="7682"/>
      <c r="AH30" s="7682"/>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7681" t="s">
        <v>599</v>
      </c>
      <c r="T32" s="7681"/>
      <c r="U32" s="1293"/>
      <c r="V32" s="7691">
        <f>IF(TITLE_DATE_PR_CHANGE="",IF(TITLE_DATE_PR="","",TITLE_DATE_PR),TITLE_DATE_PR_CHANGE)</f>
        <v>45278</v>
      </c>
      <c r="W32" s="7691"/>
      <c r="X32" s="7691"/>
      <c r="Y32" s="7691"/>
      <c r="Z32" s="7691"/>
      <c r="AA32" s="7691"/>
      <c r="AB32" s="248"/>
      <c r="AC32" s="7691">
        <f>IF(TITLE_DATE_PR_CHANGE="",IF(TITLE_DATE_PR="","",TITLE_DATE_PR),TITLE_DATE_PR_CHANGE)</f>
        <v>45278</v>
      </c>
      <c r="AD32" s="7691"/>
      <c r="AE32" s="7691"/>
      <c r="AF32" s="7691"/>
      <c r="AG32" s="7691"/>
      <c r="AH32" s="7691"/>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7681" t="s">
        <v>600</v>
      </c>
      <c r="T33" s="7681"/>
      <c r="U33" s="1293"/>
      <c r="V33" s="7682" t="str">
        <f>IF(TITLE_NUMBER_PR_CHANGE="",IF(TITLE_NUMBER_PR="","",TITLE_NUMBER_PR),TITLE_NUMBER_PR_CHANGE)</f>
        <v>79/2</v>
      </c>
      <c r="W33" s="7682"/>
      <c r="X33" s="7682"/>
      <c r="Y33" s="7682"/>
      <c r="Z33" s="7682"/>
      <c r="AA33" s="7682"/>
      <c r="AB33" s="248"/>
      <c r="AC33" s="7682" t="str">
        <f>IF(TITLE_NUMBER_PR_CHANGE="",IF(TITLE_NUMBER_PR="","",TITLE_NUMBER_PR),TITLE_NUMBER_PR_CHANGE)</f>
        <v>79/2</v>
      </c>
      <c r="AD33" s="7682"/>
      <c r="AE33" s="7682"/>
      <c r="AF33" s="7682"/>
      <c r="AG33" s="7682"/>
      <c r="AH33" s="7682"/>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601</v>
      </c>
      <c r="AC34" s="248"/>
      <c r="AD34" s="248"/>
      <c r="AE34" s="248"/>
      <c r="AF34" s="248"/>
      <c r="AG34" s="248"/>
      <c r="AH34" s="248"/>
      <c r="AI34" s="194" t="s">
        <v>601</v>
      </c>
      <c r="AL34" s="292"/>
      <c r="AM34" s="292"/>
      <c r="AN34" s="292"/>
      <c r="AO34" s="292"/>
      <c r="AP34" s="292"/>
    </row>
    <row r="35" spans="1:42" ht="14.25" customHeight="1">
      <c r="Q35" s="300"/>
      <c r="R35" s="300"/>
      <c r="S35" s="1200"/>
      <c r="T35" s="286"/>
      <c r="U35" s="1158"/>
      <c r="V35" s="7683"/>
      <c r="W35" s="7683"/>
      <c r="X35" s="7683"/>
      <c r="Y35" s="7683"/>
      <c r="Z35" s="7683"/>
      <c r="AA35" s="7683"/>
      <c r="AB35" s="7683"/>
      <c r="AC35" s="7683"/>
      <c r="AD35" s="7683"/>
      <c r="AE35" s="7683"/>
      <c r="AF35" s="7683"/>
      <c r="AG35" s="7683"/>
      <c r="AH35" s="7683"/>
      <c r="AI35" s="7683"/>
    </row>
    <row r="36" spans="1:42" ht="14.25" customHeight="1">
      <c r="Q36" s="300"/>
      <c r="R36" s="300"/>
      <c r="S36" s="7559" t="s">
        <v>474</v>
      </c>
      <c r="T36" s="7559"/>
      <c r="U36" s="7559"/>
      <c r="V36" s="7559"/>
      <c r="W36" s="7559"/>
      <c r="X36" s="7559"/>
      <c r="Y36" s="7559"/>
      <c r="Z36" s="7559"/>
      <c r="AA36" s="7559"/>
      <c r="AB36" s="7559"/>
      <c r="AC36" s="7559"/>
      <c r="AD36" s="7559"/>
      <c r="AE36" s="7559"/>
      <c r="AF36" s="7559"/>
      <c r="AG36" s="7559"/>
      <c r="AH36" s="7559"/>
      <c r="AI36" s="7559"/>
      <c r="AJ36" s="7559"/>
      <c r="AK36" s="7559" t="s">
        <v>475</v>
      </c>
    </row>
    <row r="37" spans="1:42" ht="14.25" customHeight="1">
      <c r="Q37" s="300"/>
      <c r="R37" s="300"/>
      <c r="S37" s="7697" t="s">
        <v>86</v>
      </c>
      <c r="T37" s="7649" t="s">
        <v>602</v>
      </c>
      <c r="U37" s="215"/>
      <c r="V37" s="7698" t="s">
        <v>603</v>
      </c>
      <c r="W37" s="7699"/>
      <c r="X37" s="7699"/>
      <c r="Y37" s="7699"/>
      <c r="Z37" s="7699"/>
      <c r="AA37" s="7700"/>
      <c r="AB37" s="7701" t="s">
        <v>604</v>
      </c>
      <c r="AC37" s="7698" t="s">
        <v>603</v>
      </c>
      <c r="AD37" s="7699"/>
      <c r="AE37" s="7699"/>
      <c r="AF37" s="7699"/>
      <c r="AG37" s="7699"/>
      <c r="AH37" s="7700"/>
      <c r="AI37" s="7701" t="s">
        <v>605</v>
      </c>
      <c r="AJ37" s="7704" t="s">
        <v>606</v>
      </c>
      <c r="AK37" s="7559"/>
    </row>
    <row r="38" spans="1:42" ht="33.75" customHeight="1">
      <c r="Q38" s="300"/>
      <c r="R38" s="300"/>
      <c r="S38" s="7697"/>
      <c r="T38" s="7649"/>
      <c r="U38" s="942"/>
      <c r="V38" s="1370" t="s">
        <v>662</v>
      </c>
      <c r="W38" s="7530" t="s">
        <v>609</v>
      </c>
      <c r="X38" s="7529"/>
      <c r="Y38" s="7530" t="s">
        <v>610</v>
      </c>
      <c r="Z38" s="7536"/>
      <c r="AA38" s="7529"/>
      <c r="AB38" s="7702"/>
      <c r="AC38" s="1370" t="s">
        <v>662</v>
      </c>
      <c r="AD38" s="7530" t="s">
        <v>609</v>
      </c>
      <c r="AE38" s="7529"/>
      <c r="AF38" s="7530" t="s">
        <v>610</v>
      </c>
      <c r="AG38" s="7536"/>
      <c r="AH38" s="7529"/>
      <c r="AI38" s="7702"/>
      <c r="AJ38" s="7705"/>
      <c r="AK38" s="7559"/>
    </row>
    <row r="39" spans="1:42" ht="33.75" customHeight="1">
      <c r="A39" s="1291"/>
      <c r="B39" s="1291" t="s">
        <v>249</v>
      </c>
      <c r="C39" s="1291" t="s">
        <v>250</v>
      </c>
      <c r="D39" s="1291" t="s">
        <v>251</v>
      </c>
      <c r="E39" s="1285" t="s">
        <v>611</v>
      </c>
      <c r="F39" s="1285" t="s">
        <v>612</v>
      </c>
      <c r="G39" s="1285" t="s">
        <v>613</v>
      </c>
      <c r="H39" s="1285"/>
      <c r="I39" s="1285" t="s">
        <v>663</v>
      </c>
      <c r="J39" s="1285" t="s">
        <v>616</v>
      </c>
      <c r="K39" s="1285" t="s">
        <v>664</v>
      </c>
      <c r="L39" s="1285" t="s">
        <v>592</v>
      </c>
      <c r="Q39" s="300"/>
      <c r="R39" s="300"/>
      <c r="S39" s="7697"/>
      <c r="T39" s="7649"/>
      <c r="U39" s="216"/>
      <c r="V39" s="1370" t="s">
        <v>665</v>
      </c>
      <c r="W39" s="1133" t="s">
        <v>666</v>
      </c>
      <c r="X39" s="1133" t="s">
        <v>667</v>
      </c>
      <c r="Y39" s="1373" t="s">
        <v>620</v>
      </c>
      <c r="Z39" s="7657" t="s">
        <v>621</v>
      </c>
      <c r="AA39" s="7659"/>
      <c r="AB39" s="7703"/>
      <c r="AC39" s="1370" t="s">
        <v>665</v>
      </c>
      <c r="AD39" s="1133" t="s">
        <v>666</v>
      </c>
      <c r="AE39" s="1133" t="s">
        <v>667</v>
      </c>
      <c r="AF39" s="1373" t="s">
        <v>620</v>
      </c>
      <c r="AG39" s="7657" t="s">
        <v>621</v>
      </c>
      <c r="AH39" s="7659"/>
      <c r="AI39" s="7703"/>
      <c r="AJ39" s="7706"/>
      <c r="AK39" s="7559"/>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100</v>
      </c>
      <c r="U40" s="1159" t="str">
        <f ca="1">OFFSET(U40,0,-1)</f>
        <v>2</v>
      </c>
      <c r="V40" s="1369">
        <f ca="1">OFFSET(V40,0,-1)+1</f>
        <v>3</v>
      </c>
      <c r="W40" s="1369">
        <f ca="1">OFFSET(W40,0,-1)+1</f>
        <v>4</v>
      </c>
      <c r="X40" s="1369">
        <f ca="1">OFFSET(X40,0,-1)+1</f>
        <v>5</v>
      </c>
      <c r="Y40" s="1369">
        <f ca="1">OFFSET(Y40,0,-1)+1</f>
        <v>6</v>
      </c>
      <c r="Z40" s="7696">
        <f ca="1">OFFSET(Z40,0,-1)+1</f>
        <v>7</v>
      </c>
      <c r="AA40" s="7696"/>
      <c r="AB40" s="1369">
        <f ca="1">OFFSET(AB40,0,-2)+1</f>
        <v>8</v>
      </c>
      <c r="AC40" s="1369">
        <f ca="1">OFFSET(AC40,0,-1)+1</f>
        <v>9</v>
      </c>
      <c r="AD40" s="1369">
        <f ca="1">OFFSET(AD40,0,-1)+1</f>
        <v>10</v>
      </c>
      <c r="AE40" s="1369">
        <f ca="1">OFFSET(AE40,0,-1)+1</f>
        <v>11</v>
      </c>
      <c r="AF40" s="1369">
        <f ca="1">OFFSET(AF40,0,-1)+1</f>
        <v>12</v>
      </c>
      <c r="AG40" s="7696">
        <f ca="1">OFFSET(AG40,0,-1)+1</f>
        <v>13</v>
      </c>
      <c r="AH40" s="7696"/>
      <c r="AI40" s="1369">
        <f ca="1">OFFSET(AI40,0,-2)+1</f>
        <v>14</v>
      </c>
      <c r="AJ40" s="1159">
        <f ca="1">OFFSET(AJ40,0,-1)</f>
        <v>14</v>
      </c>
      <c r="AK40" s="1369">
        <f ca="1">OFFSET(AK40,0,-1)+1</f>
        <v>15</v>
      </c>
      <c r="AL40" s="435"/>
      <c r="AM40" s="435"/>
      <c r="AN40" s="435"/>
      <c r="AO40" s="435"/>
      <c r="AP40" s="435"/>
    </row>
    <row r="41" spans="1:42" ht="23.25" customHeight="1">
      <c r="A41" s="1284" t="s">
        <v>405</v>
      </c>
      <c r="B41" s="1284"/>
      <c r="C41" s="1284"/>
      <c r="D41" s="1284"/>
      <c r="E41" s="7689">
        <v>1</v>
      </c>
      <c r="F41" s="1284"/>
      <c r="G41" s="1284"/>
      <c r="H41" s="1284"/>
      <c r="I41" s="1284"/>
      <c r="J41" s="1284"/>
      <c r="K41" s="1284"/>
      <c r="L41" s="1285"/>
      <c r="M41" s="1286"/>
      <c r="N41" s="1286"/>
      <c r="O41" s="1286"/>
      <c r="P41" s="282"/>
      <c r="Q41" s="281"/>
      <c r="R41" s="276"/>
      <c r="S41" s="1375">
        <f>INDEX(PT_DIFFERENTIATION_NUM_NTAR,MATCH(A41,PT_DIFFERENTIATION_NTAR_ID,0))</f>
        <v>0</v>
      </c>
      <c r="T41" s="212" t="s">
        <v>237</v>
      </c>
      <c r="U41" s="214"/>
      <c r="V41" s="7675"/>
      <c r="W41" s="7676"/>
      <c r="X41" s="7676"/>
      <c r="Y41" s="7676"/>
      <c r="Z41" s="7676"/>
      <c r="AA41" s="7676"/>
      <c r="AB41" s="7677"/>
      <c r="AC41" s="7675" t="str">
        <f>INDEX(PT_DIFFERENTIATION_NTAR,MATCH(A41,PT_DIFFERENTIATION_NTAR_ID,0))</f>
        <v/>
      </c>
      <c r="AD41" s="7676"/>
      <c r="AE41" s="7676"/>
      <c r="AF41" s="7676"/>
      <c r="AG41" s="7676"/>
      <c r="AH41" s="7676"/>
      <c r="AI41" s="7676"/>
      <c r="AJ41" s="7677"/>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405</v>
      </c>
      <c r="B42" s="1284" t="s">
        <v>406</v>
      </c>
      <c r="C42" s="1284"/>
      <c r="D42" s="1284"/>
      <c r="E42" s="7690"/>
      <c r="F42" s="7689">
        <v>1</v>
      </c>
      <c r="G42" s="1284"/>
      <c r="H42" s="1284"/>
      <c r="I42" s="1284"/>
      <c r="J42" s="1284"/>
      <c r="K42" s="1284"/>
      <c r="L42" s="1285"/>
      <c r="M42" s="1286"/>
      <c r="N42" s="1286"/>
      <c r="O42" s="1286"/>
      <c r="P42" s="1371"/>
      <c r="Q42" s="273"/>
      <c r="R42" s="274"/>
      <c r="S42" s="1375" t="str">
        <f>INDEX(PT_DIFFERENTIATION_NUM_TER,MATCH(B42,PT_DIFFERENTIATION_TER_ID,0))</f>
        <v>.</v>
      </c>
      <c r="T42" s="224" t="s">
        <v>573</v>
      </c>
      <c r="U42" s="214"/>
      <c r="V42" s="7675"/>
      <c r="W42" s="7676"/>
      <c r="X42" s="7676"/>
      <c r="Y42" s="7676"/>
      <c r="Z42" s="7676"/>
      <c r="AA42" s="7676"/>
      <c r="AB42" s="7677"/>
      <c r="AC42" s="7675" t="str">
        <f>INDEX(PT_DIFFERENTIATION_TER,MATCH(B42,PT_DIFFERENTIATION_TER_ID,0))</f>
        <v/>
      </c>
      <c r="AD42" s="7676"/>
      <c r="AE42" s="7676"/>
      <c r="AF42" s="7676"/>
      <c r="AG42" s="7676"/>
      <c r="AH42" s="7676"/>
      <c r="AI42" s="7676"/>
      <c r="AJ42" s="7677"/>
      <c r="AK42" s="1182" t="s">
        <v>574</v>
      </c>
      <c r="AM42" s="424"/>
      <c r="AN42" s="424" t="str">
        <f t="shared" si="1"/>
        <v>Территория действия тарифа</v>
      </c>
      <c r="AO42" s="424"/>
      <c r="AP42" s="424"/>
    </row>
    <row r="43" spans="1:42" ht="23.25" customHeight="1">
      <c r="A43" s="1284" t="s">
        <v>405</v>
      </c>
      <c r="B43" s="1284" t="s">
        <v>406</v>
      </c>
      <c r="C43" s="1284" t="s">
        <v>407</v>
      </c>
      <c r="D43" s="1284"/>
      <c r="E43" s="7690"/>
      <c r="F43" s="7690"/>
      <c r="G43" s="7689">
        <v>1</v>
      </c>
      <c r="H43" s="1284"/>
      <c r="I43" s="1284"/>
      <c r="J43" s="1284"/>
      <c r="K43" s="1284"/>
      <c r="L43" s="1285"/>
      <c r="M43" s="1286"/>
      <c r="N43" s="1286"/>
      <c r="O43" s="1286"/>
      <c r="P43" s="275"/>
      <c r="Q43" s="273"/>
      <c r="R43" s="274"/>
      <c r="S43" s="1375" t="str">
        <f>INDEX(PT_DIFFERENTIATION_NUM_CS,MATCH(C43,PT_DIFFERENTIATION_CS_ID,0))</f>
        <v>..</v>
      </c>
      <c r="T43" s="225" t="s">
        <v>654</v>
      </c>
      <c r="U43" s="214"/>
      <c r="V43" s="7675"/>
      <c r="W43" s="7676"/>
      <c r="X43" s="7676"/>
      <c r="Y43" s="7676"/>
      <c r="Z43" s="7676"/>
      <c r="AA43" s="7676"/>
      <c r="AB43" s="7677"/>
      <c r="AC43" s="7675" t="str">
        <f>INDEX(PT_DIFFERENTIATION_CS,MATCH(C43,PT_DIFFERENTIATION_CS_ID,0))</f>
        <v/>
      </c>
      <c r="AD43" s="7676"/>
      <c r="AE43" s="7676"/>
      <c r="AF43" s="7676"/>
      <c r="AG43" s="7676"/>
      <c r="AH43" s="7676"/>
      <c r="AI43" s="7676"/>
      <c r="AJ43" s="7677"/>
      <c r="AK43" s="1182" t="s">
        <v>655</v>
      </c>
      <c r="AM43" s="424"/>
      <c r="AN43" s="424" t="str">
        <f t="shared" si="1"/>
        <v>Наименование централизованной системы холодного водоснабжения</v>
      </c>
      <c r="AO43" s="424"/>
      <c r="AP43" s="424"/>
    </row>
    <row r="44" spans="1:42" ht="23.25" customHeight="1">
      <c r="A44" s="1284" t="s">
        <v>405</v>
      </c>
      <c r="B44" s="1284" t="s">
        <v>406</v>
      </c>
      <c r="C44" s="1284" t="s">
        <v>407</v>
      </c>
      <c r="D44" s="1284" t="s">
        <v>673</v>
      </c>
      <c r="E44" s="7690"/>
      <c r="F44" s="7690"/>
      <c r="G44" s="7690"/>
      <c r="H44" s="7690"/>
      <c r="I44" s="7687" t="str">
        <f>S43&amp;".1"</f>
        <v>...1</v>
      </c>
      <c r="J44" s="1284"/>
      <c r="K44" s="1284"/>
      <c r="L44" s="1285"/>
      <c r="P44" s="7688">
        <v>1</v>
      </c>
      <c r="Q44" s="1368"/>
      <c r="R44" s="277"/>
      <c r="S44" s="1375" t="str">
        <f>$I44</f>
        <v>...1</v>
      </c>
      <c r="T44" s="200" t="s">
        <v>656</v>
      </c>
      <c r="U44" s="214"/>
      <c r="V44" s="7748"/>
      <c r="W44" s="7749"/>
      <c r="X44" s="7749"/>
      <c r="Y44" s="7749"/>
      <c r="Z44" s="7749"/>
      <c r="AA44" s="7749"/>
      <c r="AB44" s="7750"/>
      <c r="AC44" s="7751"/>
      <c r="AD44" s="7752"/>
      <c r="AE44" s="7752"/>
      <c r="AF44" s="7752"/>
      <c r="AG44" s="7752"/>
      <c r="AH44" s="7752"/>
      <c r="AI44" s="7752"/>
      <c r="AJ44" s="7753"/>
      <c r="AK44" s="1182" t="s">
        <v>657</v>
      </c>
      <c r="AM44" s="424"/>
      <c r="AN44" s="424" t="str">
        <f t="shared" si="1"/>
        <v>Наименование признака дифференциации</v>
      </c>
      <c r="AO44" s="424"/>
      <c r="AP44" s="424"/>
    </row>
    <row r="45" spans="1:42" ht="23.25" customHeight="1">
      <c r="A45" s="1284" t="s">
        <v>405</v>
      </c>
      <c r="B45" s="1284" t="s">
        <v>406</v>
      </c>
      <c r="C45" s="1284" t="s">
        <v>407</v>
      </c>
      <c r="D45" s="1284" t="s">
        <v>673</v>
      </c>
      <c r="E45" s="7690"/>
      <c r="F45" s="7690"/>
      <c r="G45" s="7690"/>
      <c r="H45" s="7690"/>
      <c r="I45" s="7710"/>
      <c r="J45" s="7687" t="str">
        <f>I44&amp;".1"</f>
        <v>...1.1</v>
      </c>
      <c r="K45" s="1284"/>
      <c r="L45" s="1285" t="s">
        <v>582</v>
      </c>
      <c r="P45" s="7688"/>
      <c r="Q45" s="7688">
        <v>1</v>
      </c>
      <c r="R45" s="278"/>
      <c r="S45" s="1375" t="str">
        <f>$J45</f>
        <v>...1.1</v>
      </c>
      <c r="T45" s="201" t="s">
        <v>583</v>
      </c>
      <c r="U45" s="214"/>
      <c r="V45" s="7678"/>
      <c r="W45" s="7679"/>
      <c r="X45" s="7679"/>
      <c r="Y45" s="7679"/>
      <c r="Z45" s="7679"/>
      <c r="AA45" s="7679"/>
      <c r="AB45" s="7680"/>
      <c r="AC45" s="7678"/>
      <c r="AD45" s="7679"/>
      <c r="AE45" s="7679"/>
      <c r="AF45" s="7679"/>
      <c r="AG45" s="7679"/>
      <c r="AH45" s="7679"/>
      <c r="AI45" s="7679"/>
      <c r="AJ45" s="7680"/>
      <c r="AK45" s="1231" t="s">
        <v>658</v>
      </c>
      <c r="AM45" s="424"/>
      <c r="AN45" s="424" t="str">
        <f t="shared" si="1"/>
        <v>Группа потребителей</v>
      </c>
      <c r="AO45" s="424"/>
      <c r="AP45" s="424"/>
    </row>
    <row r="46" spans="1:42" ht="23.25" customHeight="1">
      <c r="A46" s="1284" t="s">
        <v>405</v>
      </c>
      <c r="B46" s="1284" t="s">
        <v>406</v>
      </c>
      <c r="C46" s="1284" t="s">
        <v>407</v>
      </c>
      <c r="D46" s="1284" t="s">
        <v>673</v>
      </c>
      <c r="E46" s="7690"/>
      <c r="F46" s="7690"/>
      <c r="G46" s="7690"/>
      <c r="H46" s="7690"/>
      <c r="I46" s="7710"/>
      <c r="J46" s="7710"/>
      <c r="K46" s="7687" t="str">
        <f>J45&amp;".1"</f>
        <v>...1.1.1</v>
      </c>
      <c r="L46" s="1285"/>
      <c r="P46" s="7688"/>
      <c r="Q46" s="7688"/>
      <c r="R46" s="278">
        <v>1</v>
      </c>
      <c r="S46" s="1375" t="str">
        <f>$K46</f>
        <v>...1.1.1</v>
      </c>
      <c r="T46" s="1357"/>
      <c r="U46" s="214"/>
      <c r="V46" s="666"/>
      <c r="W46" s="666"/>
      <c r="X46" s="1181"/>
      <c r="Y46" s="7692"/>
      <c r="Z46" s="7540" t="s">
        <v>60</v>
      </c>
      <c r="AA46" s="7692"/>
      <c r="AB46" s="7540" t="s">
        <v>60</v>
      </c>
      <c r="AC46" s="666"/>
      <c r="AD46" s="666"/>
      <c r="AE46" s="1181"/>
      <c r="AF46" s="7692"/>
      <c r="AG46" s="7540" t="s">
        <v>60</v>
      </c>
      <c r="AH46" s="7711"/>
      <c r="AI46" s="7540" t="s">
        <v>60</v>
      </c>
      <c r="AJ46" s="1358"/>
      <c r="AK4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405</v>
      </c>
      <c r="B47" s="1284" t="s">
        <v>406</v>
      </c>
      <c r="C47" s="1284" t="s">
        <v>407</v>
      </c>
      <c r="D47" s="1284" t="s">
        <v>673</v>
      </c>
      <c r="E47" s="7690"/>
      <c r="F47" s="7690"/>
      <c r="G47" s="7690"/>
      <c r="H47" s="7690"/>
      <c r="I47" s="7710"/>
      <c r="J47" s="7710"/>
      <c r="K47" s="7687"/>
      <c r="L47" s="1285"/>
      <c r="P47" s="7688"/>
      <c r="Q47" s="7688"/>
      <c r="R47" s="278"/>
      <c r="S47" s="1374"/>
      <c r="T47" s="214"/>
      <c r="U47" s="214"/>
      <c r="V47" s="246"/>
      <c r="W47" s="246"/>
      <c r="X47" s="250" t="str">
        <f>Y46&amp;"-"&amp;AA46</f>
        <v>-</v>
      </c>
      <c r="Y47" s="7693"/>
      <c r="Z47" s="7540"/>
      <c r="AA47" s="7693"/>
      <c r="AB47" s="7540"/>
      <c r="AC47" s="246"/>
      <c r="AD47" s="246"/>
      <c r="AE47" s="250" t="str">
        <f>AF46&amp;"-"&amp;AH46</f>
        <v>-</v>
      </c>
      <c r="AF47" s="7693"/>
      <c r="AG47" s="7540"/>
      <c r="AH47" s="7712"/>
      <c r="AI47" s="7540"/>
      <c r="AJ47" s="1359"/>
      <c r="AK47" s="7747"/>
      <c r="AM47" s="424"/>
      <c r="AN47" s="424" t="str">
        <f t="shared" si="1"/>
        <v/>
      </c>
      <c r="AO47" s="424"/>
      <c r="AP47" s="424"/>
    </row>
    <row r="48" spans="1:42" ht="21" customHeight="1">
      <c r="A48" s="1284" t="s">
        <v>405</v>
      </c>
      <c r="B48" s="1284" t="s">
        <v>406</v>
      </c>
      <c r="C48" s="1284" t="s">
        <v>407</v>
      </c>
      <c r="D48" s="1284" t="s">
        <v>673</v>
      </c>
      <c r="E48" s="7690"/>
      <c r="F48" s="7690"/>
      <c r="G48" s="7690"/>
      <c r="H48" s="7690"/>
      <c r="I48" s="7710"/>
      <c r="J48" s="7687"/>
      <c r="K48" s="1284"/>
      <c r="L48" s="1285"/>
      <c r="P48" s="7688"/>
      <c r="Q48" s="7688"/>
      <c r="R48" s="277"/>
      <c r="S48" s="1203"/>
      <c r="T48" s="202" t="s">
        <v>659</v>
      </c>
      <c r="U48" s="291"/>
      <c r="V48" s="291"/>
      <c r="W48" s="291"/>
      <c r="X48" s="291"/>
      <c r="Y48" s="291"/>
      <c r="Z48" s="291"/>
      <c r="AA48" s="291"/>
      <c r="AB48" s="291"/>
      <c r="AC48" s="291"/>
      <c r="AD48" s="291"/>
      <c r="AE48" s="291"/>
      <c r="AF48" s="291"/>
      <c r="AG48" s="291"/>
      <c r="AH48" s="291"/>
      <c r="AI48" s="291"/>
      <c r="AJ48" s="291"/>
      <c r="AK48" s="1182" t="s">
        <v>660</v>
      </c>
      <c r="AM48" s="424"/>
      <c r="AN48" s="424" t="str">
        <f t="shared" si="1"/>
        <v>Добавить значение признака дифференциации</v>
      </c>
      <c r="AO48" s="424"/>
      <c r="AP48" s="424"/>
    </row>
    <row r="49" spans="1:42" ht="21" customHeight="1">
      <c r="A49" s="1284" t="s">
        <v>405</v>
      </c>
      <c r="B49" s="1284" t="s">
        <v>406</v>
      </c>
      <c r="C49" s="1284" t="s">
        <v>407</v>
      </c>
      <c r="D49" s="1284" t="s">
        <v>673</v>
      </c>
      <c r="E49" s="7690"/>
      <c r="F49" s="7690"/>
      <c r="G49" s="7690"/>
      <c r="H49" s="7690"/>
      <c r="I49" s="7687"/>
      <c r="J49" s="1284"/>
      <c r="K49" s="1284"/>
      <c r="L49" s="1285"/>
      <c r="P49" s="7688"/>
      <c r="Q49" s="1368"/>
      <c r="R49" s="277"/>
      <c r="S49" s="1203"/>
      <c r="T49" s="288" t="s">
        <v>588</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405</v>
      </c>
      <c r="B50" s="1284" t="s">
        <v>406</v>
      </c>
      <c r="C50" s="1284" t="s">
        <v>407</v>
      </c>
      <c r="D50" s="1284" t="s">
        <v>673</v>
      </c>
      <c r="E50" s="7690"/>
      <c r="F50" s="7690"/>
      <c r="G50" s="7690"/>
      <c r="H50" s="7689"/>
      <c r="I50" s="1284"/>
      <c r="J50" s="1284"/>
      <c r="K50" s="1284"/>
      <c r="L50" s="1285"/>
      <c r="M50" s="1286"/>
      <c r="N50" s="1286"/>
      <c r="O50" s="460"/>
      <c r="P50" s="281"/>
      <c r="Q50" s="299"/>
      <c r="R50" s="276"/>
      <c r="S50" s="1203"/>
      <c r="T50" s="296" t="s">
        <v>661</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405</v>
      </c>
      <c r="B51" s="1265" t="s">
        <v>406</v>
      </c>
      <c r="C51" s="1237"/>
      <c r="D51" s="1237"/>
      <c r="E51" s="7690"/>
      <c r="F51" s="7689"/>
      <c r="G51" s="1237"/>
      <c r="H51" s="1237"/>
      <c r="I51" s="1237"/>
      <c r="J51" s="1237"/>
      <c r="K51" s="1237"/>
      <c r="L51" s="1376"/>
      <c r="M51" s="1244"/>
      <c r="N51" s="1244"/>
      <c r="P51" s="1239"/>
      <c r="Q51" s="1240"/>
      <c r="R51" s="1239"/>
      <c r="S51" s="1245"/>
      <c r="T51" s="1248" t="s">
        <v>325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405</v>
      </c>
      <c r="B52" s="1265"/>
      <c r="C52" s="1265"/>
      <c r="D52" s="1265"/>
      <c r="E52" s="7689"/>
      <c r="F52" s="1265"/>
      <c r="G52" s="1265"/>
      <c r="H52" s="1265"/>
      <c r="I52" s="1265"/>
      <c r="J52" s="1265"/>
      <c r="K52" s="1265"/>
      <c r="L52" s="1268"/>
      <c r="M52" s="1244"/>
      <c r="N52" s="1244"/>
      <c r="O52" s="442"/>
      <c r="P52" s="308"/>
      <c r="Q52" s="1266"/>
      <c r="R52" s="308"/>
      <c r="S52" s="1245"/>
      <c r="T52" s="1248" t="s">
        <v>326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402</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7709"/>
      <c r="U55" s="7709"/>
      <c r="V55" s="7709"/>
      <c r="W55" s="7709"/>
      <c r="X55" s="7709"/>
      <c r="Y55" s="7709"/>
      <c r="Z55" s="7709"/>
      <c r="AA55" s="7709"/>
      <c r="AB55" s="7709"/>
      <c r="AC55" s="7709"/>
      <c r="AD55" s="7709"/>
      <c r="AE55" s="7709"/>
      <c r="AF55" s="7709"/>
      <c r="AG55" s="7709"/>
      <c r="AH55" s="7709"/>
      <c r="AI55" s="7709"/>
      <c r="AJ55" s="7709"/>
      <c r="AK55" s="7709"/>
    </row>
    <row r="56" spans="1:42" ht="14.25" customHeight="1">
      <c r="O56" s="460"/>
    </row>
    <row r="57" spans="1:42" ht="14.25" customHeight="1">
      <c r="O57" s="460"/>
      <c r="S57" s="1169"/>
      <c r="T57" s="7709"/>
      <c r="U57" s="7709"/>
      <c r="V57" s="7709"/>
      <c r="W57" s="7709"/>
      <c r="X57" s="7709"/>
      <c r="Y57" s="7709"/>
      <c r="Z57" s="7709"/>
      <c r="AA57" s="7709"/>
      <c r="AB57" s="7709"/>
      <c r="AC57" s="7709"/>
      <c r="AD57" s="7709"/>
      <c r="AE57" s="7709"/>
      <c r="AF57" s="7709"/>
      <c r="AG57" s="7709"/>
      <c r="AH57" s="7709"/>
      <c r="AI57" s="7709"/>
      <c r="AJ57" s="7709"/>
      <c r="AK57" s="7709"/>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5" hidden="1" customWidth="1"/>
    <col min="13" max="14" width="12.28515625" style="1696" hidden="1" customWidth="1"/>
    <col min="15" max="15" width="23.42578125" style="1696" hidden="1" customWidth="1"/>
    <col min="16" max="16" width="3.7109375" style="1817" customWidth="1"/>
    <col min="17" max="18" width="3.7109375" style="265" customWidth="1"/>
    <col min="19" max="19" width="12.7109375" style="1820"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7689">
        <v>1</v>
      </c>
      <c r="F2" s="1284"/>
      <c r="G2" s="1284"/>
      <c r="H2" s="1284"/>
      <c r="I2" s="1284"/>
      <c r="J2" s="1284"/>
      <c r="K2" s="1284"/>
      <c r="L2" s="1285"/>
      <c r="M2" s="1286"/>
      <c r="N2" s="1286"/>
      <c r="O2" s="1286"/>
      <c r="P2" s="282"/>
      <c r="Q2" s="281"/>
      <c r="R2" s="276"/>
      <c r="S2" s="1375" t="e">
        <f>INDEX(PT_DIFFERENTIATION_NUM_NTAR,MATCH(A2,PT_DIFFERENTIATION_NTAR_ID,0))</f>
        <v>#N/A</v>
      </c>
      <c r="T2" s="212" t="s">
        <v>237</v>
      </c>
      <c r="U2" s="214"/>
      <c r="V2" s="7675"/>
      <c r="W2" s="7676"/>
      <c r="X2" s="7676"/>
      <c r="Y2" s="7676"/>
      <c r="Z2" s="7676"/>
      <c r="AA2" s="7676"/>
      <c r="AB2" s="7677"/>
      <c r="AC2" s="7675" t="e">
        <f>INDEX(PT_DIFFERENTIATION_NTAR,MATCH(A2,PT_DIFFERENTIATION_NTAR_ID,0))</f>
        <v>#N/A</v>
      </c>
      <c r="AD2" s="7676"/>
      <c r="AE2" s="7676"/>
      <c r="AF2" s="7676"/>
      <c r="AG2" s="7676"/>
      <c r="AH2" s="7676"/>
      <c r="AI2" s="7676"/>
      <c r="AJ2" s="7677"/>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7690"/>
      <c r="F3" s="7689">
        <v>1</v>
      </c>
      <c r="G3" s="1284"/>
      <c r="H3" s="1284"/>
      <c r="I3" s="1284"/>
      <c r="J3" s="1284"/>
      <c r="K3" s="1284"/>
      <c r="L3" s="1285"/>
      <c r="M3" s="1286"/>
      <c r="N3" s="1286"/>
      <c r="O3" s="1286"/>
      <c r="P3" s="1371"/>
      <c r="Q3" s="273"/>
      <c r="R3" s="274"/>
      <c r="S3" s="1375" t="e">
        <f>INDEX(PT_DIFFERENTIATION_NUM_TER,MATCH(B3,PT_DIFFERENTIATION_TER_ID,0))</f>
        <v>#N/A</v>
      </c>
      <c r="T3" s="224" t="s">
        <v>573</v>
      </c>
      <c r="U3" s="214"/>
      <c r="V3" s="7675"/>
      <c r="W3" s="7676"/>
      <c r="X3" s="7676"/>
      <c r="Y3" s="7676"/>
      <c r="Z3" s="7676"/>
      <c r="AA3" s="7676"/>
      <c r="AB3" s="7677"/>
      <c r="AC3" s="7675" t="e">
        <f>INDEX(PT_DIFFERENTIATION_TER,MATCH(B3,PT_DIFFERENTIATION_TER_ID,0))</f>
        <v>#N/A</v>
      </c>
      <c r="AD3" s="7676"/>
      <c r="AE3" s="7676"/>
      <c r="AF3" s="7676"/>
      <c r="AG3" s="7676"/>
      <c r="AH3" s="7676"/>
      <c r="AI3" s="7676"/>
      <c r="AJ3" s="7677"/>
      <c r="AK3" s="1182" t="s">
        <v>574</v>
      </c>
      <c r="AM3" s="424"/>
      <c r="AN3" s="424" t="str">
        <f t="shared" si="0"/>
        <v>Территория действия тарифа</v>
      </c>
      <c r="AO3" s="424"/>
      <c r="AP3" s="424"/>
    </row>
    <row r="4" spans="1:42" ht="23.25" hidden="1" customHeight="1">
      <c r="A4" s="1284"/>
      <c r="B4" s="1284"/>
      <c r="C4" s="1284"/>
      <c r="D4" s="1284"/>
      <c r="E4" s="7690"/>
      <c r="F4" s="7690"/>
      <c r="G4" s="7689">
        <v>1</v>
      </c>
      <c r="H4" s="1284"/>
      <c r="I4" s="1284"/>
      <c r="J4" s="1284"/>
      <c r="K4" s="1284"/>
      <c r="L4" s="1285"/>
      <c r="M4" s="1286"/>
      <c r="N4" s="1286"/>
      <c r="O4" s="1286"/>
      <c r="P4" s="275"/>
      <c r="Q4" s="273"/>
      <c r="R4" s="274"/>
      <c r="S4" s="1375" t="e">
        <f>INDEX(PT_DIFFERENTIATION_NUM_CS,MATCH(C4,PT_DIFFERENTIATION_CS_ID,0))</f>
        <v>#N/A</v>
      </c>
      <c r="T4" s="225" t="s">
        <v>654</v>
      </c>
      <c r="U4" s="214"/>
      <c r="V4" s="7675"/>
      <c r="W4" s="7676"/>
      <c r="X4" s="7676"/>
      <c r="Y4" s="7676"/>
      <c r="Z4" s="7676"/>
      <c r="AA4" s="7676"/>
      <c r="AB4" s="7677"/>
      <c r="AC4" s="7675" t="e">
        <f>INDEX(PT_DIFFERENTIATION_CS,MATCH(C4,PT_DIFFERENTIATION_CS_ID,0))</f>
        <v>#N/A</v>
      </c>
      <c r="AD4" s="7676"/>
      <c r="AE4" s="7676"/>
      <c r="AF4" s="7676"/>
      <c r="AG4" s="7676"/>
      <c r="AH4" s="7676"/>
      <c r="AI4" s="7676"/>
      <c r="AJ4" s="7677"/>
      <c r="AK4" s="1182" t="s">
        <v>655</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7690"/>
      <c r="F5" s="7690"/>
      <c r="G5" s="7690"/>
      <c r="H5" s="7690"/>
      <c r="I5" s="7687" t="e">
        <f>S4&amp;".1"</f>
        <v>#N/A</v>
      </c>
      <c r="J5" s="1284"/>
      <c r="K5" s="1284"/>
      <c r="L5" s="1285"/>
      <c r="P5" s="7688">
        <v>1</v>
      </c>
      <c r="Q5" s="1368"/>
      <c r="R5" s="277"/>
      <c r="S5" s="1375" t="e">
        <f>$I5</f>
        <v>#N/A</v>
      </c>
      <c r="T5" s="200" t="s">
        <v>656</v>
      </c>
      <c r="U5" s="214"/>
      <c r="V5" s="7748"/>
      <c r="W5" s="7749"/>
      <c r="X5" s="7749"/>
      <c r="Y5" s="7749"/>
      <c r="Z5" s="7749"/>
      <c r="AA5" s="7749"/>
      <c r="AB5" s="7750"/>
      <c r="AC5" s="7751"/>
      <c r="AD5" s="7752"/>
      <c r="AE5" s="7752"/>
      <c r="AF5" s="7752"/>
      <c r="AG5" s="7752"/>
      <c r="AH5" s="7752"/>
      <c r="AI5" s="7752"/>
      <c r="AJ5" s="7753"/>
      <c r="AK5" s="1182" t="s">
        <v>657</v>
      </c>
      <c r="AM5" s="424"/>
      <c r="AN5" s="424" t="str">
        <f t="shared" si="0"/>
        <v>Наименование признака дифференциации</v>
      </c>
      <c r="AO5" s="424"/>
      <c r="AP5" s="424"/>
    </row>
    <row r="6" spans="1:42" ht="23.25" hidden="1" customHeight="1">
      <c r="A6" s="1284"/>
      <c r="B6" s="1284"/>
      <c r="C6" s="1284"/>
      <c r="D6" s="1284"/>
      <c r="E6" s="7690"/>
      <c r="F6" s="7690"/>
      <c r="G6" s="7690"/>
      <c r="H6" s="7690"/>
      <c r="I6" s="7710"/>
      <c r="J6" s="7687" t="e">
        <f>I5&amp;".1"</f>
        <v>#N/A</v>
      </c>
      <c r="K6" s="1284"/>
      <c r="L6" s="1285" t="s">
        <v>582</v>
      </c>
      <c r="P6" s="7688"/>
      <c r="Q6" s="7688">
        <v>1</v>
      </c>
      <c r="R6" s="278"/>
      <c r="S6" s="1375" t="e">
        <f>$J6</f>
        <v>#N/A</v>
      </c>
      <c r="T6" s="201" t="s">
        <v>583</v>
      </c>
      <c r="U6" s="214"/>
      <c r="V6" s="7678"/>
      <c r="W6" s="7679"/>
      <c r="X6" s="7679"/>
      <c r="Y6" s="7679"/>
      <c r="Z6" s="7679"/>
      <c r="AA6" s="7679"/>
      <c r="AB6" s="7680"/>
      <c r="AC6" s="7678"/>
      <c r="AD6" s="7679"/>
      <c r="AE6" s="7679"/>
      <c r="AF6" s="7679"/>
      <c r="AG6" s="7679"/>
      <c r="AH6" s="7679"/>
      <c r="AI6" s="7679"/>
      <c r="AJ6" s="7680"/>
      <c r="AK6" s="1231" t="s">
        <v>658</v>
      </c>
      <c r="AM6" s="424"/>
      <c r="AN6" s="424" t="str">
        <f t="shared" si="0"/>
        <v>Группа потребителей</v>
      </c>
      <c r="AO6" s="424"/>
      <c r="AP6" s="424"/>
    </row>
    <row r="7" spans="1:42" ht="23.25" hidden="1" customHeight="1">
      <c r="A7" s="1284"/>
      <c r="B7" s="1284"/>
      <c r="C7" s="1284"/>
      <c r="D7" s="1284"/>
      <c r="E7" s="7690"/>
      <c r="F7" s="7690"/>
      <c r="G7" s="7690"/>
      <c r="H7" s="7690"/>
      <c r="I7" s="7710"/>
      <c r="J7" s="7710"/>
      <c r="K7" s="7687" t="e">
        <f>J6&amp;".1"</f>
        <v>#N/A</v>
      </c>
      <c r="L7" s="1285"/>
      <c r="P7" s="7688"/>
      <c r="Q7" s="7688"/>
      <c r="R7" s="278">
        <v>1</v>
      </c>
      <c r="S7" s="1375" t="e">
        <f>$K7</f>
        <v>#N/A</v>
      </c>
      <c r="T7" s="1357"/>
      <c r="U7" s="214"/>
      <c r="V7" s="666"/>
      <c r="W7" s="666"/>
      <c r="X7" s="1181"/>
      <c r="Y7" s="7692"/>
      <c r="Z7" s="7540" t="s">
        <v>60</v>
      </c>
      <c r="AA7" s="7692"/>
      <c r="AB7" s="7540" t="s">
        <v>60</v>
      </c>
      <c r="AC7" s="666"/>
      <c r="AD7" s="666"/>
      <c r="AE7" s="1181"/>
      <c r="AF7" s="7692"/>
      <c r="AG7" s="7540" t="s">
        <v>60</v>
      </c>
      <c r="AH7" s="7711"/>
      <c r="AI7" s="7540" t="s">
        <v>60</v>
      </c>
      <c r="AJ7" s="1358"/>
      <c r="AK7"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7690"/>
      <c r="F8" s="7690"/>
      <c r="G8" s="7690"/>
      <c r="H8" s="7690"/>
      <c r="I8" s="7710"/>
      <c r="J8" s="7710"/>
      <c r="K8" s="7687"/>
      <c r="L8" s="1285"/>
      <c r="P8" s="7688"/>
      <c r="Q8" s="7688"/>
      <c r="R8" s="278"/>
      <c r="S8" s="1374"/>
      <c r="T8" s="214"/>
      <c r="U8" s="214"/>
      <c r="V8" s="246"/>
      <c r="W8" s="246"/>
      <c r="X8" s="250" t="str">
        <f>Y7&amp;"-"&amp;AA7</f>
        <v>-</v>
      </c>
      <c r="Y8" s="7693"/>
      <c r="Z8" s="7540"/>
      <c r="AA8" s="7693"/>
      <c r="AB8" s="7540"/>
      <c r="AC8" s="246"/>
      <c r="AD8" s="246"/>
      <c r="AE8" s="250" t="str">
        <f>AF7&amp;"-"&amp;AH7</f>
        <v>-</v>
      </c>
      <c r="AF8" s="7693"/>
      <c r="AG8" s="7540"/>
      <c r="AH8" s="7712"/>
      <c r="AI8" s="7540"/>
      <c r="AJ8" s="1359"/>
      <c r="AK8" s="7747"/>
      <c r="AM8" s="424"/>
      <c r="AN8" s="424" t="str">
        <f t="shared" si="0"/>
        <v/>
      </c>
      <c r="AO8" s="424"/>
      <c r="AP8" s="424"/>
    </row>
    <row r="9" spans="1:42" ht="21" hidden="1" customHeight="1">
      <c r="A9" s="1284"/>
      <c r="B9" s="1284"/>
      <c r="C9" s="1284"/>
      <c r="D9" s="1284"/>
      <c r="E9" s="7690"/>
      <c r="F9" s="7690"/>
      <c r="G9" s="7690"/>
      <c r="H9" s="7690"/>
      <c r="I9" s="7710"/>
      <c r="J9" s="7687"/>
      <c r="K9" s="1284"/>
      <c r="L9" s="1285"/>
      <c r="P9" s="7688"/>
      <c r="Q9" s="7688"/>
      <c r="R9" s="277"/>
      <c r="S9" s="1203"/>
      <c r="T9" s="202" t="s">
        <v>659</v>
      </c>
      <c r="U9" s="291"/>
      <c r="V9" s="291"/>
      <c r="W9" s="291"/>
      <c r="X9" s="291"/>
      <c r="Y9" s="291"/>
      <c r="Z9" s="291"/>
      <c r="AA9" s="291"/>
      <c r="AB9" s="291"/>
      <c r="AC9" s="291"/>
      <c r="AD9" s="291"/>
      <c r="AE9" s="291"/>
      <c r="AF9" s="291"/>
      <c r="AG9" s="291"/>
      <c r="AH9" s="291"/>
      <c r="AI9" s="291"/>
      <c r="AJ9" s="291"/>
      <c r="AK9" s="1182" t="s">
        <v>660</v>
      </c>
      <c r="AM9" s="424"/>
      <c r="AN9" s="424" t="str">
        <f t="shared" si="0"/>
        <v>Добавить значение признака дифференциации</v>
      </c>
      <c r="AO9" s="424"/>
      <c r="AP9" s="424"/>
    </row>
    <row r="10" spans="1:42" ht="21" hidden="1" customHeight="1">
      <c r="A10" s="1284"/>
      <c r="B10" s="1284"/>
      <c r="C10" s="1284"/>
      <c r="D10" s="1284"/>
      <c r="E10" s="7690"/>
      <c r="F10" s="7690"/>
      <c r="G10" s="7690"/>
      <c r="H10" s="7690"/>
      <c r="I10" s="7687"/>
      <c r="J10" s="1284"/>
      <c r="K10" s="1284"/>
      <c r="L10" s="1285"/>
      <c r="P10" s="7688"/>
      <c r="Q10" s="1368"/>
      <c r="R10" s="277"/>
      <c r="S10" s="1203"/>
      <c r="T10" s="288" t="s">
        <v>588</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7690"/>
      <c r="F11" s="7690"/>
      <c r="G11" s="7690"/>
      <c r="H11" s="7689"/>
      <c r="I11" s="1284"/>
      <c r="J11" s="1284"/>
      <c r="K11" s="1284"/>
      <c r="L11" s="1285"/>
      <c r="M11" s="1286"/>
      <c r="N11" s="1286"/>
      <c r="O11" s="460"/>
      <c r="P11" s="281"/>
      <c r="Q11" s="299"/>
      <c r="R11" s="276"/>
      <c r="S11" s="1203"/>
      <c r="T11" s="296" t="s">
        <v>661</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7690"/>
      <c r="F12" s="7689"/>
      <c r="G12" s="1237"/>
      <c r="H12" s="1237"/>
      <c r="I12" s="1237"/>
      <c r="J12" s="1237"/>
      <c r="K12" s="1237"/>
      <c r="L12" s="1376"/>
      <c r="M12" s="1244"/>
      <c r="N12" s="1244"/>
      <c r="P12" s="1239"/>
      <c r="Q12" s="1240"/>
      <c r="R12" s="1239"/>
      <c r="S12" s="1245"/>
      <c r="T12" s="1248" t="s">
        <v>325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7689"/>
      <c r="F13" s="1265"/>
      <c r="G13" s="1265"/>
      <c r="H13" s="1265"/>
      <c r="I13" s="1265"/>
      <c r="J13" s="1265"/>
      <c r="K13" s="1265"/>
      <c r="L13" s="1268"/>
      <c r="M13" s="1244"/>
      <c r="N13" s="1244"/>
      <c r="O13" s="442"/>
      <c r="P13" s="308"/>
      <c r="Q13" s="1266"/>
      <c r="R13" s="308"/>
      <c r="S13" s="1245"/>
      <c r="T13" s="1248" t="s">
        <v>326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7694"/>
      <c r="AG15" s="7695" t="s">
        <v>60</v>
      </c>
      <c r="AH15" s="7694"/>
      <c r="AI15" s="7695" t="s">
        <v>60</v>
      </c>
    </row>
    <row r="16" spans="1:42" ht="14.25" hidden="1" customHeight="1">
      <c r="AC16" s="1281"/>
      <c r="AD16" s="1281"/>
      <c r="AE16" s="250" t="str">
        <f>AF15&amp;"-"&amp;AH15</f>
        <v>-</v>
      </c>
      <c r="AF16" s="7695"/>
      <c r="AG16" s="7695"/>
      <c r="AH16" s="7695"/>
      <c r="AI16" s="7695"/>
    </row>
    <row r="17" spans="1:42" ht="14.25" hidden="1" customHeight="1">
      <c r="AI17" s="249"/>
    </row>
    <row r="18" spans="1:42" s="1287" customFormat="1" ht="22.5" hidden="1" customHeight="1">
      <c r="L18" s="1365"/>
      <c r="M18" s="1283"/>
      <c r="N18" s="1283"/>
      <c r="O18" s="1288" t="s">
        <v>591</v>
      </c>
      <c r="P18" s="1283"/>
      <c r="Q18" s="1292"/>
      <c r="R18" s="1292"/>
      <c r="S18" s="646"/>
      <c r="Y18" s="1288"/>
      <c r="AA18" s="1288"/>
      <c r="AF18" s="1288"/>
      <c r="AH18" s="1288"/>
      <c r="AL18" s="435"/>
      <c r="AM18" s="435"/>
      <c r="AN18" s="435"/>
      <c r="AO18" s="435"/>
      <c r="AP18" s="435"/>
    </row>
    <row r="19" spans="1:42" s="1287" customFormat="1" ht="14.25" hidden="1" customHeight="1">
      <c r="L19" s="1365"/>
      <c r="M19" s="1283"/>
      <c r="N19" s="1283"/>
      <c r="O19" s="1283"/>
      <c r="P19" s="1283"/>
      <c r="Q19" s="1292"/>
      <c r="R19" s="1292"/>
      <c r="S19" s="646"/>
      <c r="AL19" s="435"/>
      <c r="AM19" s="435"/>
      <c r="AN19" s="435"/>
      <c r="AO19" s="435"/>
      <c r="AP19" s="435"/>
    </row>
    <row r="20" spans="1:42" s="1287" customFormat="1" ht="12" hidden="1" customHeight="1">
      <c r="L20" s="1365"/>
      <c r="M20" s="1283"/>
      <c r="N20" s="1283"/>
      <c r="O20" s="1285" t="s">
        <v>592</v>
      </c>
      <c r="P20" s="1283"/>
      <c r="Q20" s="1361"/>
      <c r="R20" s="1361"/>
      <c r="S20" s="646"/>
      <c r="T20" s="1065" t="s">
        <v>593</v>
      </c>
      <c r="Z20" s="104" t="s">
        <v>594</v>
      </c>
      <c r="AB20" s="104" t="s">
        <v>595</v>
      </c>
      <c r="AC20" s="1065" t="s">
        <v>593</v>
      </c>
      <c r="AG20" s="104" t="s">
        <v>596</v>
      </c>
      <c r="AI20" s="104" t="s">
        <v>595</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767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7673"/>
      <c r="U24" s="7673"/>
      <c r="V24" s="7673"/>
      <c r="W24" s="7673"/>
      <c r="X24" s="7673"/>
      <c r="Y24" s="7673"/>
      <c r="Z24" s="7673"/>
      <c r="AA24" s="7673"/>
      <c r="AB24" s="7673"/>
      <c r="AC24" s="7673"/>
      <c r="AD24" s="7673"/>
      <c r="AE24" s="7673"/>
      <c r="AF24" s="7673"/>
      <c r="AG24" s="7673"/>
      <c r="AH24" s="7673"/>
      <c r="AI24" s="1157"/>
    </row>
    <row r="25" spans="1:42" ht="14.25" customHeight="1">
      <c r="Q25" s="300"/>
      <c r="R25" s="300"/>
      <c r="S25" s="7620" t="str">
        <f>IF(org=0,"Не определено",org)</f>
        <v>ГУП СК "Ставрополькрайводоканал"</v>
      </c>
      <c r="T25" s="7620"/>
      <c r="U25" s="7620"/>
      <c r="V25" s="7620"/>
      <c r="W25" s="7620"/>
      <c r="X25" s="7620"/>
      <c r="Y25" s="7620"/>
      <c r="Z25" s="7620"/>
      <c r="AA25" s="7620"/>
      <c r="AB25" s="7620"/>
      <c r="AC25" s="7620"/>
      <c r="AD25" s="7620"/>
      <c r="AE25" s="7620"/>
      <c r="AF25" s="7620"/>
      <c r="AG25" s="7620"/>
      <c r="AH25" s="7620"/>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7681" t="s">
        <v>38</v>
      </c>
      <c r="T27" s="7681"/>
      <c r="U27" s="1293"/>
      <c r="V27" s="7682" t="str">
        <f>IF(TITLE_NAME_OR_PR_CHANGE="",IF(TITLE_NAME_OR_PR="","",TITLE_NAME_OR_PR),TITLE_NAME_OR_PR_CHANGE)</f>
        <v>Региональная тарифная комиссия Ставропольского края</v>
      </c>
      <c r="W27" s="7682"/>
      <c r="X27" s="7682"/>
      <c r="Y27" s="7682"/>
      <c r="Z27" s="7682"/>
      <c r="AA27" s="7682"/>
      <c r="AB27" s="248"/>
      <c r="AC27" s="7682" t="str">
        <f>IF(TITLE_NAME_OR_PR_CHANGE="",IF(TITLE_NAME_OR_PR="","",TITLE_NAME_OR_PR),TITLE_NAME_OR_PR_CHANGE)</f>
        <v>Региональная тарифная комиссия Ставропольского края</v>
      </c>
      <c r="AD27" s="7682"/>
      <c r="AE27" s="7682"/>
      <c r="AF27" s="7682"/>
      <c r="AG27" s="7682"/>
      <c r="AH27" s="7682"/>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7681" t="s">
        <v>597</v>
      </c>
      <c r="T28" s="7681"/>
      <c r="U28" s="1293"/>
      <c r="V28" s="7691">
        <f>IF(TITLE_DATE_PR_CHANGE="",IF(TITLE_DATE_PR="","",TITLE_DATE_PR),TITLE_DATE_PR_CHANGE)</f>
        <v>45278</v>
      </c>
      <c r="W28" s="7691"/>
      <c r="X28" s="7691"/>
      <c r="Y28" s="7691"/>
      <c r="Z28" s="7691"/>
      <c r="AA28" s="7691"/>
      <c r="AB28" s="248"/>
      <c r="AC28" s="7691">
        <f>IF(TITLE_DATE_PR_CHANGE="",IF(TITLE_DATE_PR="","",TITLE_DATE_PR),TITLE_DATE_PR_CHANGE)</f>
        <v>45278</v>
      </c>
      <c r="AD28" s="7691"/>
      <c r="AE28" s="7691"/>
      <c r="AF28" s="7691"/>
      <c r="AG28" s="7691"/>
      <c r="AH28" s="7691"/>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7681" t="s">
        <v>598</v>
      </c>
      <c r="T29" s="7681"/>
      <c r="U29" s="1293"/>
      <c r="V29" s="7682" t="str">
        <f>IF(TITLE_NUMBER_PR_CHANGE="",IF(TITLE_NUMBER_PR="","",TITLE_NUMBER_PR),TITLE_NUMBER_PR_CHANGE)</f>
        <v>79/2</v>
      </c>
      <c r="W29" s="7682"/>
      <c r="X29" s="7682"/>
      <c r="Y29" s="7682"/>
      <c r="Z29" s="7682"/>
      <c r="AA29" s="7682"/>
      <c r="AB29" s="248"/>
      <c r="AC29" s="7682" t="str">
        <f>IF(TITLE_NUMBER_PR_CHANGE="",IF(TITLE_NUMBER_PR="","",TITLE_NUMBER_PR),TITLE_NUMBER_PR_CHANGE)</f>
        <v>79/2</v>
      </c>
      <c r="AD29" s="7682"/>
      <c r="AE29" s="7682"/>
      <c r="AF29" s="7682"/>
      <c r="AG29" s="7682"/>
      <c r="AH29" s="7682"/>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7681" t="s">
        <v>40</v>
      </c>
      <c r="T30" s="7681"/>
      <c r="U30" s="1293"/>
      <c r="V30" s="7682" t="str">
        <f>IF(TITLE_IST_PUB_CHANGE="",IF(TITLE_IST_PUB="","",TITLE_IST_PUB),TITLE_IST_PUB_CHANGE)</f>
        <v>http://pravo.stavregion.ru/</v>
      </c>
      <c r="W30" s="7682"/>
      <c r="X30" s="7682"/>
      <c r="Y30" s="7682"/>
      <c r="Z30" s="7682"/>
      <c r="AA30" s="7682"/>
      <c r="AB30" s="248"/>
      <c r="AC30" s="7682" t="str">
        <f>IF(TITLE_IST_PUB_CHANGE="",IF(TITLE_IST_PUB="","",TITLE_IST_PUB),TITLE_IST_PUB_CHANGE)</f>
        <v>http://pravo.stavregion.ru/</v>
      </c>
      <c r="AD30" s="7682"/>
      <c r="AE30" s="7682"/>
      <c r="AF30" s="7682"/>
      <c r="AG30" s="7682"/>
      <c r="AH30" s="7682"/>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7681" t="s">
        <v>599</v>
      </c>
      <c r="T32" s="7681"/>
      <c r="U32" s="1293"/>
      <c r="V32" s="7691">
        <f>IF(TITLE_DATE_PR_CHANGE="",IF(TITLE_DATE_PR="","",TITLE_DATE_PR),TITLE_DATE_PR_CHANGE)</f>
        <v>45278</v>
      </c>
      <c r="W32" s="7691"/>
      <c r="X32" s="7691"/>
      <c r="Y32" s="7691"/>
      <c r="Z32" s="7691"/>
      <c r="AA32" s="7691"/>
      <c r="AB32" s="248"/>
      <c r="AC32" s="7691">
        <f>IF(TITLE_DATE_PR_CHANGE="",IF(TITLE_DATE_PR="","",TITLE_DATE_PR),TITLE_DATE_PR_CHANGE)</f>
        <v>45278</v>
      </c>
      <c r="AD32" s="7691"/>
      <c r="AE32" s="7691"/>
      <c r="AF32" s="7691"/>
      <c r="AG32" s="7691"/>
      <c r="AH32" s="7691"/>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7681" t="s">
        <v>600</v>
      </c>
      <c r="T33" s="7681"/>
      <c r="U33" s="1293"/>
      <c r="V33" s="7682" t="str">
        <f>IF(TITLE_NUMBER_PR_CHANGE="",IF(TITLE_NUMBER_PR="","",TITLE_NUMBER_PR),TITLE_NUMBER_PR_CHANGE)</f>
        <v>79/2</v>
      </c>
      <c r="W33" s="7682"/>
      <c r="X33" s="7682"/>
      <c r="Y33" s="7682"/>
      <c r="Z33" s="7682"/>
      <c r="AA33" s="7682"/>
      <c r="AB33" s="248"/>
      <c r="AC33" s="7682" t="str">
        <f>IF(TITLE_NUMBER_PR_CHANGE="",IF(TITLE_NUMBER_PR="","",TITLE_NUMBER_PR),TITLE_NUMBER_PR_CHANGE)</f>
        <v>79/2</v>
      </c>
      <c r="AD33" s="7682"/>
      <c r="AE33" s="7682"/>
      <c r="AF33" s="7682"/>
      <c r="AG33" s="7682"/>
      <c r="AH33" s="7682"/>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601</v>
      </c>
      <c r="AC34" s="248"/>
      <c r="AD34" s="248"/>
      <c r="AE34" s="248"/>
      <c r="AF34" s="248"/>
      <c r="AG34" s="248"/>
      <c r="AH34" s="248"/>
      <c r="AI34" s="194" t="s">
        <v>601</v>
      </c>
      <c r="AL34" s="292"/>
      <c r="AM34" s="292"/>
      <c r="AN34" s="292"/>
      <c r="AO34" s="292"/>
      <c r="AP34" s="292"/>
    </row>
    <row r="35" spans="1:42" ht="14.25" customHeight="1">
      <c r="Q35" s="300"/>
      <c r="R35" s="300"/>
      <c r="S35" s="1200"/>
      <c r="T35" s="286"/>
      <c r="U35" s="1158"/>
      <c r="V35" s="7683"/>
      <c r="W35" s="7683"/>
      <c r="X35" s="7683"/>
      <c r="Y35" s="7683"/>
      <c r="Z35" s="7683"/>
      <c r="AA35" s="7683"/>
      <c r="AB35" s="7683"/>
      <c r="AC35" s="7683"/>
      <c r="AD35" s="7683"/>
      <c r="AE35" s="7683"/>
      <c r="AF35" s="7683"/>
      <c r="AG35" s="7683"/>
      <c r="AH35" s="7683"/>
      <c r="AI35" s="7683"/>
    </row>
    <row r="36" spans="1:42" ht="14.25" customHeight="1">
      <c r="Q36" s="300"/>
      <c r="R36" s="300"/>
      <c r="S36" s="7559" t="s">
        <v>474</v>
      </c>
      <c r="T36" s="7559"/>
      <c r="U36" s="7559"/>
      <c r="V36" s="7559"/>
      <c r="W36" s="7559"/>
      <c r="X36" s="7559"/>
      <c r="Y36" s="7559"/>
      <c r="Z36" s="7559"/>
      <c r="AA36" s="7559"/>
      <c r="AB36" s="7559"/>
      <c r="AC36" s="7559"/>
      <c r="AD36" s="7559"/>
      <c r="AE36" s="7559"/>
      <c r="AF36" s="7559"/>
      <c r="AG36" s="7559"/>
      <c r="AH36" s="7559"/>
      <c r="AI36" s="7559"/>
      <c r="AJ36" s="7559"/>
      <c r="AK36" s="7559" t="s">
        <v>475</v>
      </c>
    </row>
    <row r="37" spans="1:42" ht="14.25" customHeight="1">
      <c r="Q37" s="300"/>
      <c r="R37" s="300"/>
      <c r="S37" s="7697" t="s">
        <v>86</v>
      </c>
      <c r="T37" s="7649" t="s">
        <v>602</v>
      </c>
      <c r="U37" s="215"/>
      <c r="V37" s="7698" t="s">
        <v>603</v>
      </c>
      <c r="W37" s="7699"/>
      <c r="X37" s="7699"/>
      <c r="Y37" s="7699"/>
      <c r="Z37" s="7699"/>
      <c r="AA37" s="7700"/>
      <c r="AB37" s="7701" t="s">
        <v>604</v>
      </c>
      <c r="AC37" s="7698" t="s">
        <v>603</v>
      </c>
      <c r="AD37" s="7699"/>
      <c r="AE37" s="7699"/>
      <c r="AF37" s="7699"/>
      <c r="AG37" s="7699"/>
      <c r="AH37" s="7700"/>
      <c r="AI37" s="7701" t="s">
        <v>605</v>
      </c>
      <c r="AJ37" s="7704" t="s">
        <v>606</v>
      </c>
      <c r="AK37" s="7559"/>
    </row>
    <row r="38" spans="1:42" ht="33.75" customHeight="1">
      <c r="Q38" s="300"/>
      <c r="R38" s="300"/>
      <c r="S38" s="7697"/>
      <c r="T38" s="7649"/>
      <c r="U38" s="942"/>
      <c r="V38" s="1370" t="s">
        <v>662</v>
      </c>
      <c r="W38" s="7530" t="s">
        <v>609</v>
      </c>
      <c r="X38" s="7529"/>
      <c r="Y38" s="7530" t="s">
        <v>610</v>
      </c>
      <c r="Z38" s="7536"/>
      <c r="AA38" s="7529"/>
      <c r="AB38" s="7702"/>
      <c r="AC38" s="1370" t="s">
        <v>662</v>
      </c>
      <c r="AD38" s="7530" t="s">
        <v>609</v>
      </c>
      <c r="AE38" s="7529"/>
      <c r="AF38" s="7530" t="s">
        <v>610</v>
      </c>
      <c r="AG38" s="7536"/>
      <c r="AH38" s="7529"/>
      <c r="AI38" s="7702"/>
      <c r="AJ38" s="7705"/>
      <c r="AK38" s="7559"/>
    </row>
    <row r="39" spans="1:42" ht="33.75" customHeight="1">
      <c r="A39" s="1291"/>
      <c r="B39" s="1291" t="s">
        <v>249</v>
      </c>
      <c r="C39" s="1291" t="s">
        <v>250</v>
      </c>
      <c r="D39" s="1291" t="s">
        <v>251</v>
      </c>
      <c r="E39" s="1285" t="s">
        <v>611</v>
      </c>
      <c r="F39" s="1285" t="s">
        <v>612</v>
      </c>
      <c r="G39" s="1285" t="s">
        <v>613</v>
      </c>
      <c r="H39" s="1285"/>
      <c r="I39" s="1285" t="s">
        <v>663</v>
      </c>
      <c r="J39" s="1285" t="s">
        <v>616</v>
      </c>
      <c r="K39" s="1285" t="s">
        <v>664</v>
      </c>
      <c r="L39" s="1285" t="s">
        <v>592</v>
      </c>
      <c r="Q39" s="300"/>
      <c r="R39" s="300"/>
      <c r="S39" s="7697"/>
      <c r="T39" s="7649"/>
      <c r="U39" s="216"/>
      <c r="V39" s="1370" t="s">
        <v>665</v>
      </c>
      <c r="W39" s="1133" t="s">
        <v>666</v>
      </c>
      <c r="X39" s="1133" t="s">
        <v>667</v>
      </c>
      <c r="Y39" s="1373" t="s">
        <v>620</v>
      </c>
      <c r="Z39" s="7657" t="s">
        <v>621</v>
      </c>
      <c r="AA39" s="7659"/>
      <c r="AB39" s="7703"/>
      <c r="AC39" s="1370" t="s">
        <v>665</v>
      </c>
      <c r="AD39" s="1133" t="s">
        <v>666</v>
      </c>
      <c r="AE39" s="1133" t="s">
        <v>667</v>
      </c>
      <c r="AF39" s="1373" t="s">
        <v>620</v>
      </c>
      <c r="AG39" s="7657" t="s">
        <v>621</v>
      </c>
      <c r="AH39" s="7659"/>
      <c r="AI39" s="7703"/>
      <c r="AJ39" s="7706"/>
      <c r="AK39" s="7559"/>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100</v>
      </c>
      <c r="U40" s="1159" t="str">
        <f ca="1">OFFSET(U40,0,-1)</f>
        <v>2</v>
      </c>
      <c r="V40" s="1369">
        <f ca="1">OFFSET(V40,0,-1)+1</f>
        <v>3</v>
      </c>
      <c r="W40" s="1369">
        <f ca="1">OFFSET(W40,0,-1)+1</f>
        <v>4</v>
      </c>
      <c r="X40" s="1369">
        <f ca="1">OFFSET(X40,0,-1)+1</f>
        <v>5</v>
      </c>
      <c r="Y40" s="1369">
        <f ca="1">OFFSET(Y40,0,-1)+1</f>
        <v>6</v>
      </c>
      <c r="Z40" s="7696">
        <f ca="1">OFFSET(Z40,0,-1)+1</f>
        <v>7</v>
      </c>
      <c r="AA40" s="7696"/>
      <c r="AB40" s="1369">
        <f ca="1">OFFSET(AB40,0,-2)+1</f>
        <v>8</v>
      </c>
      <c r="AC40" s="1369">
        <f ca="1">OFFSET(AC40,0,-1)+1</f>
        <v>9</v>
      </c>
      <c r="AD40" s="1369">
        <f ca="1">OFFSET(AD40,0,-1)+1</f>
        <v>10</v>
      </c>
      <c r="AE40" s="1369">
        <f ca="1">OFFSET(AE40,0,-1)+1</f>
        <v>11</v>
      </c>
      <c r="AF40" s="1369">
        <f ca="1">OFFSET(AF40,0,-1)+1</f>
        <v>12</v>
      </c>
      <c r="AG40" s="7696">
        <f ca="1">OFFSET(AG40,0,-1)+1</f>
        <v>13</v>
      </c>
      <c r="AH40" s="7696"/>
      <c r="AI40" s="1369">
        <f ca="1">OFFSET(AI40,0,-2)+1</f>
        <v>14</v>
      </c>
      <c r="AJ40" s="1159">
        <f ca="1">OFFSET(AJ40,0,-1)</f>
        <v>14</v>
      </c>
      <c r="AK40" s="1369">
        <f ca="1">OFFSET(AK40,0,-1)+1</f>
        <v>15</v>
      </c>
      <c r="AL40" s="435"/>
      <c r="AM40" s="435"/>
      <c r="AN40" s="435"/>
      <c r="AO40" s="435"/>
      <c r="AP40" s="435"/>
    </row>
    <row r="41" spans="1:42" ht="23.25" customHeight="1">
      <c r="A41" s="1284" t="s">
        <v>410</v>
      </c>
      <c r="B41" s="1284"/>
      <c r="C41" s="1284"/>
      <c r="D41" s="1284"/>
      <c r="E41" s="7689">
        <v>1</v>
      </c>
      <c r="F41" s="1284"/>
      <c r="G41" s="1284"/>
      <c r="H41" s="1284"/>
      <c r="I41" s="1284"/>
      <c r="J41" s="1284"/>
      <c r="K41" s="1284"/>
      <c r="L41" s="1285"/>
      <c r="M41" s="1286"/>
      <c r="N41" s="1286"/>
      <c r="O41" s="1286"/>
      <c r="P41" s="282"/>
      <c r="Q41" s="281"/>
      <c r="R41" s="276"/>
      <c r="S41" s="1375">
        <f>INDEX(PT_DIFFERENTIATION_NUM_NTAR,MATCH(A41,PT_DIFFERENTIATION_NTAR_ID,0))</f>
        <v>0</v>
      </c>
      <c r="T41" s="212" t="s">
        <v>237</v>
      </c>
      <c r="U41" s="214"/>
      <c r="V41" s="7675"/>
      <c r="W41" s="7676"/>
      <c r="X41" s="7676"/>
      <c r="Y41" s="7676"/>
      <c r="Z41" s="7676"/>
      <c r="AA41" s="7676"/>
      <c r="AB41" s="7677"/>
      <c r="AC41" s="7675" t="str">
        <f>INDEX(PT_DIFFERENTIATION_NTAR,MATCH(A41,PT_DIFFERENTIATION_NTAR_ID,0))</f>
        <v/>
      </c>
      <c r="AD41" s="7676"/>
      <c r="AE41" s="7676"/>
      <c r="AF41" s="7676"/>
      <c r="AG41" s="7676"/>
      <c r="AH41" s="7676"/>
      <c r="AI41" s="7676"/>
      <c r="AJ41" s="7677"/>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410</v>
      </c>
      <c r="B42" s="1284" t="s">
        <v>411</v>
      </c>
      <c r="C42" s="1284"/>
      <c r="D42" s="1284"/>
      <c r="E42" s="7690"/>
      <c r="F42" s="7689">
        <v>1</v>
      </c>
      <c r="G42" s="1284"/>
      <c r="H42" s="1284"/>
      <c r="I42" s="1284"/>
      <c r="J42" s="1284"/>
      <c r="K42" s="1284"/>
      <c r="L42" s="1285"/>
      <c r="M42" s="1286"/>
      <c r="N42" s="1286"/>
      <c r="O42" s="1286"/>
      <c r="P42" s="1371"/>
      <c r="Q42" s="273"/>
      <c r="R42" s="274"/>
      <c r="S42" s="1375" t="str">
        <f>INDEX(PT_DIFFERENTIATION_NUM_TER,MATCH(B42,PT_DIFFERENTIATION_TER_ID,0))</f>
        <v>.</v>
      </c>
      <c r="T42" s="224" t="s">
        <v>573</v>
      </c>
      <c r="U42" s="214"/>
      <c r="V42" s="7675"/>
      <c r="W42" s="7676"/>
      <c r="X42" s="7676"/>
      <c r="Y42" s="7676"/>
      <c r="Z42" s="7676"/>
      <c r="AA42" s="7676"/>
      <c r="AB42" s="7677"/>
      <c r="AC42" s="7675" t="str">
        <f>INDEX(PT_DIFFERENTIATION_TER,MATCH(B42,PT_DIFFERENTIATION_TER_ID,0))</f>
        <v/>
      </c>
      <c r="AD42" s="7676"/>
      <c r="AE42" s="7676"/>
      <c r="AF42" s="7676"/>
      <c r="AG42" s="7676"/>
      <c r="AH42" s="7676"/>
      <c r="AI42" s="7676"/>
      <c r="AJ42" s="7677"/>
      <c r="AK42" s="1182" t="s">
        <v>574</v>
      </c>
      <c r="AM42" s="424"/>
      <c r="AN42" s="424" t="str">
        <f t="shared" si="1"/>
        <v>Территория действия тарифа</v>
      </c>
      <c r="AO42" s="424"/>
      <c r="AP42" s="424"/>
    </row>
    <row r="43" spans="1:42" ht="23.25" customHeight="1">
      <c r="A43" s="1284" t="s">
        <v>410</v>
      </c>
      <c r="B43" s="1284" t="s">
        <v>411</v>
      </c>
      <c r="C43" s="1284" t="s">
        <v>412</v>
      </c>
      <c r="D43" s="1284"/>
      <c r="E43" s="7690"/>
      <c r="F43" s="7690"/>
      <c r="G43" s="7689">
        <v>1</v>
      </c>
      <c r="H43" s="1284"/>
      <c r="I43" s="1284"/>
      <c r="J43" s="1284"/>
      <c r="K43" s="1284"/>
      <c r="L43" s="1285"/>
      <c r="M43" s="1286"/>
      <c r="N43" s="1286"/>
      <c r="O43" s="1286"/>
      <c r="P43" s="275"/>
      <c r="Q43" s="273"/>
      <c r="R43" s="274"/>
      <c r="S43" s="1375" t="str">
        <f>INDEX(PT_DIFFERENTIATION_NUM_CS,MATCH(C43,PT_DIFFERENTIATION_CS_ID,0))</f>
        <v>..</v>
      </c>
      <c r="T43" s="225" t="s">
        <v>654</v>
      </c>
      <c r="U43" s="214"/>
      <c r="V43" s="7675"/>
      <c r="W43" s="7676"/>
      <c r="X43" s="7676"/>
      <c r="Y43" s="7676"/>
      <c r="Z43" s="7676"/>
      <c r="AA43" s="7676"/>
      <c r="AB43" s="7677"/>
      <c r="AC43" s="7675" t="str">
        <f>INDEX(PT_DIFFERENTIATION_CS,MATCH(C43,PT_DIFFERENTIATION_CS_ID,0))</f>
        <v/>
      </c>
      <c r="AD43" s="7676"/>
      <c r="AE43" s="7676"/>
      <c r="AF43" s="7676"/>
      <c r="AG43" s="7676"/>
      <c r="AH43" s="7676"/>
      <c r="AI43" s="7676"/>
      <c r="AJ43" s="7677"/>
      <c r="AK43" s="1182" t="s">
        <v>655</v>
      </c>
      <c r="AM43" s="424"/>
      <c r="AN43" s="424" t="str">
        <f t="shared" si="1"/>
        <v>Наименование централизованной системы холодного водоснабжения</v>
      </c>
      <c r="AO43" s="424"/>
      <c r="AP43" s="424"/>
    </row>
    <row r="44" spans="1:42" ht="23.25" customHeight="1">
      <c r="A44" s="1284" t="s">
        <v>410</v>
      </c>
      <c r="B44" s="1284" t="s">
        <v>411</v>
      </c>
      <c r="C44" s="1284" t="s">
        <v>412</v>
      </c>
      <c r="D44" s="1284" t="s">
        <v>674</v>
      </c>
      <c r="E44" s="7690"/>
      <c r="F44" s="7690"/>
      <c r="G44" s="7690"/>
      <c r="H44" s="7690"/>
      <c r="I44" s="7687" t="str">
        <f>S43&amp;".1"</f>
        <v>...1</v>
      </c>
      <c r="J44" s="1284"/>
      <c r="K44" s="1284"/>
      <c r="L44" s="1285"/>
      <c r="P44" s="7688">
        <v>1</v>
      </c>
      <c r="Q44" s="1368"/>
      <c r="R44" s="277"/>
      <c r="S44" s="1375" t="str">
        <f>$I44</f>
        <v>...1</v>
      </c>
      <c r="T44" s="200" t="s">
        <v>656</v>
      </c>
      <c r="U44" s="214"/>
      <c r="V44" s="7748"/>
      <c r="W44" s="7749"/>
      <c r="X44" s="7749"/>
      <c r="Y44" s="7749"/>
      <c r="Z44" s="7749"/>
      <c r="AA44" s="7749"/>
      <c r="AB44" s="7750"/>
      <c r="AC44" s="7751"/>
      <c r="AD44" s="7752"/>
      <c r="AE44" s="7752"/>
      <c r="AF44" s="7752"/>
      <c r="AG44" s="7752"/>
      <c r="AH44" s="7752"/>
      <c r="AI44" s="7752"/>
      <c r="AJ44" s="7753"/>
      <c r="AK44" s="1182" t="s">
        <v>657</v>
      </c>
      <c r="AM44" s="424"/>
      <c r="AN44" s="424" t="str">
        <f t="shared" si="1"/>
        <v>Наименование признака дифференциации</v>
      </c>
      <c r="AO44" s="424"/>
      <c r="AP44" s="424"/>
    </row>
    <row r="45" spans="1:42" ht="23.25" customHeight="1">
      <c r="A45" s="1284" t="s">
        <v>410</v>
      </c>
      <c r="B45" s="1284" t="s">
        <v>411</v>
      </c>
      <c r="C45" s="1284" t="s">
        <v>412</v>
      </c>
      <c r="D45" s="1284" t="s">
        <v>674</v>
      </c>
      <c r="E45" s="7690"/>
      <c r="F45" s="7690"/>
      <c r="G45" s="7690"/>
      <c r="H45" s="7690"/>
      <c r="I45" s="7710"/>
      <c r="J45" s="7687" t="str">
        <f>I44&amp;".1"</f>
        <v>...1.1</v>
      </c>
      <c r="K45" s="1284"/>
      <c r="L45" s="1285" t="s">
        <v>582</v>
      </c>
      <c r="P45" s="7688"/>
      <c r="Q45" s="7688">
        <v>1</v>
      </c>
      <c r="R45" s="278"/>
      <c r="S45" s="1375" t="str">
        <f>$J45</f>
        <v>...1.1</v>
      </c>
      <c r="T45" s="201" t="s">
        <v>583</v>
      </c>
      <c r="U45" s="214"/>
      <c r="V45" s="7678"/>
      <c r="W45" s="7679"/>
      <c r="X45" s="7679"/>
      <c r="Y45" s="7679"/>
      <c r="Z45" s="7679"/>
      <c r="AA45" s="7679"/>
      <c r="AB45" s="7680"/>
      <c r="AC45" s="7678"/>
      <c r="AD45" s="7679"/>
      <c r="AE45" s="7679"/>
      <c r="AF45" s="7679"/>
      <c r="AG45" s="7679"/>
      <c r="AH45" s="7679"/>
      <c r="AI45" s="7679"/>
      <c r="AJ45" s="7680"/>
      <c r="AK45" s="1231" t="s">
        <v>658</v>
      </c>
      <c r="AM45" s="424"/>
      <c r="AN45" s="424" t="str">
        <f t="shared" si="1"/>
        <v>Группа потребителей</v>
      </c>
      <c r="AO45" s="424"/>
      <c r="AP45" s="424"/>
    </row>
    <row r="46" spans="1:42" ht="23.25" customHeight="1">
      <c r="A46" s="1284" t="s">
        <v>410</v>
      </c>
      <c r="B46" s="1284" t="s">
        <v>411</v>
      </c>
      <c r="C46" s="1284" t="s">
        <v>412</v>
      </c>
      <c r="D46" s="1284" t="s">
        <v>674</v>
      </c>
      <c r="E46" s="7690"/>
      <c r="F46" s="7690"/>
      <c r="G46" s="7690"/>
      <c r="H46" s="7690"/>
      <c r="I46" s="7710"/>
      <c r="J46" s="7710"/>
      <c r="K46" s="7687" t="str">
        <f>J45&amp;".1"</f>
        <v>...1.1.1</v>
      </c>
      <c r="L46" s="1285"/>
      <c r="P46" s="7688"/>
      <c r="Q46" s="7688"/>
      <c r="R46" s="278">
        <v>1</v>
      </c>
      <c r="S46" s="1375" t="str">
        <f>$K46</f>
        <v>...1.1.1</v>
      </c>
      <c r="T46" s="1357"/>
      <c r="U46" s="214"/>
      <c r="V46" s="666"/>
      <c r="W46" s="666"/>
      <c r="X46" s="1181"/>
      <c r="Y46" s="7692"/>
      <c r="Z46" s="7540" t="s">
        <v>60</v>
      </c>
      <c r="AA46" s="7692"/>
      <c r="AB46" s="7540" t="s">
        <v>60</v>
      </c>
      <c r="AC46" s="666"/>
      <c r="AD46" s="666"/>
      <c r="AE46" s="1181"/>
      <c r="AF46" s="7692"/>
      <c r="AG46" s="7540" t="s">
        <v>60</v>
      </c>
      <c r="AH46" s="7711"/>
      <c r="AI46" s="7540" t="s">
        <v>60</v>
      </c>
      <c r="AJ46" s="1358"/>
      <c r="AK4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410</v>
      </c>
      <c r="B47" s="1284" t="s">
        <v>411</v>
      </c>
      <c r="C47" s="1284" t="s">
        <v>412</v>
      </c>
      <c r="D47" s="1284" t="s">
        <v>674</v>
      </c>
      <c r="E47" s="7690"/>
      <c r="F47" s="7690"/>
      <c r="G47" s="7690"/>
      <c r="H47" s="7690"/>
      <c r="I47" s="7710"/>
      <c r="J47" s="7710"/>
      <c r="K47" s="7687"/>
      <c r="L47" s="1285"/>
      <c r="P47" s="7688"/>
      <c r="Q47" s="7688"/>
      <c r="R47" s="278"/>
      <c r="S47" s="1374"/>
      <c r="T47" s="214"/>
      <c r="U47" s="214"/>
      <c r="V47" s="246"/>
      <c r="W47" s="246"/>
      <c r="X47" s="250" t="str">
        <f>Y46&amp;"-"&amp;AA46</f>
        <v>-</v>
      </c>
      <c r="Y47" s="7693"/>
      <c r="Z47" s="7540"/>
      <c r="AA47" s="7693"/>
      <c r="AB47" s="7540"/>
      <c r="AC47" s="246"/>
      <c r="AD47" s="246"/>
      <c r="AE47" s="250" t="str">
        <f>AF46&amp;"-"&amp;AH46</f>
        <v>-</v>
      </c>
      <c r="AF47" s="7693"/>
      <c r="AG47" s="7540"/>
      <c r="AH47" s="7712"/>
      <c r="AI47" s="7540"/>
      <c r="AJ47" s="1359"/>
      <c r="AK47" s="7747"/>
      <c r="AM47" s="424"/>
      <c r="AN47" s="424" t="str">
        <f t="shared" si="1"/>
        <v/>
      </c>
      <c r="AO47" s="424"/>
      <c r="AP47" s="424"/>
    </row>
    <row r="48" spans="1:42" ht="21" customHeight="1">
      <c r="A48" s="1284" t="s">
        <v>410</v>
      </c>
      <c r="B48" s="1284" t="s">
        <v>411</v>
      </c>
      <c r="C48" s="1284" t="s">
        <v>412</v>
      </c>
      <c r="D48" s="1284" t="s">
        <v>674</v>
      </c>
      <c r="E48" s="7690"/>
      <c r="F48" s="7690"/>
      <c r="G48" s="7690"/>
      <c r="H48" s="7690"/>
      <c r="I48" s="7710"/>
      <c r="J48" s="7687"/>
      <c r="K48" s="1284"/>
      <c r="L48" s="1285"/>
      <c r="P48" s="7688"/>
      <c r="Q48" s="7688"/>
      <c r="R48" s="277"/>
      <c r="S48" s="1203"/>
      <c r="T48" s="202" t="s">
        <v>659</v>
      </c>
      <c r="U48" s="291"/>
      <c r="V48" s="291"/>
      <c r="W48" s="291"/>
      <c r="X48" s="291"/>
      <c r="Y48" s="291"/>
      <c r="Z48" s="291"/>
      <c r="AA48" s="291"/>
      <c r="AB48" s="291"/>
      <c r="AC48" s="291"/>
      <c r="AD48" s="291"/>
      <c r="AE48" s="291"/>
      <c r="AF48" s="291"/>
      <c r="AG48" s="291"/>
      <c r="AH48" s="291"/>
      <c r="AI48" s="291"/>
      <c r="AJ48" s="291"/>
      <c r="AK48" s="1182" t="s">
        <v>660</v>
      </c>
      <c r="AM48" s="424"/>
      <c r="AN48" s="424" t="str">
        <f t="shared" si="1"/>
        <v>Добавить значение признака дифференциации</v>
      </c>
      <c r="AO48" s="424"/>
      <c r="AP48" s="424"/>
    </row>
    <row r="49" spans="1:42" ht="21" customHeight="1">
      <c r="A49" s="1284" t="s">
        <v>410</v>
      </c>
      <c r="B49" s="1284" t="s">
        <v>411</v>
      </c>
      <c r="C49" s="1284" t="s">
        <v>412</v>
      </c>
      <c r="D49" s="1284" t="s">
        <v>674</v>
      </c>
      <c r="E49" s="7690"/>
      <c r="F49" s="7690"/>
      <c r="G49" s="7690"/>
      <c r="H49" s="7690"/>
      <c r="I49" s="7687"/>
      <c r="J49" s="1284"/>
      <c r="K49" s="1284"/>
      <c r="L49" s="1285"/>
      <c r="P49" s="7688"/>
      <c r="Q49" s="1368"/>
      <c r="R49" s="277"/>
      <c r="S49" s="1203"/>
      <c r="T49" s="288" t="s">
        <v>588</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410</v>
      </c>
      <c r="B50" s="1284" t="s">
        <v>411</v>
      </c>
      <c r="C50" s="1284" t="s">
        <v>412</v>
      </c>
      <c r="D50" s="1284" t="s">
        <v>674</v>
      </c>
      <c r="E50" s="7690"/>
      <c r="F50" s="7690"/>
      <c r="G50" s="7690"/>
      <c r="H50" s="7689"/>
      <c r="I50" s="1284"/>
      <c r="J50" s="1284"/>
      <c r="K50" s="1284"/>
      <c r="L50" s="1285"/>
      <c r="M50" s="1286"/>
      <c r="N50" s="1286"/>
      <c r="O50" s="460"/>
      <c r="P50" s="281"/>
      <c r="Q50" s="299"/>
      <c r="R50" s="276"/>
      <c r="S50" s="1203"/>
      <c r="T50" s="296" t="s">
        <v>661</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410</v>
      </c>
      <c r="B51" s="1265" t="s">
        <v>411</v>
      </c>
      <c r="C51" s="1237"/>
      <c r="D51" s="1237"/>
      <c r="E51" s="7690"/>
      <c r="F51" s="7689"/>
      <c r="G51" s="1237"/>
      <c r="H51" s="1237"/>
      <c r="I51" s="1237"/>
      <c r="J51" s="1237"/>
      <c r="K51" s="1237"/>
      <c r="L51" s="1376"/>
      <c r="M51" s="1244"/>
      <c r="N51" s="1244"/>
      <c r="P51" s="1239"/>
      <c r="Q51" s="1240"/>
      <c r="R51" s="1239"/>
      <c r="S51" s="1245"/>
      <c r="T51" s="1248" t="s">
        <v>325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410</v>
      </c>
      <c r="B52" s="1265"/>
      <c r="C52" s="1265"/>
      <c r="D52" s="1265"/>
      <c r="E52" s="7689"/>
      <c r="F52" s="1265"/>
      <c r="G52" s="1265"/>
      <c r="H52" s="1265"/>
      <c r="I52" s="1265"/>
      <c r="J52" s="1265"/>
      <c r="K52" s="1265"/>
      <c r="L52" s="1268"/>
      <c r="M52" s="1244"/>
      <c r="N52" s="1244"/>
      <c r="O52" s="442"/>
      <c r="P52" s="308"/>
      <c r="Q52" s="1266"/>
      <c r="R52" s="308"/>
      <c r="S52" s="1245"/>
      <c r="T52" s="1248" t="s">
        <v>326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402</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7709"/>
      <c r="U55" s="7709"/>
      <c r="V55" s="7709"/>
      <c r="W55" s="7709"/>
      <c r="X55" s="7709"/>
      <c r="Y55" s="7709"/>
      <c r="Z55" s="7709"/>
      <c r="AA55" s="7709"/>
      <c r="AB55" s="7709"/>
      <c r="AC55" s="7709"/>
      <c r="AD55" s="7709"/>
      <c r="AE55" s="7709"/>
      <c r="AF55" s="7709"/>
      <c r="AG55" s="7709"/>
      <c r="AH55" s="7709"/>
      <c r="AI55" s="7709"/>
      <c r="AJ55" s="7709"/>
      <c r="AK55" s="7709"/>
    </row>
    <row r="56" spans="1:42" ht="14.25" customHeight="1">
      <c r="O56" s="460"/>
    </row>
    <row r="57" spans="1:42" ht="14.25" customHeight="1">
      <c r="O57" s="460"/>
      <c r="S57" s="1169"/>
      <c r="T57" s="7709"/>
      <c r="U57" s="7709"/>
      <c r="V57" s="7709"/>
      <c r="W57" s="7709"/>
      <c r="X57" s="7709"/>
      <c r="Y57" s="7709"/>
      <c r="Z57" s="7709"/>
      <c r="AA57" s="7709"/>
      <c r="AB57" s="7709"/>
      <c r="AC57" s="7709"/>
      <c r="AD57" s="7709"/>
      <c r="AE57" s="7709"/>
      <c r="AF57" s="7709"/>
      <c r="AG57" s="7709"/>
      <c r="AH57" s="7709"/>
      <c r="AI57" s="7709"/>
      <c r="AJ57" s="7709"/>
      <c r="AK57" s="770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5" hidden="1" customWidth="1"/>
    <col min="13" max="14" width="12.28515625" style="1696" hidden="1" customWidth="1"/>
    <col min="15" max="15" width="23.42578125" style="1696" hidden="1" customWidth="1"/>
    <col min="16" max="16" width="3.7109375" style="1817" customWidth="1"/>
    <col min="17" max="18" width="3.7109375" style="265" customWidth="1"/>
    <col min="19" max="19" width="12.7109375" style="1820"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7689">
        <v>1</v>
      </c>
      <c r="F2" s="1284"/>
      <c r="G2" s="1284"/>
      <c r="H2" s="1284"/>
      <c r="I2" s="1284"/>
      <c r="J2" s="1284"/>
      <c r="K2" s="1284"/>
      <c r="L2" s="1285"/>
      <c r="M2" s="1286"/>
      <c r="N2" s="1286"/>
      <c r="O2" s="1286"/>
      <c r="P2" s="282"/>
      <c r="Q2" s="281"/>
      <c r="R2" s="276"/>
      <c r="S2" s="1375" t="e">
        <f>INDEX(PT_DIFFERENTIATION_NUM_NTAR,MATCH(A2,PT_DIFFERENTIATION_NTAR_ID,0))</f>
        <v>#N/A</v>
      </c>
      <c r="T2" s="212" t="s">
        <v>237</v>
      </c>
      <c r="U2" s="214"/>
      <c r="V2" s="7675"/>
      <c r="W2" s="7676"/>
      <c r="X2" s="7676"/>
      <c r="Y2" s="7676"/>
      <c r="Z2" s="7676"/>
      <c r="AA2" s="7676"/>
      <c r="AB2" s="7677"/>
      <c r="AC2" s="7675" t="e">
        <f>INDEX(PT_DIFFERENTIATION_NTAR,MATCH(A2,PT_DIFFERENTIATION_NTAR_ID,0))</f>
        <v>#N/A</v>
      </c>
      <c r="AD2" s="7676"/>
      <c r="AE2" s="7676"/>
      <c r="AF2" s="7676"/>
      <c r="AG2" s="7676"/>
      <c r="AH2" s="7676"/>
      <c r="AI2" s="7676"/>
      <c r="AJ2" s="7677"/>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7690"/>
      <c r="F3" s="7689">
        <v>1</v>
      </c>
      <c r="G3" s="1284"/>
      <c r="H3" s="1284"/>
      <c r="I3" s="1284"/>
      <c r="J3" s="1284"/>
      <c r="K3" s="1284"/>
      <c r="L3" s="1285"/>
      <c r="M3" s="1286"/>
      <c r="N3" s="1286"/>
      <c r="O3" s="1286"/>
      <c r="P3" s="1371"/>
      <c r="Q3" s="273"/>
      <c r="R3" s="274"/>
      <c r="S3" s="1375" t="e">
        <f>INDEX(PT_DIFFERENTIATION_NUM_TER,MATCH(B3,PT_DIFFERENTIATION_TER_ID,0))</f>
        <v>#N/A</v>
      </c>
      <c r="T3" s="224" t="s">
        <v>573</v>
      </c>
      <c r="U3" s="214"/>
      <c r="V3" s="7675"/>
      <c r="W3" s="7676"/>
      <c r="X3" s="7676"/>
      <c r="Y3" s="7676"/>
      <c r="Z3" s="7676"/>
      <c r="AA3" s="7676"/>
      <c r="AB3" s="7677"/>
      <c r="AC3" s="7675" t="e">
        <f>INDEX(PT_DIFFERENTIATION_TER,MATCH(B3,PT_DIFFERENTIATION_TER_ID,0))</f>
        <v>#N/A</v>
      </c>
      <c r="AD3" s="7676"/>
      <c r="AE3" s="7676"/>
      <c r="AF3" s="7676"/>
      <c r="AG3" s="7676"/>
      <c r="AH3" s="7676"/>
      <c r="AI3" s="7676"/>
      <c r="AJ3" s="7677"/>
      <c r="AK3" s="1182" t="s">
        <v>574</v>
      </c>
      <c r="AM3" s="424"/>
      <c r="AN3" s="424" t="str">
        <f t="shared" si="0"/>
        <v>Территория действия тарифа</v>
      </c>
      <c r="AO3" s="424"/>
      <c r="AP3" s="424"/>
    </row>
    <row r="4" spans="1:42" ht="23.25" hidden="1" customHeight="1">
      <c r="A4" s="1284"/>
      <c r="B4" s="1284"/>
      <c r="C4" s="1284"/>
      <c r="D4" s="1284"/>
      <c r="E4" s="7690"/>
      <c r="F4" s="7690"/>
      <c r="G4" s="7689">
        <v>1</v>
      </c>
      <c r="H4" s="1284"/>
      <c r="I4" s="1284"/>
      <c r="J4" s="1284"/>
      <c r="K4" s="1284"/>
      <c r="L4" s="1285"/>
      <c r="M4" s="1286"/>
      <c r="N4" s="1286"/>
      <c r="O4" s="1286"/>
      <c r="P4" s="275"/>
      <c r="Q4" s="273"/>
      <c r="R4" s="274"/>
      <c r="S4" s="1375" t="e">
        <f>INDEX(PT_DIFFERENTIATION_NUM_CS,MATCH(C4,PT_DIFFERENTIATION_CS_ID,0))</f>
        <v>#N/A</v>
      </c>
      <c r="T4" s="225" t="s">
        <v>654</v>
      </c>
      <c r="U4" s="214"/>
      <c r="V4" s="7675"/>
      <c r="W4" s="7676"/>
      <c r="X4" s="7676"/>
      <c r="Y4" s="7676"/>
      <c r="Z4" s="7676"/>
      <c r="AA4" s="7676"/>
      <c r="AB4" s="7677"/>
      <c r="AC4" s="7675" t="e">
        <f>INDEX(PT_DIFFERENTIATION_CS,MATCH(C4,PT_DIFFERENTIATION_CS_ID,0))</f>
        <v>#N/A</v>
      </c>
      <c r="AD4" s="7676"/>
      <c r="AE4" s="7676"/>
      <c r="AF4" s="7676"/>
      <c r="AG4" s="7676"/>
      <c r="AH4" s="7676"/>
      <c r="AI4" s="7676"/>
      <c r="AJ4" s="7677"/>
      <c r="AK4" s="1182" t="s">
        <v>655</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7690"/>
      <c r="F5" s="7690"/>
      <c r="G5" s="7690"/>
      <c r="H5" s="7690"/>
      <c r="I5" s="7687" t="e">
        <f>S4&amp;".1"</f>
        <v>#N/A</v>
      </c>
      <c r="J5" s="1284"/>
      <c r="K5" s="1284"/>
      <c r="L5" s="1285"/>
      <c r="P5" s="7688">
        <v>1</v>
      </c>
      <c r="Q5" s="1368"/>
      <c r="R5" s="277"/>
      <c r="S5" s="1375" t="e">
        <f>$I5</f>
        <v>#N/A</v>
      </c>
      <c r="T5" s="200" t="s">
        <v>656</v>
      </c>
      <c r="U5" s="214"/>
      <c r="V5" s="7748"/>
      <c r="W5" s="7749"/>
      <c r="X5" s="7749"/>
      <c r="Y5" s="7749"/>
      <c r="Z5" s="7749"/>
      <c r="AA5" s="7749"/>
      <c r="AB5" s="7750"/>
      <c r="AC5" s="7751"/>
      <c r="AD5" s="7752"/>
      <c r="AE5" s="7752"/>
      <c r="AF5" s="7752"/>
      <c r="AG5" s="7752"/>
      <c r="AH5" s="7752"/>
      <c r="AI5" s="7752"/>
      <c r="AJ5" s="7753"/>
      <c r="AK5" s="1182" t="s">
        <v>657</v>
      </c>
      <c r="AM5" s="424"/>
      <c r="AN5" s="424" t="str">
        <f t="shared" si="0"/>
        <v>Наименование признака дифференциации</v>
      </c>
      <c r="AO5" s="424"/>
      <c r="AP5" s="424"/>
    </row>
    <row r="6" spans="1:42" ht="23.25" hidden="1" customHeight="1">
      <c r="A6" s="1284"/>
      <c r="B6" s="1284"/>
      <c r="C6" s="1284"/>
      <c r="D6" s="1284"/>
      <c r="E6" s="7690"/>
      <c r="F6" s="7690"/>
      <c r="G6" s="7690"/>
      <c r="H6" s="7690"/>
      <c r="I6" s="7710"/>
      <c r="J6" s="7687" t="e">
        <f>I5&amp;".1"</f>
        <v>#N/A</v>
      </c>
      <c r="K6" s="1284"/>
      <c r="L6" s="1285" t="s">
        <v>582</v>
      </c>
      <c r="P6" s="7688"/>
      <c r="Q6" s="7688">
        <v>1</v>
      </c>
      <c r="R6" s="278"/>
      <c r="S6" s="1375" t="e">
        <f>$J6</f>
        <v>#N/A</v>
      </c>
      <c r="T6" s="201" t="s">
        <v>583</v>
      </c>
      <c r="U6" s="214"/>
      <c r="V6" s="7678"/>
      <c r="W6" s="7679"/>
      <c r="X6" s="7679"/>
      <c r="Y6" s="7679"/>
      <c r="Z6" s="7679"/>
      <c r="AA6" s="7679"/>
      <c r="AB6" s="7680"/>
      <c r="AC6" s="7678"/>
      <c r="AD6" s="7679"/>
      <c r="AE6" s="7679"/>
      <c r="AF6" s="7679"/>
      <c r="AG6" s="7679"/>
      <c r="AH6" s="7679"/>
      <c r="AI6" s="7679"/>
      <c r="AJ6" s="7680"/>
      <c r="AK6" s="1231" t="s">
        <v>658</v>
      </c>
      <c r="AM6" s="424"/>
      <c r="AN6" s="424" t="str">
        <f t="shared" si="0"/>
        <v>Группа потребителей</v>
      </c>
      <c r="AO6" s="424"/>
      <c r="AP6" s="424"/>
    </row>
    <row r="7" spans="1:42" ht="23.25" hidden="1" customHeight="1">
      <c r="A7" s="1284"/>
      <c r="B7" s="1284"/>
      <c r="C7" s="1284"/>
      <c r="D7" s="1284"/>
      <c r="E7" s="7690"/>
      <c r="F7" s="7690"/>
      <c r="G7" s="7690"/>
      <c r="H7" s="7690"/>
      <c r="I7" s="7710"/>
      <c r="J7" s="7710"/>
      <c r="K7" s="7687" t="e">
        <f>J6&amp;".1"</f>
        <v>#N/A</v>
      </c>
      <c r="L7" s="1285"/>
      <c r="P7" s="7688"/>
      <c r="Q7" s="7688"/>
      <c r="R7" s="278">
        <v>1</v>
      </c>
      <c r="S7" s="1375" t="e">
        <f>$K7</f>
        <v>#N/A</v>
      </c>
      <c r="T7" s="1357"/>
      <c r="U7" s="214"/>
      <c r="V7" s="666"/>
      <c r="W7" s="666"/>
      <c r="X7" s="1181"/>
      <c r="Y7" s="7692"/>
      <c r="Z7" s="7540" t="s">
        <v>60</v>
      </c>
      <c r="AA7" s="7692"/>
      <c r="AB7" s="7540" t="s">
        <v>60</v>
      </c>
      <c r="AC7" s="666"/>
      <c r="AD7" s="666"/>
      <c r="AE7" s="1181"/>
      <c r="AF7" s="7692"/>
      <c r="AG7" s="7540" t="s">
        <v>60</v>
      </c>
      <c r="AH7" s="7711"/>
      <c r="AI7" s="7540" t="s">
        <v>60</v>
      </c>
      <c r="AJ7" s="1358"/>
      <c r="AK7"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7690"/>
      <c r="F8" s="7690"/>
      <c r="G8" s="7690"/>
      <c r="H8" s="7690"/>
      <c r="I8" s="7710"/>
      <c r="J8" s="7710"/>
      <c r="K8" s="7687"/>
      <c r="L8" s="1285"/>
      <c r="P8" s="7688"/>
      <c r="Q8" s="7688"/>
      <c r="R8" s="278"/>
      <c r="S8" s="1374"/>
      <c r="T8" s="214"/>
      <c r="U8" s="214"/>
      <c r="V8" s="246"/>
      <c r="W8" s="246"/>
      <c r="X8" s="250" t="str">
        <f>Y7&amp;"-"&amp;AA7</f>
        <v>-</v>
      </c>
      <c r="Y8" s="7693"/>
      <c r="Z8" s="7540"/>
      <c r="AA8" s="7693"/>
      <c r="AB8" s="7540"/>
      <c r="AC8" s="246"/>
      <c r="AD8" s="246"/>
      <c r="AE8" s="250" t="str">
        <f>AF7&amp;"-"&amp;AH7</f>
        <v>-</v>
      </c>
      <c r="AF8" s="7693"/>
      <c r="AG8" s="7540"/>
      <c r="AH8" s="7712"/>
      <c r="AI8" s="7540"/>
      <c r="AJ8" s="1359"/>
      <c r="AK8" s="7747"/>
      <c r="AM8" s="424"/>
      <c r="AN8" s="424" t="str">
        <f t="shared" si="0"/>
        <v/>
      </c>
      <c r="AO8" s="424"/>
      <c r="AP8" s="424"/>
    </row>
    <row r="9" spans="1:42" ht="21" hidden="1" customHeight="1">
      <c r="A9" s="1284"/>
      <c r="B9" s="1284"/>
      <c r="C9" s="1284"/>
      <c r="D9" s="1284"/>
      <c r="E9" s="7690"/>
      <c r="F9" s="7690"/>
      <c r="G9" s="7690"/>
      <c r="H9" s="7690"/>
      <c r="I9" s="7710"/>
      <c r="J9" s="7687"/>
      <c r="K9" s="1284"/>
      <c r="L9" s="1285"/>
      <c r="P9" s="7688"/>
      <c r="Q9" s="7688"/>
      <c r="R9" s="277"/>
      <c r="S9" s="1203"/>
      <c r="T9" s="202" t="s">
        <v>659</v>
      </c>
      <c r="U9" s="291"/>
      <c r="V9" s="291"/>
      <c r="W9" s="291"/>
      <c r="X9" s="291"/>
      <c r="Y9" s="291"/>
      <c r="Z9" s="291"/>
      <c r="AA9" s="291"/>
      <c r="AB9" s="291"/>
      <c r="AC9" s="291"/>
      <c r="AD9" s="291"/>
      <c r="AE9" s="291"/>
      <c r="AF9" s="291"/>
      <c r="AG9" s="291"/>
      <c r="AH9" s="291"/>
      <c r="AI9" s="291"/>
      <c r="AJ9" s="291"/>
      <c r="AK9" s="1182" t="s">
        <v>660</v>
      </c>
      <c r="AM9" s="424"/>
      <c r="AN9" s="424" t="str">
        <f t="shared" si="0"/>
        <v>Добавить значение признака дифференциации</v>
      </c>
      <c r="AO9" s="424"/>
      <c r="AP9" s="424"/>
    </row>
    <row r="10" spans="1:42" ht="21" hidden="1" customHeight="1">
      <c r="A10" s="1284"/>
      <c r="B10" s="1284"/>
      <c r="C10" s="1284"/>
      <c r="D10" s="1284"/>
      <c r="E10" s="7690"/>
      <c r="F10" s="7690"/>
      <c r="G10" s="7690"/>
      <c r="H10" s="7690"/>
      <c r="I10" s="7687"/>
      <c r="J10" s="1284"/>
      <c r="K10" s="1284"/>
      <c r="L10" s="1285"/>
      <c r="P10" s="7688"/>
      <c r="Q10" s="1368"/>
      <c r="R10" s="277"/>
      <c r="S10" s="1203"/>
      <c r="T10" s="288" t="s">
        <v>588</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7690"/>
      <c r="F11" s="7690"/>
      <c r="G11" s="7690"/>
      <c r="H11" s="7689"/>
      <c r="I11" s="1284"/>
      <c r="J11" s="1284"/>
      <c r="K11" s="1284"/>
      <c r="L11" s="1285"/>
      <c r="M11" s="1286"/>
      <c r="N11" s="1286"/>
      <c r="O11" s="460"/>
      <c r="P11" s="281"/>
      <c r="Q11" s="299"/>
      <c r="R11" s="276"/>
      <c r="S11" s="1203"/>
      <c r="T11" s="296" t="s">
        <v>661</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7690"/>
      <c r="F12" s="7689"/>
      <c r="G12" s="1237"/>
      <c r="H12" s="1237"/>
      <c r="I12" s="1237"/>
      <c r="J12" s="1237"/>
      <c r="K12" s="1237"/>
      <c r="L12" s="1376"/>
      <c r="M12" s="1244"/>
      <c r="N12" s="1244"/>
      <c r="P12" s="1239"/>
      <c r="Q12" s="1240"/>
      <c r="R12" s="1239"/>
      <c r="S12" s="1245"/>
      <c r="T12" s="1248" t="s">
        <v>325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7689"/>
      <c r="F13" s="1265"/>
      <c r="G13" s="1265"/>
      <c r="H13" s="1265"/>
      <c r="I13" s="1265"/>
      <c r="J13" s="1265"/>
      <c r="K13" s="1265"/>
      <c r="L13" s="1268"/>
      <c r="M13" s="1244"/>
      <c r="N13" s="1244"/>
      <c r="O13" s="442"/>
      <c r="P13" s="308"/>
      <c r="Q13" s="1266"/>
      <c r="R13" s="308"/>
      <c r="S13" s="1245"/>
      <c r="T13" s="1248" t="s">
        <v>326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7694"/>
      <c r="AG15" s="7695" t="s">
        <v>60</v>
      </c>
      <c r="AH15" s="7694"/>
      <c r="AI15" s="7695" t="s">
        <v>60</v>
      </c>
    </row>
    <row r="16" spans="1:42" ht="14.25" hidden="1" customHeight="1">
      <c r="AC16" s="1281"/>
      <c r="AD16" s="1281"/>
      <c r="AE16" s="250" t="str">
        <f>AF15&amp;"-"&amp;AH15</f>
        <v>-</v>
      </c>
      <c r="AF16" s="7695"/>
      <c r="AG16" s="7695"/>
      <c r="AH16" s="7695"/>
      <c r="AI16" s="7695"/>
    </row>
    <row r="17" spans="1:42" ht="14.25" hidden="1" customHeight="1">
      <c r="AI17" s="249"/>
    </row>
    <row r="18" spans="1:42" s="1287" customFormat="1" ht="22.5" hidden="1" customHeight="1">
      <c r="L18" s="1365"/>
      <c r="M18" s="1283"/>
      <c r="N18" s="1283"/>
      <c r="O18" s="1288" t="s">
        <v>591</v>
      </c>
      <c r="P18" s="1283"/>
      <c r="Q18" s="1292"/>
      <c r="R18" s="1292"/>
      <c r="S18" s="646"/>
      <c r="Y18" s="1288"/>
      <c r="AA18" s="1288"/>
      <c r="AF18" s="1288"/>
      <c r="AH18" s="1288"/>
      <c r="AL18" s="435"/>
      <c r="AM18" s="435"/>
      <c r="AN18" s="435"/>
      <c r="AO18" s="435"/>
      <c r="AP18" s="435"/>
    </row>
    <row r="19" spans="1:42" s="1287" customFormat="1" ht="14.25" hidden="1" customHeight="1">
      <c r="L19" s="1365"/>
      <c r="M19" s="1283"/>
      <c r="N19" s="1283"/>
      <c r="O19" s="1283"/>
      <c r="P19" s="1283"/>
      <c r="Q19" s="1292"/>
      <c r="R19" s="1292"/>
      <c r="S19" s="646"/>
      <c r="AL19" s="435"/>
      <c r="AM19" s="435"/>
      <c r="AN19" s="435"/>
      <c r="AO19" s="435"/>
      <c r="AP19" s="435"/>
    </row>
    <row r="20" spans="1:42" s="1287" customFormat="1" ht="12" hidden="1" customHeight="1">
      <c r="L20" s="1365"/>
      <c r="M20" s="1283"/>
      <c r="N20" s="1283"/>
      <c r="O20" s="1285" t="s">
        <v>592</v>
      </c>
      <c r="P20" s="1283"/>
      <c r="Q20" s="1361"/>
      <c r="R20" s="1361"/>
      <c r="S20" s="646"/>
      <c r="T20" s="1065" t="s">
        <v>593</v>
      </c>
      <c r="Z20" s="104" t="s">
        <v>594</v>
      </c>
      <c r="AB20" s="104" t="s">
        <v>595</v>
      </c>
      <c r="AC20" s="1065" t="s">
        <v>593</v>
      </c>
      <c r="AG20" s="104" t="s">
        <v>596</v>
      </c>
      <c r="AI20" s="104" t="s">
        <v>595</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767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7673"/>
      <c r="U24" s="7673"/>
      <c r="V24" s="7673"/>
      <c r="W24" s="7673"/>
      <c r="X24" s="7673"/>
      <c r="Y24" s="7673"/>
      <c r="Z24" s="7673"/>
      <c r="AA24" s="7673"/>
      <c r="AB24" s="7673"/>
      <c r="AC24" s="7673"/>
      <c r="AD24" s="7673"/>
      <c r="AE24" s="7673"/>
      <c r="AF24" s="7673"/>
      <c r="AG24" s="7673"/>
      <c r="AH24" s="7673"/>
      <c r="AI24" s="1157"/>
    </row>
    <row r="25" spans="1:42" ht="14.25" customHeight="1">
      <c r="Q25" s="300"/>
      <c r="R25" s="300"/>
      <c r="S25" s="7620" t="str">
        <f>IF(org=0,"Не определено",org)</f>
        <v>ГУП СК "Ставрополькрайводоканал"</v>
      </c>
      <c r="T25" s="7620"/>
      <c r="U25" s="7620"/>
      <c r="V25" s="7620"/>
      <c r="W25" s="7620"/>
      <c r="X25" s="7620"/>
      <c r="Y25" s="7620"/>
      <c r="Z25" s="7620"/>
      <c r="AA25" s="7620"/>
      <c r="AB25" s="7620"/>
      <c r="AC25" s="7620"/>
      <c r="AD25" s="7620"/>
      <c r="AE25" s="7620"/>
      <c r="AF25" s="7620"/>
      <c r="AG25" s="7620"/>
      <c r="AH25" s="7620"/>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7681" t="s">
        <v>38</v>
      </c>
      <c r="T27" s="7681"/>
      <c r="U27" s="1293"/>
      <c r="V27" s="7682" t="str">
        <f>IF(TITLE_NAME_OR_PR_CHANGE="",IF(TITLE_NAME_OR_PR="","",TITLE_NAME_OR_PR),TITLE_NAME_OR_PR_CHANGE)</f>
        <v>Региональная тарифная комиссия Ставропольского края</v>
      </c>
      <c r="W27" s="7682"/>
      <c r="X27" s="7682"/>
      <c r="Y27" s="7682"/>
      <c r="Z27" s="7682"/>
      <c r="AA27" s="7682"/>
      <c r="AB27" s="248"/>
      <c r="AC27" s="7682" t="str">
        <f>IF(TITLE_NAME_OR_PR_CHANGE="",IF(TITLE_NAME_OR_PR="","",TITLE_NAME_OR_PR),TITLE_NAME_OR_PR_CHANGE)</f>
        <v>Региональная тарифная комиссия Ставропольского края</v>
      </c>
      <c r="AD27" s="7682"/>
      <c r="AE27" s="7682"/>
      <c r="AF27" s="7682"/>
      <c r="AG27" s="7682"/>
      <c r="AH27" s="7682"/>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7681" t="s">
        <v>597</v>
      </c>
      <c r="T28" s="7681"/>
      <c r="U28" s="1293"/>
      <c r="V28" s="7691">
        <f>IF(TITLE_DATE_PR_CHANGE="",IF(TITLE_DATE_PR="","",TITLE_DATE_PR),TITLE_DATE_PR_CHANGE)</f>
        <v>45278</v>
      </c>
      <c r="W28" s="7691"/>
      <c r="X28" s="7691"/>
      <c r="Y28" s="7691"/>
      <c r="Z28" s="7691"/>
      <c r="AA28" s="7691"/>
      <c r="AB28" s="248"/>
      <c r="AC28" s="7691">
        <f>IF(TITLE_DATE_PR_CHANGE="",IF(TITLE_DATE_PR="","",TITLE_DATE_PR),TITLE_DATE_PR_CHANGE)</f>
        <v>45278</v>
      </c>
      <c r="AD28" s="7691"/>
      <c r="AE28" s="7691"/>
      <c r="AF28" s="7691"/>
      <c r="AG28" s="7691"/>
      <c r="AH28" s="7691"/>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7681" t="s">
        <v>598</v>
      </c>
      <c r="T29" s="7681"/>
      <c r="U29" s="1293"/>
      <c r="V29" s="7682" t="str">
        <f>IF(TITLE_NUMBER_PR_CHANGE="",IF(TITLE_NUMBER_PR="","",TITLE_NUMBER_PR),TITLE_NUMBER_PR_CHANGE)</f>
        <v>79/2</v>
      </c>
      <c r="W29" s="7682"/>
      <c r="X29" s="7682"/>
      <c r="Y29" s="7682"/>
      <c r="Z29" s="7682"/>
      <c r="AA29" s="7682"/>
      <c r="AB29" s="248"/>
      <c r="AC29" s="7682" t="str">
        <f>IF(TITLE_NUMBER_PR_CHANGE="",IF(TITLE_NUMBER_PR="","",TITLE_NUMBER_PR),TITLE_NUMBER_PR_CHANGE)</f>
        <v>79/2</v>
      </c>
      <c r="AD29" s="7682"/>
      <c r="AE29" s="7682"/>
      <c r="AF29" s="7682"/>
      <c r="AG29" s="7682"/>
      <c r="AH29" s="7682"/>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7681" t="s">
        <v>40</v>
      </c>
      <c r="T30" s="7681"/>
      <c r="U30" s="1293"/>
      <c r="V30" s="7682" t="str">
        <f>IF(TITLE_IST_PUB_CHANGE="",IF(TITLE_IST_PUB="","",TITLE_IST_PUB),TITLE_IST_PUB_CHANGE)</f>
        <v>http://pravo.stavregion.ru/</v>
      </c>
      <c r="W30" s="7682"/>
      <c r="X30" s="7682"/>
      <c r="Y30" s="7682"/>
      <c r="Z30" s="7682"/>
      <c r="AA30" s="7682"/>
      <c r="AB30" s="248"/>
      <c r="AC30" s="7682" t="str">
        <f>IF(TITLE_IST_PUB_CHANGE="",IF(TITLE_IST_PUB="","",TITLE_IST_PUB),TITLE_IST_PUB_CHANGE)</f>
        <v>http://pravo.stavregion.ru/</v>
      </c>
      <c r="AD30" s="7682"/>
      <c r="AE30" s="7682"/>
      <c r="AF30" s="7682"/>
      <c r="AG30" s="7682"/>
      <c r="AH30" s="7682"/>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7681" t="s">
        <v>599</v>
      </c>
      <c r="T32" s="7681"/>
      <c r="U32" s="1293"/>
      <c r="V32" s="7691">
        <f>IF(TITLE_DATE_PR_CHANGE="",IF(TITLE_DATE_PR="","",TITLE_DATE_PR),TITLE_DATE_PR_CHANGE)</f>
        <v>45278</v>
      </c>
      <c r="W32" s="7691"/>
      <c r="X32" s="7691"/>
      <c r="Y32" s="7691"/>
      <c r="Z32" s="7691"/>
      <c r="AA32" s="7691"/>
      <c r="AB32" s="248"/>
      <c r="AC32" s="7691">
        <f>IF(TITLE_DATE_PR_CHANGE="",IF(TITLE_DATE_PR="","",TITLE_DATE_PR),TITLE_DATE_PR_CHANGE)</f>
        <v>45278</v>
      </c>
      <c r="AD32" s="7691"/>
      <c r="AE32" s="7691"/>
      <c r="AF32" s="7691"/>
      <c r="AG32" s="7691"/>
      <c r="AH32" s="7691"/>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7681" t="s">
        <v>600</v>
      </c>
      <c r="T33" s="7681"/>
      <c r="U33" s="1293"/>
      <c r="V33" s="7682" t="str">
        <f>IF(TITLE_NUMBER_PR_CHANGE="",IF(TITLE_NUMBER_PR="","",TITLE_NUMBER_PR),TITLE_NUMBER_PR_CHANGE)</f>
        <v>79/2</v>
      </c>
      <c r="W33" s="7682"/>
      <c r="X33" s="7682"/>
      <c r="Y33" s="7682"/>
      <c r="Z33" s="7682"/>
      <c r="AA33" s="7682"/>
      <c r="AB33" s="248"/>
      <c r="AC33" s="7682" t="str">
        <f>IF(TITLE_NUMBER_PR_CHANGE="",IF(TITLE_NUMBER_PR="","",TITLE_NUMBER_PR),TITLE_NUMBER_PR_CHANGE)</f>
        <v>79/2</v>
      </c>
      <c r="AD33" s="7682"/>
      <c r="AE33" s="7682"/>
      <c r="AF33" s="7682"/>
      <c r="AG33" s="7682"/>
      <c r="AH33" s="7682"/>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601</v>
      </c>
      <c r="AC34" s="248"/>
      <c r="AD34" s="248"/>
      <c r="AE34" s="248"/>
      <c r="AF34" s="248"/>
      <c r="AG34" s="248"/>
      <c r="AH34" s="248"/>
      <c r="AI34" s="194" t="s">
        <v>601</v>
      </c>
      <c r="AL34" s="292"/>
      <c r="AM34" s="292"/>
      <c r="AN34" s="292"/>
      <c r="AO34" s="292"/>
      <c r="AP34" s="292"/>
    </row>
    <row r="35" spans="1:42" ht="14.25" customHeight="1">
      <c r="Q35" s="300"/>
      <c r="R35" s="300"/>
      <c r="S35" s="1200"/>
      <c r="T35" s="286"/>
      <c r="U35" s="1158"/>
      <c r="V35" s="7683"/>
      <c r="W35" s="7683"/>
      <c r="X35" s="7683"/>
      <c r="Y35" s="7683"/>
      <c r="Z35" s="7683"/>
      <c r="AA35" s="7683"/>
      <c r="AB35" s="7683"/>
      <c r="AC35" s="7683"/>
      <c r="AD35" s="7683"/>
      <c r="AE35" s="7683"/>
      <c r="AF35" s="7683"/>
      <c r="AG35" s="7683"/>
      <c r="AH35" s="7683"/>
      <c r="AI35" s="7683"/>
    </row>
    <row r="36" spans="1:42" ht="14.25" customHeight="1">
      <c r="Q36" s="300"/>
      <c r="R36" s="300"/>
      <c r="S36" s="7559" t="s">
        <v>474</v>
      </c>
      <c r="T36" s="7559"/>
      <c r="U36" s="7559"/>
      <c r="V36" s="7559"/>
      <c r="W36" s="7559"/>
      <c r="X36" s="7559"/>
      <c r="Y36" s="7559"/>
      <c r="Z36" s="7559"/>
      <c r="AA36" s="7559"/>
      <c r="AB36" s="7559"/>
      <c r="AC36" s="7559"/>
      <c r="AD36" s="7559"/>
      <c r="AE36" s="7559"/>
      <c r="AF36" s="7559"/>
      <c r="AG36" s="7559"/>
      <c r="AH36" s="7559"/>
      <c r="AI36" s="7559"/>
      <c r="AJ36" s="7559"/>
      <c r="AK36" s="7559" t="s">
        <v>475</v>
      </c>
    </row>
    <row r="37" spans="1:42" ht="14.25" customHeight="1">
      <c r="Q37" s="300"/>
      <c r="R37" s="300"/>
      <c r="S37" s="7697" t="s">
        <v>86</v>
      </c>
      <c r="T37" s="7649" t="s">
        <v>602</v>
      </c>
      <c r="U37" s="215"/>
      <c r="V37" s="7698" t="s">
        <v>603</v>
      </c>
      <c r="W37" s="7699"/>
      <c r="X37" s="7699"/>
      <c r="Y37" s="7699"/>
      <c r="Z37" s="7699"/>
      <c r="AA37" s="7700"/>
      <c r="AB37" s="7701" t="s">
        <v>604</v>
      </c>
      <c r="AC37" s="7698" t="s">
        <v>603</v>
      </c>
      <c r="AD37" s="7699"/>
      <c r="AE37" s="7699"/>
      <c r="AF37" s="7699"/>
      <c r="AG37" s="7699"/>
      <c r="AH37" s="7700"/>
      <c r="AI37" s="7701" t="s">
        <v>605</v>
      </c>
      <c r="AJ37" s="7704" t="s">
        <v>606</v>
      </c>
      <c r="AK37" s="7559"/>
    </row>
    <row r="38" spans="1:42" ht="33.75" customHeight="1">
      <c r="Q38" s="300"/>
      <c r="R38" s="300"/>
      <c r="S38" s="7697"/>
      <c r="T38" s="7649"/>
      <c r="U38" s="942"/>
      <c r="V38" s="1370" t="s">
        <v>662</v>
      </c>
      <c r="W38" s="7530" t="s">
        <v>609</v>
      </c>
      <c r="X38" s="7529"/>
      <c r="Y38" s="7530" t="s">
        <v>610</v>
      </c>
      <c r="Z38" s="7536"/>
      <c r="AA38" s="7529"/>
      <c r="AB38" s="7702"/>
      <c r="AC38" s="1370" t="s">
        <v>662</v>
      </c>
      <c r="AD38" s="7530" t="s">
        <v>609</v>
      </c>
      <c r="AE38" s="7529"/>
      <c r="AF38" s="7530" t="s">
        <v>610</v>
      </c>
      <c r="AG38" s="7536"/>
      <c r="AH38" s="7529"/>
      <c r="AI38" s="7702"/>
      <c r="AJ38" s="7705"/>
      <c r="AK38" s="7559"/>
    </row>
    <row r="39" spans="1:42" ht="33.75" customHeight="1">
      <c r="A39" s="1291"/>
      <c r="B39" s="1291" t="s">
        <v>249</v>
      </c>
      <c r="C39" s="1291" t="s">
        <v>250</v>
      </c>
      <c r="D39" s="1291" t="s">
        <v>251</v>
      </c>
      <c r="E39" s="1285" t="s">
        <v>611</v>
      </c>
      <c r="F39" s="1285" t="s">
        <v>612</v>
      </c>
      <c r="G39" s="1285" t="s">
        <v>613</v>
      </c>
      <c r="H39" s="1285"/>
      <c r="I39" s="1285" t="s">
        <v>663</v>
      </c>
      <c r="J39" s="1285" t="s">
        <v>616</v>
      </c>
      <c r="K39" s="1285" t="s">
        <v>664</v>
      </c>
      <c r="L39" s="1285" t="s">
        <v>592</v>
      </c>
      <c r="Q39" s="300"/>
      <c r="R39" s="300"/>
      <c r="S39" s="7697"/>
      <c r="T39" s="7649"/>
      <c r="U39" s="216"/>
      <c r="V39" s="1370" t="s">
        <v>665</v>
      </c>
      <c r="W39" s="1133" t="s">
        <v>666</v>
      </c>
      <c r="X39" s="1133" t="s">
        <v>667</v>
      </c>
      <c r="Y39" s="1373" t="s">
        <v>620</v>
      </c>
      <c r="Z39" s="7657" t="s">
        <v>621</v>
      </c>
      <c r="AA39" s="7659"/>
      <c r="AB39" s="7703"/>
      <c r="AC39" s="1370" t="s">
        <v>665</v>
      </c>
      <c r="AD39" s="1133" t="s">
        <v>666</v>
      </c>
      <c r="AE39" s="1133" t="s">
        <v>667</v>
      </c>
      <c r="AF39" s="1373" t="s">
        <v>620</v>
      </c>
      <c r="AG39" s="7657" t="s">
        <v>621</v>
      </c>
      <c r="AH39" s="7659"/>
      <c r="AI39" s="7703"/>
      <c r="AJ39" s="7706"/>
      <c r="AK39" s="7559"/>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100</v>
      </c>
      <c r="U40" s="1159" t="str">
        <f ca="1">OFFSET(U40,0,-1)</f>
        <v>2</v>
      </c>
      <c r="V40" s="1369">
        <f ca="1">OFFSET(V40,0,-1)+1</f>
        <v>3</v>
      </c>
      <c r="W40" s="1369">
        <f ca="1">OFFSET(W40,0,-1)+1</f>
        <v>4</v>
      </c>
      <c r="X40" s="1369">
        <f ca="1">OFFSET(X40,0,-1)+1</f>
        <v>5</v>
      </c>
      <c r="Y40" s="1369">
        <f ca="1">OFFSET(Y40,0,-1)+1</f>
        <v>6</v>
      </c>
      <c r="Z40" s="7696">
        <f ca="1">OFFSET(Z40,0,-1)+1</f>
        <v>7</v>
      </c>
      <c r="AA40" s="7696"/>
      <c r="AB40" s="1369">
        <f ca="1">OFFSET(AB40,0,-2)+1</f>
        <v>8</v>
      </c>
      <c r="AC40" s="1369">
        <f ca="1">OFFSET(AC40,0,-1)+1</f>
        <v>9</v>
      </c>
      <c r="AD40" s="1369">
        <f ca="1">OFFSET(AD40,0,-1)+1</f>
        <v>10</v>
      </c>
      <c r="AE40" s="1369">
        <f ca="1">OFFSET(AE40,0,-1)+1</f>
        <v>11</v>
      </c>
      <c r="AF40" s="1369">
        <f ca="1">OFFSET(AF40,0,-1)+1</f>
        <v>12</v>
      </c>
      <c r="AG40" s="7696">
        <f ca="1">OFFSET(AG40,0,-1)+1</f>
        <v>13</v>
      </c>
      <c r="AH40" s="7696"/>
      <c r="AI40" s="1369">
        <f ca="1">OFFSET(AI40,0,-2)+1</f>
        <v>14</v>
      </c>
      <c r="AJ40" s="1159">
        <f ca="1">OFFSET(AJ40,0,-1)</f>
        <v>14</v>
      </c>
      <c r="AK40" s="1369">
        <f ca="1">OFFSET(AK40,0,-1)+1</f>
        <v>15</v>
      </c>
      <c r="AL40" s="435"/>
      <c r="AM40" s="435"/>
      <c r="AN40" s="435"/>
      <c r="AO40" s="435"/>
      <c r="AP40" s="435"/>
    </row>
    <row r="41" spans="1:42" ht="23.25" customHeight="1">
      <c r="A41" s="1284" t="s">
        <v>415</v>
      </c>
      <c r="B41" s="1284"/>
      <c r="C41" s="1284"/>
      <c r="D41" s="1284"/>
      <c r="E41" s="7689">
        <v>1</v>
      </c>
      <c r="F41" s="1284"/>
      <c r="G41" s="1284"/>
      <c r="H41" s="1284"/>
      <c r="I41" s="1284"/>
      <c r="J41" s="1284"/>
      <c r="K41" s="1284"/>
      <c r="L41" s="1285"/>
      <c r="M41" s="1286"/>
      <c r="N41" s="1286"/>
      <c r="O41" s="1286"/>
      <c r="P41" s="282"/>
      <c r="Q41" s="281"/>
      <c r="R41" s="276"/>
      <c r="S41" s="1375">
        <f>INDEX(PT_DIFFERENTIATION_NUM_NTAR,MATCH(A41,PT_DIFFERENTIATION_NTAR_ID,0))</f>
        <v>0</v>
      </c>
      <c r="T41" s="212" t="s">
        <v>237</v>
      </c>
      <c r="U41" s="214"/>
      <c r="V41" s="7675"/>
      <c r="W41" s="7676"/>
      <c r="X41" s="7676"/>
      <c r="Y41" s="7676"/>
      <c r="Z41" s="7676"/>
      <c r="AA41" s="7676"/>
      <c r="AB41" s="7677"/>
      <c r="AC41" s="7675" t="str">
        <f>INDEX(PT_DIFFERENTIATION_NTAR,MATCH(A41,PT_DIFFERENTIATION_NTAR_ID,0))</f>
        <v/>
      </c>
      <c r="AD41" s="7676"/>
      <c r="AE41" s="7676"/>
      <c r="AF41" s="7676"/>
      <c r="AG41" s="7676"/>
      <c r="AH41" s="7676"/>
      <c r="AI41" s="7676"/>
      <c r="AJ41" s="7677"/>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415</v>
      </c>
      <c r="B42" s="1284" t="s">
        <v>416</v>
      </c>
      <c r="C42" s="1284"/>
      <c r="D42" s="1284"/>
      <c r="E42" s="7690"/>
      <c r="F42" s="7689">
        <v>1</v>
      </c>
      <c r="G42" s="1284"/>
      <c r="H42" s="1284"/>
      <c r="I42" s="1284"/>
      <c r="J42" s="1284"/>
      <c r="K42" s="1284"/>
      <c r="L42" s="1285"/>
      <c r="M42" s="1286"/>
      <c r="N42" s="1286"/>
      <c r="O42" s="1286"/>
      <c r="P42" s="1371"/>
      <c r="Q42" s="273"/>
      <c r="R42" s="274"/>
      <c r="S42" s="1375" t="str">
        <f>INDEX(PT_DIFFERENTIATION_NUM_TER,MATCH(B42,PT_DIFFERENTIATION_TER_ID,0))</f>
        <v>.</v>
      </c>
      <c r="T42" s="224" t="s">
        <v>573</v>
      </c>
      <c r="U42" s="214"/>
      <c r="V42" s="7675"/>
      <c r="W42" s="7676"/>
      <c r="X42" s="7676"/>
      <c r="Y42" s="7676"/>
      <c r="Z42" s="7676"/>
      <c r="AA42" s="7676"/>
      <c r="AB42" s="7677"/>
      <c r="AC42" s="7675" t="str">
        <f>INDEX(PT_DIFFERENTIATION_TER,MATCH(B42,PT_DIFFERENTIATION_TER_ID,0))</f>
        <v/>
      </c>
      <c r="AD42" s="7676"/>
      <c r="AE42" s="7676"/>
      <c r="AF42" s="7676"/>
      <c r="AG42" s="7676"/>
      <c r="AH42" s="7676"/>
      <c r="AI42" s="7676"/>
      <c r="AJ42" s="7677"/>
      <c r="AK42" s="1182" t="s">
        <v>574</v>
      </c>
      <c r="AM42" s="424"/>
      <c r="AN42" s="424" t="str">
        <f t="shared" si="1"/>
        <v>Территория действия тарифа</v>
      </c>
      <c r="AO42" s="424"/>
      <c r="AP42" s="424"/>
    </row>
    <row r="43" spans="1:42" ht="23.25" customHeight="1">
      <c r="A43" s="1284" t="s">
        <v>415</v>
      </c>
      <c r="B43" s="1284" t="s">
        <v>416</v>
      </c>
      <c r="C43" s="1284" t="s">
        <v>417</v>
      </c>
      <c r="D43" s="1284"/>
      <c r="E43" s="7690"/>
      <c r="F43" s="7690"/>
      <c r="G43" s="7689">
        <v>1</v>
      </c>
      <c r="H43" s="1284"/>
      <c r="I43" s="1284"/>
      <c r="J43" s="1284"/>
      <c r="K43" s="1284"/>
      <c r="L43" s="1285"/>
      <c r="M43" s="1286"/>
      <c r="N43" s="1286"/>
      <c r="O43" s="1286"/>
      <c r="P43" s="275"/>
      <c r="Q43" s="273"/>
      <c r="R43" s="274"/>
      <c r="S43" s="1375" t="str">
        <f>INDEX(PT_DIFFERENTIATION_NUM_CS,MATCH(C43,PT_DIFFERENTIATION_CS_ID,0))</f>
        <v>..</v>
      </c>
      <c r="T43" s="225" t="s">
        <v>654</v>
      </c>
      <c r="U43" s="214"/>
      <c r="V43" s="7675"/>
      <c r="W43" s="7676"/>
      <c r="X43" s="7676"/>
      <c r="Y43" s="7676"/>
      <c r="Z43" s="7676"/>
      <c r="AA43" s="7676"/>
      <c r="AB43" s="7677"/>
      <c r="AC43" s="7675" t="str">
        <f>INDEX(PT_DIFFERENTIATION_CS,MATCH(C43,PT_DIFFERENTIATION_CS_ID,0))</f>
        <v/>
      </c>
      <c r="AD43" s="7676"/>
      <c r="AE43" s="7676"/>
      <c r="AF43" s="7676"/>
      <c r="AG43" s="7676"/>
      <c r="AH43" s="7676"/>
      <c r="AI43" s="7676"/>
      <c r="AJ43" s="7677"/>
      <c r="AK43" s="1182" t="s">
        <v>655</v>
      </c>
      <c r="AM43" s="424"/>
      <c r="AN43" s="424" t="str">
        <f t="shared" si="1"/>
        <v>Наименование централизованной системы холодного водоснабжения</v>
      </c>
      <c r="AO43" s="424"/>
      <c r="AP43" s="424"/>
    </row>
    <row r="44" spans="1:42" ht="23.25" customHeight="1">
      <c r="A44" s="1284" t="s">
        <v>415</v>
      </c>
      <c r="B44" s="1284" t="s">
        <v>416</v>
      </c>
      <c r="C44" s="1284" t="s">
        <v>417</v>
      </c>
      <c r="D44" s="1284" t="s">
        <v>675</v>
      </c>
      <c r="E44" s="7690"/>
      <c r="F44" s="7690"/>
      <c r="G44" s="7690"/>
      <c r="H44" s="7690"/>
      <c r="I44" s="7687" t="str">
        <f>S43&amp;".1"</f>
        <v>...1</v>
      </c>
      <c r="J44" s="1284"/>
      <c r="K44" s="1284"/>
      <c r="L44" s="1285"/>
      <c r="P44" s="7688">
        <v>1</v>
      </c>
      <c r="Q44" s="1368"/>
      <c r="R44" s="277"/>
      <c r="S44" s="1375" t="str">
        <f>$I44</f>
        <v>...1</v>
      </c>
      <c r="T44" s="200" t="s">
        <v>656</v>
      </c>
      <c r="U44" s="214"/>
      <c r="V44" s="7748"/>
      <c r="W44" s="7749"/>
      <c r="X44" s="7749"/>
      <c r="Y44" s="7749"/>
      <c r="Z44" s="7749"/>
      <c r="AA44" s="7749"/>
      <c r="AB44" s="7750"/>
      <c r="AC44" s="7751"/>
      <c r="AD44" s="7752"/>
      <c r="AE44" s="7752"/>
      <c r="AF44" s="7752"/>
      <c r="AG44" s="7752"/>
      <c r="AH44" s="7752"/>
      <c r="AI44" s="7752"/>
      <c r="AJ44" s="7753"/>
      <c r="AK44" s="1182" t="s">
        <v>657</v>
      </c>
      <c r="AM44" s="424"/>
      <c r="AN44" s="424" t="str">
        <f t="shared" si="1"/>
        <v>Наименование признака дифференциации</v>
      </c>
      <c r="AO44" s="424"/>
      <c r="AP44" s="424"/>
    </row>
    <row r="45" spans="1:42" ht="23.25" customHeight="1">
      <c r="A45" s="1284" t="s">
        <v>415</v>
      </c>
      <c r="B45" s="1284" t="s">
        <v>416</v>
      </c>
      <c r="C45" s="1284" t="s">
        <v>417</v>
      </c>
      <c r="D45" s="1284" t="s">
        <v>675</v>
      </c>
      <c r="E45" s="7690"/>
      <c r="F45" s="7690"/>
      <c r="G45" s="7690"/>
      <c r="H45" s="7690"/>
      <c r="I45" s="7710"/>
      <c r="J45" s="7687" t="str">
        <f>I44&amp;".1"</f>
        <v>...1.1</v>
      </c>
      <c r="K45" s="1284"/>
      <c r="L45" s="1285" t="s">
        <v>582</v>
      </c>
      <c r="P45" s="7688"/>
      <c r="Q45" s="7688">
        <v>1</v>
      </c>
      <c r="R45" s="278"/>
      <c r="S45" s="1375" t="str">
        <f>$J45</f>
        <v>...1.1</v>
      </c>
      <c r="T45" s="201" t="s">
        <v>583</v>
      </c>
      <c r="U45" s="214"/>
      <c r="V45" s="7678"/>
      <c r="W45" s="7679"/>
      <c r="X45" s="7679"/>
      <c r="Y45" s="7679"/>
      <c r="Z45" s="7679"/>
      <c r="AA45" s="7679"/>
      <c r="AB45" s="7680"/>
      <c r="AC45" s="7678"/>
      <c r="AD45" s="7679"/>
      <c r="AE45" s="7679"/>
      <c r="AF45" s="7679"/>
      <c r="AG45" s="7679"/>
      <c r="AH45" s="7679"/>
      <c r="AI45" s="7679"/>
      <c r="AJ45" s="7680"/>
      <c r="AK45" s="1231" t="s">
        <v>658</v>
      </c>
      <c r="AM45" s="424"/>
      <c r="AN45" s="424" t="str">
        <f t="shared" si="1"/>
        <v>Группа потребителей</v>
      </c>
      <c r="AO45" s="424"/>
      <c r="AP45" s="424"/>
    </row>
    <row r="46" spans="1:42" ht="23.25" customHeight="1">
      <c r="A46" s="1284" t="s">
        <v>415</v>
      </c>
      <c r="B46" s="1284" t="s">
        <v>416</v>
      </c>
      <c r="C46" s="1284" t="s">
        <v>417</v>
      </c>
      <c r="D46" s="1284" t="s">
        <v>675</v>
      </c>
      <c r="E46" s="7690"/>
      <c r="F46" s="7690"/>
      <c r="G46" s="7690"/>
      <c r="H46" s="7690"/>
      <c r="I46" s="7710"/>
      <c r="J46" s="7710"/>
      <c r="K46" s="7687" t="str">
        <f>J45&amp;".1"</f>
        <v>...1.1.1</v>
      </c>
      <c r="L46" s="1285"/>
      <c r="P46" s="7688"/>
      <c r="Q46" s="7688"/>
      <c r="R46" s="278">
        <v>1</v>
      </c>
      <c r="S46" s="1375" t="str">
        <f>$K46</f>
        <v>...1.1.1</v>
      </c>
      <c r="T46" s="1357"/>
      <c r="U46" s="214"/>
      <c r="V46" s="666"/>
      <c r="W46" s="666"/>
      <c r="X46" s="1181"/>
      <c r="Y46" s="7692"/>
      <c r="Z46" s="7540" t="s">
        <v>60</v>
      </c>
      <c r="AA46" s="7692"/>
      <c r="AB46" s="7540" t="s">
        <v>60</v>
      </c>
      <c r="AC46" s="666"/>
      <c r="AD46" s="666"/>
      <c r="AE46" s="1181"/>
      <c r="AF46" s="7692"/>
      <c r="AG46" s="7540" t="s">
        <v>60</v>
      </c>
      <c r="AH46" s="7711"/>
      <c r="AI46" s="7540" t="s">
        <v>60</v>
      </c>
      <c r="AJ46" s="1358"/>
      <c r="AK4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415</v>
      </c>
      <c r="B47" s="1284" t="s">
        <v>416</v>
      </c>
      <c r="C47" s="1284" t="s">
        <v>417</v>
      </c>
      <c r="D47" s="1284" t="s">
        <v>675</v>
      </c>
      <c r="E47" s="7690"/>
      <c r="F47" s="7690"/>
      <c r="G47" s="7690"/>
      <c r="H47" s="7690"/>
      <c r="I47" s="7710"/>
      <c r="J47" s="7710"/>
      <c r="K47" s="7687"/>
      <c r="L47" s="1285"/>
      <c r="P47" s="7688"/>
      <c r="Q47" s="7688"/>
      <c r="R47" s="278"/>
      <c r="S47" s="1374"/>
      <c r="T47" s="214"/>
      <c r="U47" s="214"/>
      <c r="V47" s="246"/>
      <c r="W47" s="246"/>
      <c r="X47" s="250" t="str">
        <f>Y46&amp;"-"&amp;AA46</f>
        <v>-</v>
      </c>
      <c r="Y47" s="7693"/>
      <c r="Z47" s="7540"/>
      <c r="AA47" s="7693"/>
      <c r="AB47" s="7540"/>
      <c r="AC47" s="246"/>
      <c r="AD47" s="246"/>
      <c r="AE47" s="250" t="str">
        <f>AF46&amp;"-"&amp;AH46</f>
        <v>-</v>
      </c>
      <c r="AF47" s="7693"/>
      <c r="AG47" s="7540"/>
      <c r="AH47" s="7712"/>
      <c r="AI47" s="7540"/>
      <c r="AJ47" s="1359"/>
      <c r="AK47" s="7747"/>
      <c r="AM47" s="424"/>
      <c r="AN47" s="424" t="str">
        <f t="shared" si="1"/>
        <v/>
      </c>
      <c r="AO47" s="424"/>
      <c r="AP47" s="424"/>
    </row>
    <row r="48" spans="1:42" ht="21" customHeight="1">
      <c r="A48" s="1284" t="s">
        <v>415</v>
      </c>
      <c r="B48" s="1284" t="s">
        <v>416</v>
      </c>
      <c r="C48" s="1284" t="s">
        <v>417</v>
      </c>
      <c r="D48" s="1284" t="s">
        <v>675</v>
      </c>
      <c r="E48" s="7690"/>
      <c r="F48" s="7690"/>
      <c r="G48" s="7690"/>
      <c r="H48" s="7690"/>
      <c r="I48" s="7710"/>
      <c r="J48" s="7687"/>
      <c r="K48" s="1284"/>
      <c r="L48" s="1285"/>
      <c r="P48" s="7688"/>
      <c r="Q48" s="7688"/>
      <c r="R48" s="277"/>
      <c r="S48" s="1203"/>
      <c r="T48" s="202" t="s">
        <v>659</v>
      </c>
      <c r="U48" s="291"/>
      <c r="V48" s="291"/>
      <c r="W48" s="291"/>
      <c r="X48" s="291"/>
      <c r="Y48" s="291"/>
      <c r="Z48" s="291"/>
      <c r="AA48" s="291"/>
      <c r="AB48" s="291"/>
      <c r="AC48" s="291"/>
      <c r="AD48" s="291"/>
      <c r="AE48" s="291"/>
      <c r="AF48" s="291"/>
      <c r="AG48" s="291"/>
      <c r="AH48" s="291"/>
      <c r="AI48" s="291"/>
      <c r="AJ48" s="291"/>
      <c r="AK48" s="1182" t="s">
        <v>660</v>
      </c>
      <c r="AM48" s="424"/>
      <c r="AN48" s="424" t="str">
        <f t="shared" si="1"/>
        <v>Добавить значение признака дифференциации</v>
      </c>
      <c r="AO48" s="424"/>
      <c r="AP48" s="424"/>
    </row>
    <row r="49" spans="1:42" ht="21" customHeight="1">
      <c r="A49" s="1284" t="s">
        <v>415</v>
      </c>
      <c r="B49" s="1284" t="s">
        <v>416</v>
      </c>
      <c r="C49" s="1284" t="s">
        <v>417</v>
      </c>
      <c r="D49" s="1284" t="s">
        <v>675</v>
      </c>
      <c r="E49" s="7690"/>
      <c r="F49" s="7690"/>
      <c r="G49" s="7690"/>
      <c r="H49" s="7690"/>
      <c r="I49" s="7687"/>
      <c r="J49" s="1284"/>
      <c r="K49" s="1284"/>
      <c r="L49" s="1285"/>
      <c r="P49" s="7688"/>
      <c r="Q49" s="1368"/>
      <c r="R49" s="277"/>
      <c r="S49" s="1203"/>
      <c r="T49" s="288" t="s">
        <v>588</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415</v>
      </c>
      <c r="B50" s="1284" t="s">
        <v>416</v>
      </c>
      <c r="C50" s="1284" t="s">
        <v>417</v>
      </c>
      <c r="D50" s="1284" t="s">
        <v>675</v>
      </c>
      <c r="E50" s="7690"/>
      <c r="F50" s="7690"/>
      <c r="G50" s="7690"/>
      <c r="H50" s="7689"/>
      <c r="I50" s="1284"/>
      <c r="J50" s="1284"/>
      <c r="K50" s="1284"/>
      <c r="L50" s="1285"/>
      <c r="M50" s="1286"/>
      <c r="N50" s="1286"/>
      <c r="O50" s="460"/>
      <c r="P50" s="281"/>
      <c r="Q50" s="299"/>
      <c r="R50" s="276"/>
      <c r="S50" s="1203"/>
      <c r="T50" s="296" t="s">
        <v>661</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415</v>
      </c>
      <c r="B51" s="1265" t="s">
        <v>416</v>
      </c>
      <c r="C51" s="1237"/>
      <c r="D51" s="1237"/>
      <c r="E51" s="7690"/>
      <c r="F51" s="7689"/>
      <c r="G51" s="1237"/>
      <c r="H51" s="1237"/>
      <c r="I51" s="1237"/>
      <c r="J51" s="1237"/>
      <c r="K51" s="1237"/>
      <c r="L51" s="1376"/>
      <c r="M51" s="1244"/>
      <c r="N51" s="1244"/>
      <c r="P51" s="1239"/>
      <c r="Q51" s="1240"/>
      <c r="R51" s="1239"/>
      <c r="S51" s="1245"/>
      <c r="T51" s="1248" t="s">
        <v>325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415</v>
      </c>
      <c r="B52" s="1265"/>
      <c r="C52" s="1265"/>
      <c r="D52" s="1265"/>
      <c r="E52" s="7689"/>
      <c r="F52" s="1265"/>
      <c r="G52" s="1265"/>
      <c r="H52" s="1265"/>
      <c r="I52" s="1265"/>
      <c r="J52" s="1265"/>
      <c r="K52" s="1265"/>
      <c r="L52" s="1268"/>
      <c r="M52" s="1244"/>
      <c r="N52" s="1244"/>
      <c r="O52" s="442"/>
      <c r="P52" s="308"/>
      <c r="Q52" s="1266"/>
      <c r="R52" s="308"/>
      <c r="S52" s="1245"/>
      <c r="T52" s="1248" t="s">
        <v>326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402</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7709"/>
      <c r="U55" s="7709"/>
      <c r="V55" s="7709"/>
      <c r="W55" s="7709"/>
      <c r="X55" s="7709"/>
      <c r="Y55" s="7709"/>
      <c r="Z55" s="7709"/>
      <c r="AA55" s="7709"/>
      <c r="AB55" s="7709"/>
      <c r="AC55" s="7709"/>
      <c r="AD55" s="7709"/>
      <c r="AE55" s="7709"/>
      <c r="AF55" s="7709"/>
      <c r="AG55" s="7709"/>
      <c r="AH55" s="7709"/>
      <c r="AI55" s="7709"/>
      <c r="AJ55" s="7709"/>
      <c r="AK55" s="7709"/>
    </row>
    <row r="56" spans="1:42" ht="14.25" customHeight="1">
      <c r="O56" s="460"/>
    </row>
    <row r="57" spans="1:42" ht="14.25" customHeight="1">
      <c r="O57" s="460"/>
      <c r="S57" s="1169"/>
      <c r="T57" s="7709"/>
      <c r="U57" s="7709"/>
      <c r="V57" s="7709"/>
      <c r="W57" s="7709"/>
      <c r="X57" s="7709"/>
      <c r="Y57" s="7709"/>
      <c r="Z57" s="7709"/>
      <c r="AA57" s="7709"/>
      <c r="AB57" s="7709"/>
      <c r="AC57" s="7709"/>
      <c r="AD57" s="7709"/>
      <c r="AE57" s="7709"/>
      <c r="AF57" s="7709"/>
      <c r="AG57" s="7709"/>
      <c r="AH57" s="7709"/>
      <c r="AI57" s="7709"/>
      <c r="AJ57" s="7709"/>
      <c r="AK57" s="770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5"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20"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7689">
        <v>1</v>
      </c>
      <c r="F2" s="1284"/>
      <c r="G2" s="1284"/>
      <c r="H2" s="1284"/>
      <c r="I2" s="1284"/>
      <c r="J2" s="1284"/>
      <c r="K2" s="1284"/>
      <c r="L2" s="1285"/>
      <c r="M2" s="1286"/>
      <c r="N2" s="1286"/>
      <c r="O2" s="1286"/>
      <c r="P2" s="1330"/>
      <c r="Q2" s="787"/>
      <c r="R2" s="276"/>
      <c r="S2" s="1382" t="e">
        <f>INDEX(PT_DIFFERENTIATION_NUM_NTAR,MATCH(A2,PT_DIFFERENTIATION_NTAR_ID,0))</f>
        <v>#N/A</v>
      </c>
      <c r="T2" s="212" t="s">
        <v>237</v>
      </c>
      <c r="U2" s="214"/>
      <c r="V2" s="7676"/>
      <c r="W2" s="7676"/>
      <c r="X2" s="7676"/>
      <c r="Y2" s="7676"/>
      <c r="Z2" s="7676"/>
      <c r="AA2" s="7676"/>
      <c r="AB2" s="7676"/>
      <c r="AC2" s="7677"/>
      <c r="AD2" s="7675" t="e">
        <f>INDEX(PT_DIFFERENTIATION_NTAR,MATCH(A2,PT_DIFFERENTIATION_NTAR_ID,0))</f>
        <v>#N/A</v>
      </c>
      <c r="AE2" s="7676"/>
      <c r="AF2" s="7676"/>
      <c r="AG2" s="7676"/>
      <c r="AH2" s="7676"/>
      <c r="AI2" s="7676"/>
      <c r="AJ2" s="7676"/>
      <c r="AK2" s="7676"/>
      <c r="AL2" s="7676"/>
      <c r="AM2" s="7676"/>
      <c r="AN2" s="7676"/>
      <c r="AO2" s="7676"/>
      <c r="AP2" s="7676"/>
      <c r="AQ2" s="7676"/>
      <c r="AR2" s="7676"/>
      <c r="AS2" s="7676"/>
      <c r="AT2" s="7676"/>
      <c r="AU2" s="7676"/>
      <c r="AV2" s="7676"/>
      <c r="AW2" s="7676"/>
      <c r="AX2" s="7676"/>
      <c r="AY2" s="7676"/>
      <c r="AZ2" s="7676"/>
      <c r="BA2" s="7676"/>
      <c r="BB2" s="7677"/>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7690"/>
      <c r="F3" s="7689">
        <v>1</v>
      </c>
      <c r="G3" s="1284"/>
      <c r="H3" s="1284"/>
      <c r="I3" s="1284"/>
      <c r="J3" s="1284"/>
      <c r="K3" s="1284"/>
      <c r="L3" s="1285"/>
      <c r="M3" s="1286"/>
      <c r="N3" s="1286"/>
      <c r="O3" s="1286"/>
      <c r="P3" s="1331"/>
      <c r="Q3" s="1332"/>
      <c r="R3" s="274"/>
      <c r="S3" s="1382" t="e">
        <f>INDEX(PT_DIFFERENTIATION_NUM_TER,MATCH(B3,PT_DIFFERENTIATION_TER_ID,0))</f>
        <v>#N/A</v>
      </c>
      <c r="T3" s="224" t="s">
        <v>573</v>
      </c>
      <c r="U3" s="214"/>
      <c r="V3" s="7676"/>
      <c r="W3" s="7676"/>
      <c r="X3" s="7676"/>
      <c r="Y3" s="7676"/>
      <c r="Z3" s="7676"/>
      <c r="AA3" s="7676"/>
      <c r="AB3" s="7676"/>
      <c r="AC3" s="7677"/>
      <c r="AD3" s="7675" t="e">
        <f>INDEX(PT_DIFFERENTIATION_TER,MATCH(B3,PT_DIFFERENTIATION_TER_ID,0))</f>
        <v>#N/A</v>
      </c>
      <c r="AE3" s="7676"/>
      <c r="AF3" s="7676"/>
      <c r="AG3" s="7676"/>
      <c r="AH3" s="7676"/>
      <c r="AI3" s="7676"/>
      <c r="AJ3" s="7676"/>
      <c r="AK3" s="7676"/>
      <c r="AL3" s="7676"/>
      <c r="AM3" s="7676"/>
      <c r="AN3" s="7676"/>
      <c r="AO3" s="7676"/>
      <c r="AP3" s="7676"/>
      <c r="AQ3" s="7676"/>
      <c r="AR3" s="7676"/>
      <c r="AS3" s="7676"/>
      <c r="AT3" s="7676"/>
      <c r="AU3" s="7676"/>
      <c r="AV3" s="7676"/>
      <c r="AW3" s="7676"/>
      <c r="AX3" s="7676"/>
      <c r="AY3" s="7676"/>
      <c r="AZ3" s="7676"/>
      <c r="BA3" s="7676"/>
      <c r="BB3" s="7677"/>
      <c r="BC3" s="1182" t="s">
        <v>574</v>
      </c>
      <c r="BE3" s="424"/>
      <c r="BF3" s="424" t="str">
        <f t="shared" si="0"/>
        <v>Территория действия тарифа</v>
      </c>
      <c r="BG3" s="424"/>
      <c r="BH3" s="424"/>
    </row>
    <row r="4" spans="1:60" ht="42" hidden="1" customHeight="1">
      <c r="A4" s="1284"/>
      <c r="B4" s="1284"/>
      <c r="C4" s="1284"/>
      <c r="D4" s="1284"/>
      <c r="E4" s="7690"/>
      <c r="F4" s="7690"/>
      <c r="G4" s="7689">
        <v>1</v>
      </c>
      <c r="H4" s="1284"/>
      <c r="I4" s="1284"/>
      <c r="J4" s="1284"/>
      <c r="K4" s="1284"/>
      <c r="L4" s="1285"/>
      <c r="M4" s="1286"/>
      <c r="N4" s="1286"/>
      <c r="O4" s="1286"/>
      <c r="P4" s="1333"/>
      <c r="Q4" s="1332"/>
      <c r="R4" s="274"/>
      <c r="S4" s="1382" t="e">
        <f>INDEX(PT_DIFFERENTIATION_NUM_CS,MATCH(C4,PT_DIFFERENTIATION_CS_ID,0))</f>
        <v>#N/A</v>
      </c>
      <c r="T4" s="225" t="s">
        <v>654</v>
      </c>
      <c r="U4" s="214"/>
      <c r="V4" s="7676"/>
      <c r="W4" s="7676"/>
      <c r="X4" s="7676"/>
      <c r="Y4" s="7676"/>
      <c r="Z4" s="7676"/>
      <c r="AA4" s="7676"/>
      <c r="AB4" s="7676"/>
      <c r="AC4" s="7677"/>
      <c r="AD4" s="7675" t="e">
        <f>INDEX(PT_DIFFERENTIATION_CS,MATCH(C4,PT_DIFFERENTIATION_CS_ID,0))</f>
        <v>#N/A</v>
      </c>
      <c r="AE4" s="7676"/>
      <c r="AF4" s="7676"/>
      <c r="AG4" s="7676"/>
      <c r="AH4" s="7676"/>
      <c r="AI4" s="7676"/>
      <c r="AJ4" s="7676"/>
      <c r="AK4" s="7676"/>
      <c r="AL4" s="7676"/>
      <c r="AM4" s="7676"/>
      <c r="AN4" s="7676"/>
      <c r="AO4" s="7676"/>
      <c r="AP4" s="7676"/>
      <c r="AQ4" s="7676"/>
      <c r="AR4" s="7676"/>
      <c r="AS4" s="7676"/>
      <c r="AT4" s="7676"/>
      <c r="AU4" s="7676"/>
      <c r="AV4" s="7676"/>
      <c r="AW4" s="7676"/>
      <c r="AX4" s="7676"/>
      <c r="AY4" s="7676"/>
      <c r="AZ4" s="7676"/>
      <c r="BA4" s="7676"/>
      <c r="BB4" s="7677"/>
      <c r="BC4" s="1182" t="s">
        <v>655</v>
      </c>
      <c r="BE4" s="424"/>
      <c r="BF4" s="424" t="str">
        <f t="shared" si="0"/>
        <v>Наименование централизованной системы холодного водоснабжения</v>
      </c>
      <c r="BG4" s="424"/>
      <c r="BH4" s="424"/>
    </row>
    <row r="5" spans="1:60" s="1562" customFormat="1" ht="14.25" hidden="1" customHeight="1">
      <c r="A5" s="1265"/>
      <c r="B5" s="1265"/>
      <c r="C5" s="1265"/>
      <c r="D5" s="1265"/>
      <c r="E5" s="7690"/>
      <c r="F5" s="7690"/>
      <c r="G5" s="7690"/>
      <c r="H5" s="7689">
        <v>1</v>
      </c>
      <c r="I5" s="1265"/>
      <c r="J5" s="1265"/>
      <c r="K5" s="1265"/>
      <c r="L5" s="1268"/>
      <c r="M5" s="1238"/>
      <c r="N5" s="1238"/>
      <c r="O5" s="1238"/>
      <c r="P5" s="1412"/>
      <c r="Q5" s="1413"/>
      <c r="R5" s="278"/>
      <c r="S5" s="953"/>
      <c r="T5" s="1414"/>
      <c r="U5" s="1305"/>
      <c r="V5" s="7717"/>
      <c r="W5" s="7717"/>
      <c r="X5" s="7717"/>
      <c r="Y5" s="7717"/>
      <c r="Z5" s="7717"/>
      <c r="AA5" s="7717"/>
      <c r="AB5" s="7717"/>
      <c r="AC5" s="7718"/>
      <c r="AD5" s="7716"/>
      <c r="AE5" s="7717"/>
      <c r="AF5" s="7717"/>
      <c r="AG5" s="7717"/>
      <c r="AH5" s="7717"/>
      <c r="AI5" s="7717"/>
      <c r="AJ5" s="7717"/>
      <c r="AK5" s="7717"/>
      <c r="AL5" s="7717"/>
      <c r="AM5" s="7717"/>
      <c r="AN5" s="7717"/>
      <c r="AO5" s="7717"/>
      <c r="AP5" s="7717"/>
      <c r="AQ5" s="7717"/>
      <c r="AR5" s="7717"/>
      <c r="AS5" s="7717"/>
      <c r="AT5" s="7717"/>
      <c r="AU5" s="7717"/>
      <c r="AV5" s="7717"/>
      <c r="AW5" s="7717"/>
      <c r="AX5" s="7717"/>
      <c r="AY5" s="7717"/>
      <c r="AZ5" s="7717"/>
      <c r="BA5" s="7717"/>
      <c r="BB5" s="7718"/>
      <c r="BC5" s="1306" t="s">
        <v>578</v>
      </c>
      <c r="BE5" s="424"/>
      <c r="BF5" s="424" t="str">
        <f t="shared" si="0"/>
        <v/>
      </c>
      <c r="BG5" s="424"/>
      <c r="BH5" s="424"/>
    </row>
    <row r="6" spans="1:60" s="1562" customFormat="1" ht="14.25" hidden="1" customHeight="1">
      <c r="A6" s="1265"/>
      <c r="B6" s="1265"/>
      <c r="C6" s="1265"/>
      <c r="D6" s="1265"/>
      <c r="E6" s="7690"/>
      <c r="F6" s="7690"/>
      <c r="G6" s="7690"/>
      <c r="H6" s="7690"/>
      <c r="I6" s="7687" t="str">
        <f>S5&amp;".1"</f>
        <v>.1</v>
      </c>
      <c r="J6" s="1265"/>
      <c r="K6" s="1265"/>
      <c r="L6" s="1268" t="s">
        <v>579</v>
      </c>
      <c r="M6" s="434"/>
      <c r="N6" s="434"/>
      <c r="O6" s="434"/>
      <c r="P6" s="7688">
        <v>1</v>
      </c>
      <c r="Q6" s="1379"/>
      <c r="R6" s="277"/>
      <c r="S6" s="953"/>
      <c r="T6" s="1304"/>
      <c r="U6" s="1305"/>
      <c r="V6" s="7717"/>
      <c r="W6" s="7717"/>
      <c r="X6" s="7717"/>
      <c r="Y6" s="7717"/>
      <c r="Z6" s="7717"/>
      <c r="AA6" s="7717"/>
      <c r="AB6" s="7717"/>
      <c r="AC6" s="7718"/>
      <c r="AD6" s="7716"/>
      <c r="AE6" s="7717"/>
      <c r="AF6" s="7717"/>
      <c r="AG6" s="7717"/>
      <c r="AH6" s="7717"/>
      <c r="AI6" s="7717"/>
      <c r="AJ6" s="7717"/>
      <c r="AK6" s="7717"/>
      <c r="AL6" s="7717"/>
      <c r="AM6" s="7717"/>
      <c r="AN6" s="7717"/>
      <c r="AO6" s="7717"/>
      <c r="AP6" s="7717"/>
      <c r="AQ6" s="7717"/>
      <c r="AR6" s="7717"/>
      <c r="AS6" s="7717"/>
      <c r="AT6" s="7717"/>
      <c r="AU6" s="7717"/>
      <c r="AV6" s="7717"/>
      <c r="AW6" s="7717"/>
      <c r="AX6" s="7717"/>
      <c r="AY6" s="7717"/>
      <c r="AZ6" s="7717"/>
      <c r="BA6" s="7717"/>
      <c r="BB6" s="7718"/>
      <c r="BC6" s="1306"/>
      <c r="BE6" s="424"/>
      <c r="BF6" s="424" t="str">
        <f t="shared" si="0"/>
        <v/>
      </c>
      <c r="BG6" s="424"/>
      <c r="BH6" s="424"/>
    </row>
    <row r="7" spans="1:60" s="1562" customFormat="1" ht="14.25" hidden="1" customHeight="1">
      <c r="A7" s="1265"/>
      <c r="B7" s="1265"/>
      <c r="C7" s="1265"/>
      <c r="D7" s="1265"/>
      <c r="E7" s="7690"/>
      <c r="F7" s="7690"/>
      <c r="G7" s="7690"/>
      <c r="H7" s="7690"/>
      <c r="I7" s="7710"/>
      <c r="J7" s="7687" t="str">
        <f>S5&amp;".1"</f>
        <v>.1</v>
      </c>
      <c r="K7" s="1265"/>
      <c r="L7" s="1268"/>
      <c r="M7" s="434"/>
      <c r="N7" s="434"/>
      <c r="O7" s="434"/>
      <c r="P7" s="7688"/>
      <c r="Q7" s="7688">
        <v>1</v>
      </c>
      <c r="R7" s="278"/>
      <c r="S7" s="953"/>
      <c r="T7" s="1320"/>
      <c r="U7" s="1305"/>
      <c r="V7" s="7717"/>
      <c r="W7" s="7717"/>
      <c r="X7" s="7717"/>
      <c r="Y7" s="7717"/>
      <c r="Z7" s="7717"/>
      <c r="AA7" s="7717"/>
      <c r="AB7" s="7717"/>
      <c r="AC7" s="7718"/>
      <c r="AD7" s="7716"/>
      <c r="AE7" s="7717"/>
      <c r="AF7" s="7717"/>
      <c r="AG7" s="7717"/>
      <c r="AH7" s="7717"/>
      <c r="AI7" s="7717"/>
      <c r="AJ7" s="7717"/>
      <c r="AK7" s="7717"/>
      <c r="AL7" s="7717"/>
      <c r="AM7" s="7717"/>
      <c r="AN7" s="7717"/>
      <c r="AO7" s="7717"/>
      <c r="AP7" s="7717"/>
      <c r="AQ7" s="7717"/>
      <c r="AR7" s="7717"/>
      <c r="AS7" s="7717"/>
      <c r="AT7" s="7717"/>
      <c r="AU7" s="7717"/>
      <c r="AV7" s="7717"/>
      <c r="AW7" s="7717"/>
      <c r="AX7" s="7717"/>
      <c r="AY7" s="7717"/>
      <c r="AZ7" s="7717"/>
      <c r="BA7" s="7717"/>
      <c r="BB7" s="7718"/>
      <c r="BC7" s="1306"/>
      <c r="BE7" s="424"/>
      <c r="BF7" s="424" t="str">
        <f t="shared" si="0"/>
        <v/>
      </c>
      <c r="BG7" s="424"/>
      <c r="BH7" s="424"/>
    </row>
    <row r="8" spans="1:60" ht="11.25" hidden="1" customHeight="1">
      <c r="A8" s="1284"/>
      <c r="B8" s="1284"/>
      <c r="C8" s="1284"/>
      <c r="D8" s="1284"/>
      <c r="E8" s="7690"/>
      <c r="F8" s="7690"/>
      <c r="G8" s="7690"/>
      <c r="H8" s="7690"/>
      <c r="I8" s="7710"/>
      <c r="J8" s="7710"/>
      <c r="K8" s="7687" t="e">
        <f>S4&amp;".1"</f>
        <v>#N/A</v>
      </c>
      <c r="L8" s="1285"/>
      <c r="P8" s="7688"/>
      <c r="Q8" s="7688"/>
      <c r="R8" s="7745">
        <v>1</v>
      </c>
      <c r="S8" s="7739" t="e">
        <f>$K8</f>
        <v>#N/A</v>
      </c>
      <c r="T8" s="7758"/>
      <c r="U8" s="214"/>
      <c r="V8" s="666"/>
      <c r="W8" s="1181"/>
      <c r="X8" s="666"/>
      <c r="Y8" s="1181"/>
      <c r="Z8" s="1653"/>
      <c r="AA8" s="1377" t="s">
        <v>60</v>
      </c>
      <c r="AB8" s="1653"/>
      <c r="AC8" s="1377" t="s">
        <v>60</v>
      </c>
      <c r="AD8" s="7614" t="s">
        <v>60</v>
      </c>
      <c r="AE8" s="7725"/>
      <c r="AF8" s="7644">
        <v>1</v>
      </c>
      <c r="AG8" s="7762"/>
      <c r="AH8" s="7540" t="s">
        <v>60</v>
      </c>
      <c r="AI8" s="7725"/>
      <c r="AJ8" s="7644">
        <v>1</v>
      </c>
      <c r="AK8" s="7761" t="s">
        <v>24</v>
      </c>
      <c r="AL8" s="7540" t="s">
        <v>60</v>
      </c>
      <c r="AM8" s="7634"/>
      <c r="AN8" s="7644">
        <v>1</v>
      </c>
      <c r="AO8" s="7755"/>
      <c r="AP8" s="7756" t="s">
        <v>60</v>
      </c>
      <c r="AQ8" s="227"/>
      <c r="AR8" s="1380">
        <v>1</v>
      </c>
      <c r="AS8" s="1383" t="s">
        <v>24</v>
      </c>
      <c r="AT8" s="666"/>
      <c r="AU8" s="1181"/>
      <c r="AV8" s="666"/>
      <c r="AW8" s="1181"/>
      <c r="AX8" s="1653"/>
      <c r="AY8" s="1377" t="s">
        <v>60</v>
      </c>
      <c r="AZ8" s="1653"/>
      <c r="BA8" s="1377" t="s">
        <v>60</v>
      </c>
      <c r="BB8" s="1270"/>
      <c r="BC8" s="7684" t="s">
        <v>676</v>
      </c>
      <c r="BE8" s="424"/>
      <c r="BF8" s="424" t="str">
        <f t="shared" si="0"/>
        <v/>
      </c>
      <c r="BG8" s="424"/>
      <c r="BH8" s="424"/>
    </row>
    <row r="9" spans="1:60" ht="11.25" hidden="1" customHeight="1">
      <c r="A9" s="1284"/>
      <c r="B9" s="1284"/>
      <c r="C9" s="1284"/>
      <c r="D9" s="1284"/>
      <c r="E9" s="7690"/>
      <c r="F9" s="7690"/>
      <c r="G9" s="7690"/>
      <c r="H9" s="7690"/>
      <c r="I9" s="7710"/>
      <c r="J9" s="7710"/>
      <c r="K9" s="7687"/>
      <c r="L9" s="1285"/>
      <c r="P9" s="7688"/>
      <c r="Q9" s="7688"/>
      <c r="R9" s="7745"/>
      <c r="S9" s="7740"/>
      <c r="T9" s="7759"/>
      <c r="U9" s="214"/>
      <c r="V9" s="1314"/>
      <c r="W9" s="1411"/>
      <c r="X9" s="1314"/>
      <c r="Y9" s="1411"/>
      <c r="Z9" s="1314"/>
      <c r="AA9" s="1314"/>
      <c r="AB9" s="1314"/>
      <c r="AC9" s="1314"/>
      <c r="AD9" s="7615"/>
      <c r="AE9" s="7725"/>
      <c r="AF9" s="7644"/>
      <c r="AG9" s="7762"/>
      <c r="AH9" s="7540"/>
      <c r="AI9" s="7725"/>
      <c r="AJ9" s="7644"/>
      <c r="AK9" s="7761"/>
      <c r="AL9" s="7540"/>
      <c r="AM9" s="7639"/>
      <c r="AN9" s="7644"/>
      <c r="AO9" s="7755"/>
      <c r="AP9" s="7757"/>
      <c r="AQ9" s="234"/>
      <c r="AR9" s="345"/>
      <c r="AS9" s="345" t="s">
        <v>677</v>
      </c>
      <c r="AT9" s="1314"/>
      <c r="AU9" s="1411"/>
      <c r="AV9" s="1314"/>
      <c r="AW9" s="1411"/>
      <c r="AX9" s="1314"/>
      <c r="AY9" s="1314"/>
      <c r="AZ9" s="1314"/>
      <c r="BA9" s="1314"/>
      <c r="BB9" s="1318"/>
      <c r="BC9" s="7685"/>
      <c r="BE9" s="424"/>
      <c r="BF9" s="424"/>
      <c r="BG9" s="424"/>
      <c r="BH9" s="424"/>
    </row>
    <row r="10" spans="1:60" ht="11.25" hidden="1" customHeight="1">
      <c r="A10" s="1284"/>
      <c r="B10" s="1284"/>
      <c r="C10" s="1284"/>
      <c r="D10" s="1284"/>
      <c r="E10" s="7690"/>
      <c r="F10" s="7690"/>
      <c r="G10" s="7690"/>
      <c r="H10" s="7690"/>
      <c r="I10" s="7710"/>
      <c r="J10" s="7710"/>
      <c r="K10" s="7687"/>
      <c r="L10" s="1285"/>
      <c r="P10" s="7688"/>
      <c r="Q10" s="7688"/>
      <c r="R10" s="7745"/>
      <c r="S10" s="7740"/>
      <c r="T10" s="7759"/>
      <c r="U10" s="214"/>
      <c r="V10" s="1314"/>
      <c r="W10" s="1411"/>
      <c r="X10" s="1314"/>
      <c r="Y10" s="1411"/>
      <c r="Z10" s="1314"/>
      <c r="AA10" s="1314"/>
      <c r="AB10" s="1314"/>
      <c r="AC10" s="1314"/>
      <c r="AD10" s="7615"/>
      <c r="AE10" s="7725"/>
      <c r="AF10" s="7644"/>
      <c r="AG10" s="7762"/>
      <c r="AH10" s="7540"/>
      <c r="AI10" s="7725"/>
      <c r="AJ10" s="7644"/>
      <c r="AK10" s="7761"/>
      <c r="AL10" s="7540"/>
      <c r="AM10" s="234"/>
      <c r="AN10" s="1415"/>
      <c r="AO10" s="1415" t="s">
        <v>678</v>
      </c>
      <c r="AP10" s="345"/>
      <c r="AQ10" s="345"/>
      <c r="AR10" s="345"/>
      <c r="AS10" s="1314"/>
      <c r="AT10" s="1314"/>
      <c r="AU10" s="1411"/>
      <c r="AV10" s="1314"/>
      <c r="AW10" s="1411"/>
      <c r="AX10" s="1314"/>
      <c r="AY10" s="1314"/>
      <c r="AZ10" s="1314"/>
      <c r="BA10" s="1314"/>
      <c r="BB10" s="1318"/>
      <c r="BC10" s="7685"/>
      <c r="BE10" s="424"/>
      <c r="BF10" s="424"/>
      <c r="BG10" s="424"/>
      <c r="BH10" s="424"/>
    </row>
    <row r="11" spans="1:60" ht="11.25" hidden="1" customHeight="1">
      <c r="A11" s="1284"/>
      <c r="B11" s="1284"/>
      <c r="C11" s="1284"/>
      <c r="D11" s="1284"/>
      <c r="E11" s="7690"/>
      <c r="F11" s="7690"/>
      <c r="G11" s="7690"/>
      <c r="H11" s="7690"/>
      <c r="I11" s="7710"/>
      <c r="J11" s="7710"/>
      <c r="K11" s="7687"/>
      <c r="L11" s="1285"/>
      <c r="P11" s="7688"/>
      <c r="Q11" s="7688"/>
      <c r="R11" s="7745"/>
      <c r="S11" s="7740"/>
      <c r="T11" s="7759"/>
      <c r="U11" s="214"/>
      <c r="V11" s="1314"/>
      <c r="W11" s="1411"/>
      <c r="X11" s="1314"/>
      <c r="Y11" s="1411"/>
      <c r="Z11" s="1314"/>
      <c r="AA11" s="1314"/>
      <c r="AB11" s="1314"/>
      <c r="AC11" s="1314"/>
      <c r="AD11" s="7615"/>
      <c r="AE11" s="7725"/>
      <c r="AF11" s="7644"/>
      <c r="AG11" s="7762"/>
      <c r="AH11" s="7540"/>
      <c r="AI11" s="208"/>
      <c r="AJ11" s="344"/>
      <c r="AK11" s="229" t="s">
        <v>679</v>
      </c>
      <c r="AL11" s="1314"/>
      <c r="AM11" s="1314"/>
      <c r="AN11" s="1314"/>
      <c r="AO11" s="1314"/>
      <c r="AP11" s="1314"/>
      <c r="AQ11" s="1314"/>
      <c r="AR11" s="1314"/>
      <c r="AS11" s="1314"/>
      <c r="AT11" s="1314"/>
      <c r="AU11" s="1411"/>
      <c r="AV11" s="1314"/>
      <c r="AW11" s="1411"/>
      <c r="AX11" s="1314"/>
      <c r="AY11" s="1314"/>
      <c r="AZ11" s="1314"/>
      <c r="BA11" s="1314"/>
      <c r="BB11" s="1318"/>
      <c r="BC11" s="7685"/>
      <c r="BE11" s="424"/>
      <c r="BF11" s="424"/>
      <c r="BG11" s="424"/>
      <c r="BH11" s="424"/>
    </row>
    <row r="12" spans="1:60" ht="11.25" hidden="1" customHeight="1">
      <c r="A12" s="1284"/>
      <c r="B12" s="1284"/>
      <c r="C12" s="1284"/>
      <c r="D12" s="1284"/>
      <c r="E12" s="7690"/>
      <c r="F12" s="7690"/>
      <c r="G12" s="7690"/>
      <c r="H12" s="7690"/>
      <c r="I12" s="7710"/>
      <c r="J12" s="7710"/>
      <c r="K12" s="7687"/>
      <c r="L12" s="1285"/>
      <c r="P12" s="7688"/>
      <c r="Q12" s="7688"/>
      <c r="R12" s="7745"/>
      <c r="S12" s="7741"/>
      <c r="T12" s="7760"/>
      <c r="U12" s="214"/>
      <c r="V12" s="1314"/>
      <c r="W12" s="1315" t="str">
        <f>Z8&amp;"-"&amp;AB8</f>
        <v>-</v>
      </c>
      <c r="X12" s="1314"/>
      <c r="Y12" s="1315" t="str">
        <f>AB8&amp;"-"&amp;AD8</f>
        <v>-да</v>
      </c>
      <c r="Z12" s="1314"/>
      <c r="AA12" s="1314"/>
      <c r="AB12" s="1314"/>
      <c r="AC12" s="1314"/>
      <c r="AD12" s="7545"/>
      <c r="AE12" s="228"/>
      <c r="AF12" s="230"/>
      <c r="AG12" s="345" t="s">
        <v>680</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7685"/>
      <c r="BE12" s="424"/>
      <c r="BF12" s="424" t="str">
        <f t="shared" ref="BF12:BF18" si="1">IF(T12="","",T12)</f>
        <v/>
      </c>
      <c r="BG12" s="424"/>
      <c r="BH12" s="424"/>
    </row>
    <row r="13" spans="1:60" ht="11.25" hidden="1" customHeight="1">
      <c r="A13" s="1284"/>
      <c r="B13" s="1284"/>
      <c r="C13" s="1284"/>
      <c r="D13" s="1284"/>
      <c r="E13" s="7690"/>
      <c r="F13" s="7690"/>
      <c r="G13" s="7690"/>
      <c r="H13" s="7690"/>
      <c r="I13" s="7710"/>
      <c r="J13" s="7687"/>
      <c r="K13" s="1284"/>
      <c r="L13" s="1285"/>
      <c r="P13" s="7688"/>
      <c r="Q13" s="7688"/>
      <c r="R13" s="277"/>
      <c r="S13" s="1203"/>
      <c r="T13" s="202" t="s">
        <v>640</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7686"/>
      <c r="BE13" s="424"/>
      <c r="BF13" s="424" t="str">
        <f t="shared" si="1"/>
        <v>Добавить строку</v>
      </c>
      <c r="BG13" s="424"/>
      <c r="BH13" s="424"/>
    </row>
    <row r="14" spans="1:60" s="1562" customFormat="1" ht="14.25" hidden="1" customHeight="1">
      <c r="A14" s="1265"/>
      <c r="B14" s="1265"/>
      <c r="C14" s="1265"/>
      <c r="D14" s="1265"/>
      <c r="E14" s="7690"/>
      <c r="F14" s="7690"/>
      <c r="G14" s="7690"/>
      <c r="H14" s="7690"/>
      <c r="I14" s="7687"/>
      <c r="J14" s="1265"/>
      <c r="K14" s="1265"/>
      <c r="L14" s="1268"/>
      <c r="M14" s="434"/>
      <c r="N14" s="434"/>
      <c r="O14" s="434"/>
      <c r="P14" s="7688"/>
      <c r="Q14" s="1379"/>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7690"/>
      <c r="F15" s="7690"/>
      <c r="G15" s="7690"/>
      <c r="H15" s="7689"/>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7690"/>
      <c r="F16" s="7690"/>
      <c r="G16" s="7689"/>
      <c r="H16" s="1237"/>
      <c r="I16" s="1237"/>
      <c r="J16" s="1237"/>
      <c r="K16" s="1237"/>
      <c r="L16" s="1381"/>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7690"/>
      <c r="F17" s="7689"/>
      <c r="G17" s="1237"/>
      <c r="H17" s="1237"/>
      <c r="I17" s="1237"/>
      <c r="J17" s="1237"/>
      <c r="K17" s="1237"/>
      <c r="L17" s="1381"/>
      <c r="M17" s="1244"/>
      <c r="N17" s="1244"/>
      <c r="P17" s="1239"/>
      <c r="Q17" s="1240"/>
      <c r="R17" s="1239"/>
      <c r="S17" s="1245"/>
      <c r="T17" s="1248" t="s">
        <v>325</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7689"/>
      <c r="F18" s="1265"/>
      <c r="G18" s="1265"/>
      <c r="H18" s="1265"/>
      <c r="I18" s="1265"/>
      <c r="J18" s="1265"/>
      <c r="K18" s="1265"/>
      <c r="L18" s="1268"/>
      <c r="M18" s="1244"/>
      <c r="N18" s="1244"/>
      <c r="O18" s="442"/>
      <c r="P18" s="308"/>
      <c r="Q18" s="1266"/>
      <c r="R18" s="308"/>
      <c r="S18" s="1245"/>
      <c r="T18" s="1248" t="s">
        <v>326</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55</v>
      </c>
      <c r="AE20" s="1416"/>
      <c r="AF20" s="471">
        <v>1</v>
      </c>
      <c r="AG20" s="1417"/>
      <c r="AH20" s="1247" t="s">
        <v>55</v>
      </c>
      <c r="AI20" s="1416"/>
      <c r="AJ20" s="471">
        <v>1</v>
      </c>
      <c r="AK20" s="1417"/>
      <c r="AL20" s="1247" t="s">
        <v>55</v>
      </c>
      <c r="AM20" s="1418"/>
      <c r="AN20" s="471">
        <v>1</v>
      </c>
      <c r="AO20" s="1419"/>
      <c r="AP20" s="1247" t="s">
        <v>55</v>
      </c>
      <c r="AQ20" s="1418"/>
      <c r="AR20" s="471">
        <v>1</v>
      </c>
      <c r="AS20" s="1419"/>
      <c r="AT20" s="246"/>
      <c r="AU20" s="313"/>
      <c r="AV20" s="246"/>
      <c r="AW20" s="313"/>
      <c r="AX20" s="1655"/>
      <c r="AY20" s="1378" t="s">
        <v>60</v>
      </c>
      <c r="AZ20" s="1655"/>
      <c r="BA20" s="1378" t="s">
        <v>60</v>
      </c>
    </row>
    <row r="21" spans="1:60" ht="14.25" hidden="1" customHeight="1">
      <c r="BD21" s="420"/>
      <c r="BE21" s="420"/>
      <c r="BF21" s="420"/>
      <c r="BG21" s="420"/>
      <c r="BH21" s="420"/>
    </row>
    <row r="22" spans="1:60" ht="14.25" hidden="1" customHeight="1">
      <c r="O22" s="1288" t="s">
        <v>591</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592</v>
      </c>
      <c r="P24" s="1423"/>
      <c r="Q24" s="1425"/>
      <c r="R24" s="1425"/>
      <c r="AA24" s="1422" t="s">
        <v>594</v>
      </c>
      <c r="AC24" s="1422" t="s">
        <v>595</v>
      </c>
      <c r="AD24" s="1422" t="s">
        <v>641</v>
      </c>
      <c r="AH24" s="1422" t="s">
        <v>641</v>
      </c>
      <c r="AK24" s="1422" t="s">
        <v>681</v>
      </c>
      <c r="AL24" s="1422" t="s">
        <v>641</v>
      </c>
      <c r="AP24" s="1422" t="s">
        <v>641</v>
      </c>
      <c r="AY24" s="1422" t="s">
        <v>594</v>
      </c>
      <c r="BA24" s="1422" t="s">
        <v>595</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767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7673"/>
      <c r="U28" s="7673"/>
      <c r="V28" s="7673"/>
      <c r="W28" s="7673"/>
      <c r="X28" s="7673"/>
      <c r="Y28" s="7673"/>
      <c r="Z28" s="7673"/>
      <c r="AA28" s="7673"/>
      <c r="AB28" s="7673"/>
      <c r="AC28" s="7673"/>
      <c r="AD28" s="7673"/>
      <c r="AE28" s="7673"/>
      <c r="AF28" s="7673"/>
      <c r="AG28" s="7673"/>
      <c r="AH28" s="7673"/>
      <c r="AI28" s="7673"/>
      <c r="AJ28" s="7673"/>
      <c r="AK28" s="7673"/>
      <c r="AL28" s="7673"/>
      <c r="AM28" s="7673"/>
      <c r="AN28" s="7673"/>
      <c r="AO28" s="7673"/>
      <c r="AP28" s="7673"/>
      <c r="AQ28" s="7673"/>
      <c r="AR28" s="7673"/>
      <c r="AS28" s="7673"/>
      <c r="AT28" s="7673"/>
      <c r="AU28" s="7673"/>
      <c r="AV28" s="7673"/>
      <c r="AW28" s="7673"/>
      <c r="AX28" s="7673"/>
      <c r="AY28" s="7673"/>
      <c r="AZ28" s="7673"/>
      <c r="BA28" s="1157"/>
    </row>
    <row r="29" spans="1:60" ht="14.25" customHeight="1">
      <c r="Q29" s="206"/>
      <c r="R29" s="300"/>
      <c r="S29" s="7620" t="str">
        <f>IF(org=0,"Не определено",org)</f>
        <v>ГУП СК "Ставрополькрайводоканал"</v>
      </c>
      <c r="T29" s="7620"/>
      <c r="U29" s="7620"/>
      <c r="V29" s="7620"/>
      <c r="W29" s="7620"/>
      <c r="X29" s="7620"/>
      <c r="Y29" s="7620"/>
      <c r="Z29" s="7620"/>
      <c r="AA29" s="7620"/>
      <c r="AB29" s="7620"/>
      <c r="AC29" s="7620"/>
      <c r="AD29" s="7620"/>
      <c r="AE29" s="7620"/>
      <c r="AF29" s="7620"/>
      <c r="AG29" s="7620"/>
      <c r="AH29" s="7620"/>
      <c r="AI29" s="7620"/>
      <c r="AJ29" s="7620"/>
      <c r="AK29" s="7620"/>
      <c r="AL29" s="7620"/>
      <c r="AM29" s="7620"/>
      <c r="AN29" s="7620"/>
      <c r="AO29" s="7620"/>
      <c r="AP29" s="7620"/>
      <c r="AQ29" s="7620"/>
      <c r="AR29" s="7620"/>
      <c r="AS29" s="7620"/>
      <c r="AT29" s="7620"/>
      <c r="AU29" s="7620"/>
      <c r="AV29" s="7620"/>
      <c r="AW29" s="7620"/>
      <c r="AX29" s="7620"/>
      <c r="AY29" s="7620"/>
      <c r="AZ29" s="7620"/>
      <c r="BA29" s="1157"/>
    </row>
    <row r="30" spans="1:60" ht="14.25"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customHeight="1">
      <c r="A31" s="1289"/>
      <c r="B31" s="1289"/>
      <c r="C31" s="1289"/>
      <c r="D31" s="1289"/>
      <c r="E31" s="1289"/>
      <c r="F31" s="1289"/>
      <c r="G31" s="1289"/>
      <c r="H31" s="1289"/>
      <c r="I31" s="1289"/>
      <c r="J31" s="1289"/>
      <c r="K31" s="1289"/>
      <c r="L31" s="1290"/>
      <c r="M31" s="1289"/>
      <c r="N31" s="1289"/>
      <c r="O31" s="1289"/>
      <c r="P31" s="1289"/>
      <c r="Q31" s="1289"/>
      <c r="S31" s="7681" t="s">
        <v>38</v>
      </c>
      <c r="T31" s="7681"/>
      <c r="U31" s="1293"/>
      <c r="V31" s="7682" t="str">
        <f>IF(TITLE_NAME_OR_PR_CHANGE="",IF(TITLE_NAME_OR_PR="","",TITLE_NAME_OR_PR),TITLE_NAME_OR_PR_CHANGE)</f>
        <v>Региональная тарифная комиссия Ставропольского края</v>
      </c>
      <c r="W31" s="7682"/>
      <c r="X31" s="7682"/>
      <c r="Y31" s="7682"/>
      <c r="Z31" s="7682"/>
      <c r="AA31" s="7682"/>
      <c r="AB31" s="7682"/>
      <c r="AC31" s="248"/>
      <c r="AD31" s="7682" t="str">
        <f>IF(TITLE_NAME_OR_PR_CHANGE="",IF(TITLE_NAME_OR_PR="","",TITLE_NAME_OR_PR),TITLE_NAME_OR_PR_CHANGE)</f>
        <v>Региональная тарифная комиссия Ставропольского края</v>
      </c>
      <c r="AE31" s="7682"/>
      <c r="AF31" s="7682"/>
      <c r="AG31" s="7682"/>
      <c r="AH31" s="7682"/>
      <c r="AI31" s="7682"/>
      <c r="AJ31" s="7682"/>
      <c r="AK31" s="7682"/>
      <c r="AL31" s="7682"/>
      <c r="AM31" s="7682"/>
      <c r="AN31" s="7682"/>
      <c r="AO31" s="7682"/>
      <c r="AP31" s="7682"/>
      <c r="AQ31" s="7682"/>
      <c r="AR31" s="7682"/>
      <c r="AS31" s="7682"/>
      <c r="AT31" s="7682"/>
      <c r="AU31" s="7682"/>
      <c r="AV31" s="7682"/>
      <c r="AW31" s="7682"/>
      <c r="AX31" s="7682"/>
      <c r="AY31" s="7682"/>
      <c r="AZ31" s="7682"/>
      <c r="BA31" s="248"/>
      <c r="BB31" s="248"/>
      <c r="BC31" s="196"/>
      <c r="BD31" s="292"/>
      <c r="BE31" s="292"/>
      <c r="BF31" s="292"/>
      <c r="BG31" s="292"/>
      <c r="BH31" s="292"/>
    </row>
    <row r="32" spans="1:60" s="1771" customFormat="1" ht="18.75" customHeight="1">
      <c r="A32" s="1289"/>
      <c r="B32" s="1289"/>
      <c r="C32" s="1289"/>
      <c r="D32" s="1289"/>
      <c r="E32" s="1289"/>
      <c r="F32" s="1289"/>
      <c r="G32" s="1289"/>
      <c r="H32" s="1289"/>
      <c r="I32" s="1289"/>
      <c r="J32" s="1289"/>
      <c r="K32" s="1289"/>
      <c r="L32" s="1290"/>
      <c r="M32" s="1289"/>
      <c r="N32" s="1289"/>
      <c r="O32" s="1289"/>
      <c r="P32" s="1289"/>
      <c r="Q32" s="1289"/>
      <c r="S32" s="7681" t="s">
        <v>597</v>
      </c>
      <c r="T32" s="7681"/>
      <c r="U32" s="1293"/>
      <c r="V32" s="7691">
        <f>IF(TITLE_DATE_PR_CHANGE="",IF(TITLE_DATE_PR="","",TITLE_DATE_PR),TITLE_DATE_PR_CHANGE)</f>
        <v>45278</v>
      </c>
      <c r="W32" s="7691"/>
      <c r="X32" s="7691"/>
      <c r="Y32" s="7691"/>
      <c r="Z32" s="7691"/>
      <c r="AA32" s="7691"/>
      <c r="AB32" s="7691"/>
      <c r="AC32" s="248"/>
      <c r="AD32" s="7691">
        <f>IF(TITLE_DATE_PR_CHANGE="",IF(TITLE_DATE_PR="","",TITLE_DATE_PR),TITLE_DATE_PR_CHANGE)</f>
        <v>45278</v>
      </c>
      <c r="AE32" s="7691"/>
      <c r="AF32" s="7691"/>
      <c r="AG32" s="7691"/>
      <c r="AH32" s="7691"/>
      <c r="AI32" s="7691"/>
      <c r="AJ32" s="7691"/>
      <c r="AK32" s="7691"/>
      <c r="AL32" s="7691"/>
      <c r="AM32" s="7691"/>
      <c r="AN32" s="7691"/>
      <c r="AO32" s="7691"/>
      <c r="AP32" s="7691"/>
      <c r="AQ32" s="7691"/>
      <c r="AR32" s="7691"/>
      <c r="AS32" s="7691"/>
      <c r="AT32" s="7691"/>
      <c r="AU32" s="7691"/>
      <c r="AV32" s="7691"/>
      <c r="AW32" s="7691"/>
      <c r="AX32" s="7691"/>
      <c r="AY32" s="7691"/>
      <c r="AZ32" s="7691"/>
      <c r="BA32" s="248"/>
      <c r="BB32" s="248"/>
      <c r="BC32" s="196"/>
      <c r="BD32" s="292"/>
      <c r="BE32" s="292"/>
      <c r="BF32" s="292"/>
      <c r="BG32" s="292"/>
      <c r="BH32" s="292"/>
    </row>
    <row r="33" spans="1:60" s="1771" customFormat="1" ht="18.75" customHeight="1">
      <c r="A33" s="1289"/>
      <c r="B33" s="1289"/>
      <c r="C33" s="1289"/>
      <c r="D33" s="1289"/>
      <c r="E33" s="1289"/>
      <c r="F33" s="1289"/>
      <c r="G33" s="1289"/>
      <c r="H33" s="1289"/>
      <c r="I33" s="1289"/>
      <c r="J33" s="1289"/>
      <c r="K33" s="1289"/>
      <c r="L33" s="1290"/>
      <c r="M33" s="1289"/>
      <c r="N33" s="1289"/>
      <c r="O33" s="1289"/>
      <c r="P33" s="1289"/>
      <c r="Q33" s="1289"/>
      <c r="S33" s="7681" t="s">
        <v>598</v>
      </c>
      <c r="T33" s="7681"/>
      <c r="U33" s="1293"/>
      <c r="V33" s="7682" t="str">
        <f>IF(TITLE_NUMBER_PR_CHANGE="",IF(TITLE_NUMBER_PR="","",TITLE_NUMBER_PR),TITLE_NUMBER_PR_CHANGE)</f>
        <v>79/2</v>
      </c>
      <c r="W33" s="7682"/>
      <c r="X33" s="7682"/>
      <c r="Y33" s="7682"/>
      <c r="Z33" s="7682"/>
      <c r="AA33" s="7682"/>
      <c r="AB33" s="7682"/>
      <c r="AC33" s="248"/>
      <c r="AD33" s="7682" t="str">
        <f>IF(TITLE_NUMBER_PR_CHANGE="",IF(TITLE_NUMBER_PR="","",TITLE_NUMBER_PR),TITLE_NUMBER_PR_CHANGE)</f>
        <v>79/2</v>
      </c>
      <c r="AE33" s="7682"/>
      <c r="AF33" s="7682"/>
      <c r="AG33" s="7682"/>
      <c r="AH33" s="7682"/>
      <c r="AI33" s="7682"/>
      <c r="AJ33" s="7682"/>
      <c r="AK33" s="7682"/>
      <c r="AL33" s="7682"/>
      <c r="AM33" s="7682"/>
      <c r="AN33" s="7682"/>
      <c r="AO33" s="7682"/>
      <c r="AP33" s="7682"/>
      <c r="AQ33" s="7682"/>
      <c r="AR33" s="7682"/>
      <c r="AS33" s="7682"/>
      <c r="AT33" s="7682"/>
      <c r="AU33" s="7682"/>
      <c r="AV33" s="7682"/>
      <c r="AW33" s="7682"/>
      <c r="AX33" s="7682"/>
      <c r="AY33" s="7682"/>
      <c r="AZ33" s="7682"/>
      <c r="BA33" s="248"/>
      <c r="BB33" s="248"/>
      <c r="BC33" s="196"/>
      <c r="BD33" s="292"/>
      <c r="BE33" s="292"/>
      <c r="BF33" s="292"/>
      <c r="BG33" s="292"/>
      <c r="BH33" s="292"/>
    </row>
    <row r="34" spans="1:60" s="1771" customFormat="1" ht="18.75" customHeight="1">
      <c r="A34" s="1289"/>
      <c r="B34" s="1289"/>
      <c r="C34" s="1289"/>
      <c r="D34" s="1289"/>
      <c r="E34" s="1289"/>
      <c r="F34" s="1289"/>
      <c r="G34" s="1289"/>
      <c r="H34" s="1289"/>
      <c r="I34" s="1289"/>
      <c r="J34" s="1289"/>
      <c r="K34" s="1289"/>
      <c r="L34" s="1290"/>
      <c r="M34" s="1289"/>
      <c r="N34" s="1289"/>
      <c r="O34" s="1289"/>
      <c r="P34" s="1289"/>
      <c r="Q34" s="1289"/>
      <c r="S34" s="7681" t="s">
        <v>40</v>
      </c>
      <c r="T34" s="7681"/>
      <c r="U34" s="1293"/>
      <c r="V34" s="7682" t="str">
        <f>IF(TITLE_IST_PUB_CHANGE="",IF(TITLE_IST_PUB="","",TITLE_IST_PUB),TITLE_IST_PUB_CHANGE)</f>
        <v>http://pravo.stavregion.ru/</v>
      </c>
      <c r="W34" s="7682"/>
      <c r="X34" s="7682"/>
      <c r="Y34" s="7682"/>
      <c r="Z34" s="7682"/>
      <c r="AA34" s="7682"/>
      <c r="AB34" s="7682"/>
      <c r="AC34" s="248"/>
      <c r="AD34" s="7682" t="str">
        <f>IF(TITLE_IST_PUB_CHANGE="",IF(TITLE_IST_PUB="","",TITLE_IST_PUB),TITLE_IST_PUB_CHANGE)</f>
        <v>http://pravo.stavregion.ru/</v>
      </c>
      <c r="AE34" s="7682"/>
      <c r="AF34" s="7682"/>
      <c r="AG34" s="7682"/>
      <c r="AH34" s="7682"/>
      <c r="AI34" s="7682"/>
      <c r="AJ34" s="7682"/>
      <c r="AK34" s="7682"/>
      <c r="AL34" s="7682"/>
      <c r="AM34" s="7682"/>
      <c r="AN34" s="7682"/>
      <c r="AO34" s="7682"/>
      <c r="AP34" s="7682"/>
      <c r="AQ34" s="7682"/>
      <c r="AR34" s="7682"/>
      <c r="AS34" s="7682"/>
      <c r="AT34" s="7682"/>
      <c r="AU34" s="7682"/>
      <c r="AV34" s="7682"/>
      <c r="AW34" s="7682"/>
      <c r="AX34" s="7682"/>
      <c r="AY34" s="7682"/>
      <c r="AZ34" s="7682"/>
      <c r="BA34" s="248"/>
      <c r="BB34" s="248"/>
      <c r="BC34" s="196"/>
      <c r="BD34" s="292"/>
      <c r="BE34" s="292"/>
      <c r="BF34" s="292"/>
      <c r="BG34" s="292"/>
      <c r="BH34" s="292"/>
    </row>
    <row r="35" spans="1:60" ht="14.25" hidden="1"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7681" t="s">
        <v>597</v>
      </c>
      <c r="T36" s="7681"/>
      <c r="U36" s="1293"/>
      <c r="V36" s="7691">
        <f>IF(TITLE_DATE_PR_CHANGE="",IF(TITLE_DATE_PR="","",TITLE_DATE_PR),TITLE_DATE_PR_CHANGE)</f>
        <v>45278</v>
      </c>
      <c r="W36" s="7691"/>
      <c r="X36" s="7691"/>
      <c r="Y36" s="7691"/>
      <c r="Z36" s="7691"/>
      <c r="AA36" s="7691"/>
      <c r="AB36" s="7691"/>
      <c r="AC36" s="248"/>
      <c r="AD36" s="7691">
        <f>IF(TITLE_DATE_PR_CHANGE="",IF(TITLE_DATE_PR="","",TITLE_DATE_PR),TITLE_DATE_PR_CHANGE)</f>
        <v>45278</v>
      </c>
      <c r="AE36" s="7691"/>
      <c r="AF36" s="7691"/>
      <c r="AG36" s="7691"/>
      <c r="AH36" s="7691"/>
      <c r="AI36" s="7691"/>
      <c r="AJ36" s="7691"/>
      <c r="AK36" s="7691"/>
      <c r="AL36" s="7691"/>
      <c r="AM36" s="7691"/>
      <c r="AN36" s="7691"/>
      <c r="AO36" s="7691"/>
      <c r="AP36" s="7691"/>
      <c r="AQ36" s="7691"/>
      <c r="AR36" s="7691"/>
      <c r="AS36" s="7691"/>
      <c r="AT36" s="7691"/>
      <c r="AU36" s="7691"/>
      <c r="AV36" s="7691"/>
      <c r="AW36" s="7691"/>
      <c r="AX36" s="7691"/>
      <c r="AY36" s="7691"/>
      <c r="AZ36" s="7691"/>
      <c r="BA36" s="248"/>
      <c r="BB36" s="248"/>
      <c r="BC36" s="196"/>
      <c r="BD36" s="292"/>
      <c r="BE36" s="292"/>
      <c r="BF36" s="292"/>
      <c r="BG36" s="292"/>
      <c r="BH36" s="292"/>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7681" t="s">
        <v>598</v>
      </c>
      <c r="T37" s="7681"/>
      <c r="U37" s="1293"/>
      <c r="V37" s="7682" t="str">
        <f>IF(TITLE_NUMBER_PR_CHANGE="",IF(TITLE_NUMBER_PR="","",TITLE_NUMBER_PR),TITLE_NUMBER_PR_CHANGE)</f>
        <v>79/2</v>
      </c>
      <c r="W37" s="7682"/>
      <c r="X37" s="7682"/>
      <c r="Y37" s="7682"/>
      <c r="Z37" s="7682"/>
      <c r="AA37" s="7682"/>
      <c r="AB37" s="7682"/>
      <c r="AC37" s="248"/>
      <c r="AD37" s="7682" t="str">
        <f>IF(TITLE_NUMBER_PR_CHANGE="",IF(TITLE_NUMBER_PR="","",TITLE_NUMBER_PR),TITLE_NUMBER_PR_CHANGE)</f>
        <v>79/2</v>
      </c>
      <c r="AE37" s="7682"/>
      <c r="AF37" s="7682"/>
      <c r="AG37" s="7682"/>
      <c r="AH37" s="7682"/>
      <c r="AI37" s="7682"/>
      <c r="AJ37" s="7682"/>
      <c r="AK37" s="7682"/>
      <c r="AL37" s="7682"/>
      <c r="AM37" s="7682"/>
      <c r="AN37" s="7682"/>
      <c r="AO37" s="7682"/>
      <c r="AP37" s="7682"/>
      <c r="AQ37" s="7682"/>
      <c r="AR37" s="7682"/>
      <c r="AS37" s="7682"/>
      <c r="AT37" s="7682"/>
      <c r="AU37" s="7682"/>
      <c r="AV37" s="7682"/>
      <c r="AW37" s="7682"/>
      <c r="AX37" s="7682"/>
      <c r="AY37" s="7682"/>
      <c r="AZ37" s="7682"/>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372"/>
      <c r="V38" s="248"/>
      <c r="W38" s="248"/>
      <c r="X38" s="248"/>
      <c r="Y38" s="248"/>
      <c r="Z38" s="248"/>
      <c r="AA38" s="248"/>
      <c r="AB38" s="248"/>
      <c r="AC38" s="194" t="s">
        <v>601</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601</v>
      </c>
      <c r="BD38" s="292"/>
      <c r="BE38" s="292"/>
      <c r="BF38" s="292"/>
      <c r="BG38" s="292"/>
      <c r="BH38" s="292"/>
    </row>
    <row r="39" spans="1:60" ht="14.25" customHeight="1">
      <c r="Q39" s="206"/>
      <c r="R39" s="300"/>
      <c r="S39" s="1200"/>
      <c r="T39" s="286"/>
      <c r="U39" s="1158"/>
      <c r="V39" s="7683"/>
      <c r="W39" s="7683"/>
      <c r="X39" s="7683"/>
      <c r="Y39" s="7683"/>
      <c r="Z39" s="7683"/>
      <c r="AA39" s="7683"/>
      <c r="AB39" s="7683"/>
      <c r="AC39" s="7683"/>
      <c r="AD39" s="7683"/>
      <c r="AE39" s="7683"/>
      <c r="AF39" s="7683"/>
      <c r="AG39" s="7683"/>
      <c r="AH39" s="7683"/>
      <c r="AI39" s="7683"/>
      <c r="AJ39" s="7683"/>
      <c r="AK39" s="7683"/>
      <c r="AL39" s="7683"/>
      <c r="AM39" s="7683"/>
      <c r="AN39" s="7683"/>
      <c r="AO39" s="7683"/>
      <c r="AP39" s="7683"/>
      <c r="AQ39" s="7683"/>
      <c r="AR39" s="7683"/>
      <c r="AS39" s="7683"/>
      <c r="AT39" s="7683"/>
      <c r="AU39" s="7683"/>
      <c r="AV39" s="7683"/>
      <c r="AW39" s="7683"/>
      <c r="AX39" s="7683"/>
      <c r="AY39" s="7683"/>
      <c r="AZ39" s="7683"/>
      <c r="BA39" s="7683"/>
    </row>
    <row r="40" spans="1:60" ht="14.25" customHeight="1">
      <c r="Q40" s="206"/>
      <c r="R40" s="300"/>
      <c r="S40" s="7559" t="s">
        <v>474</v>
      </c>
      <c r="T40" s="7559"/>
      <c r="U40" s="7559"/>
      <c r="V40" s="7559"/>
      <c r="W40" s="7559"/>
      <c r="X40" s="7559"/>
      <c r="Y40" s="7559"/>
      <c r="Z40" s="7559"/>
      <c r="AA40" s="7559"/>
      <c r="AB40" s="7559"/>
      <c r="AC40" s="7559"/>
      <c r="AD40" s="7559"/>
      <c r="AE40" s="7559"/>
      <c r="AF40" s="7559"/>
      <c r="AG40" s="7559"/>
      <c r="AH40" s="7559"/>
      <c r="AI40" s="7559"/>
      <c r="AJ40" s="7559"/>
      <c r="AK40" s="7559"/>
      <c r="AL40" s="7559"/>
      <c r="AM40" s="7559"/>
      <c r="AN40" s="7559"/>
      <c r="AO40" s="7559"/>
      <c r="AP40" s="7559"/>
      <c r="AQ40" s="7559"/>
      <c r="AR40" s="7559"/>
      <c r="AS40" s="7559"/>
      <c r="AT40" s="7559"/>
      <c r="AU40" s="7559"/>
      <c r="AV40" s="7559"/>
      <c r="AW40" s="7559"/>
      <c r="AX40" s="7559"/>
      <c r="AY40" s="7559"/>
      <c r="AZ40" s="7559"/>
      <c r="BA40" s="7559"/>
      <c r="BB40" s="7559"/>
      <c r="BC40" s="7559" t="s">
        <v>475</v>
      </c>
    </row>
    <row r="41" spans="1:60" ht="14.25" customHeight="1">
      <c r="Q41" s="206"/>
      <c r="R41" s="300"/>
      <c r="S41" s="7697" t="s">
        <v>86</v>
      </c>
      <c r="T41" s="7649" t="s">
        <v>682</v>
      </c>
      <c r="U41" s="215"/>
      <c r="V41" s="7698" t="s">
        <v>603</v>
      </c>
      <c r="W41" s="7699"/>
      <c r="X41" s="7699"/>
      <c r="Y41" s="7699"/>
      <c r="Z41" s="7699"/>
      <c r="AA41" s="7699"/>
      <c r="AB41" s="7700"/>
      <c r="AC41" s="7701" t="s">
        <v>604</v>
      </c>
      <c r="AD41" s="7727" t="s">
        <v>683</v>
      </c>
      <c r="AE41" s="7713"/>
      <c r="AF41" s="7713"/>
      <c r="AG41" s="7728"/>
      <c r="AH41" s="7727" t="s">
        <v>684</v>
      </c>
      <c r="AI41" s="7713"/>
      <c r="AJ41" s="7713"/>
      <c r="AK41" s="7728"/>
      <c r="AL41" s="7727" t="s">
        <v>685</v>
      </c>
      <c r="AM41" s="7713"/>
      <c r="AN41" s="7713"/>
      <c r="AO41" s="7728"/>
      <c r="AP41" s="7727" t="s">
        <v>686</v>
      </c>
      <c r="AQ41" s="7713"/>
      <c r="AR41" s="7713"/>
      <c r="AS41" s="7728"/>
      <c r="AT41" s="7698" t="s">
        <v>603</v>
      </c>
      <c r="AU41" s="7699"/>
      <c r="AV41" s="7699"/>
      <c r="AW41" s="7699"/>
      <c r="AX41" s="7699"/>
      <c r="AY41" s="7699"/>
      <c r="AZ41" s="7700"/>
      <c r="BA41" s="7701" t="s">
        <v>604</v>
      </c>
      <c r="BB41" s="7704" t="s">
        <v>606</v>
      </c>
      <c r="BC41" s="7559"/>
    </row>
    <row r="42" spans="1:60" ht="33.75" customHeight="1">
      <c r="Q42" s="206"/>
      <c r="R42" s="300"/>
      <c r="S42" s="7697"/>
      <c r="T42" s="7649"/>
      <c r="U42" s="942"/>
      <c r="V42" s="7634" t="s">
        <v>687</v>
      </c>
      <c r="W42" s="7635"/>
      <c r="X42" s="7634" t="s">
        <v>688</v>
      </c>
      <c r="Y42" s="7635"/>
      <c r="Z42" s="7634" t="s">
        <v>689</v>
      </c>
      <c r="AA42" s="7722"/>
      <c r="AB42" s="7635"/>
      <c r="AC42" s="7702"/>
      <c r="AD42" s="7729"/>
      <c r="AE42" s="7730"/>
      <c r="AF42" s="7730"/>
      <c r="AG42" s="7731"/>
      <c r="AH42" s="7729"/>
      <c r="AI42" s="7730"/>
      <c r="AJ42" s="7730"/>
      <c r="AK42" s="7731"/>
      <c r="AL42" s="7729"/>
      <c r="AM42" s="7730"/>
      <c r="AN42" s="7730"/>
      <c r="AO42" s="7731"/>
      <c r="AP42" s="7729"/>
      <c r="AQ42" s="7730"/>
      <c r="AR42" s="7730"/>
      <c r="AS42" s="7731"/>
      <c r="AT42" s="7634" t="s">
        <v>687</v>
      </c>
      <c r="AU42" s="7635"/>
      <c r="AV42" s="7634" t="s">
        <v>688</v>
      </c>
      <c r="AW42" s="7635"/>
      <c r="AX42" s="7634" t="s">
        <v>689</v>
      </c>
      <c r="AY42" s="7722"/>
      <c r="AZ42" s="7635"/>
      <c r="BA42" s="7702"/>
      <c r="BB42" s="7705"/>
      <c r="BC42" s="7559"/>
    </row>
    <row r="43" spans="1:60" ht="14.25" customHeight="1">
      <c r="Q43" s="206"/>
      <c r="R43" s="300"/>
      <c r="S43" s="7697"/>
      <c r="T43" s="7649"/>
      <c r="U43" s="942"/>
      <c r="V43" s="7639"/>
      <c r="W43" s="7640"/>
      <c r="X43" s="7639"/>
      <c r="Y43" s="7640"/>
      <c r="Z43" s="7639"/>
      <c r="AA43" s="7723"/>
      <c r="AB43" s="7640"/>
      <c r="AC43" s="7702"/>
      <c r="AD43" s="7729"/>
      <c r="AE43" s="7730"/>
      <c r="AF43" s="7730"/>
      <c r="AG43" s="7731"/>
      <c r="AH43" s="7729"/>
      <c r="AI43" s="7730"/>
      <c r="AJ43" s="7730"/>
      <c r="AK43" s="7731"/>
      <c r="AL43" s="7729"/>
      <c r="AM43" s="7730"/>
      <c r="AN43" s="7730"/>
      <c r="AO43" s="7731"/>
      <c r="AP43" s="7729"/>
      <c r="AQ43" s="7730"/>
      <c r="AR43" s="7730"/>
      <c r="AS43" s="7731"/>
      <c r="AT43" s="7639"/>
      <c r="AU43" s="7640"/>
      <c r="AV43" s="7639"/>
      <c r="AW43" s="7640"/>
      <c r="AX43" s="7639"/>
      <c r="AY43" s="7723"/>
      <c r="AZ43" s="7640"/>
      <c r="BA43" s="7702"/>
      <c r="BB43" s="7705"/>
      <c r="BC43" s="7559"/>
    </row>
    <row r="44" spans="1:60" ht="14.25" customHeight="1">
      <c r="A44" s="1291"/>
      <c r="B44" s="1291" t="s">
        <v>249</v>
      </c>
      <c r="C44" s="1291" t="s">
        <v>250</v>
      </c>
      <c r="D44" s="1291" t="s">
        <v>251</v>
      </c>
      <c r="E44" s="1285" t="s">
        <v>611</v>
      </c>
      <c r="F44" s="1285" t="s">
        <v>612</v>
      </c>
      <c r="G44" s="1285" t="s">
        <v>613</v>
      </c>
      <c r="H44" s="1285" t="s">
        <v>614</v>
      </c>
      <c r="I44" s="1285" t="s">
        <v>615</v>
      </c>
      <c r="J44" s="1285" t="s">
        <v>616</v>
      </c>
      <c r="K44" s="1285" t="s">
        <v>617</v>
      </c>
      <c r="L44" s="1285" t="s">
        <v>592</v>
      </c>
      <c r="Q44" s="206"/>
      <c r="R44" s="300"/>
      <c r="S44" s="7697"/>
      <c r="T44" s="7649"/>
      <c r="U44" s="216"/>
      <c r="V44" s="1366" t="s">
        <v>651</v>
      </c>
      <c r="W44" s="1366" t="s">
        <v>652</v>
      </c>
      <c r="X44" s="1366" t="s">
        <v>651</v>
      </c>
      <c r="Y44" s="1366" t="s">
        <v>652</v>
      </c>
      <c r="Z44" s="1373" t="s">
        <v>620</v>
      </c>
      <c r="AA44" s="7657" t="s">
        <v>621</v>
      </c>
      <c r="AB44" s="7659"/>
      <c r="AC44" s="7703"/>
      <c r="AD44" s="7732"/>
      <c r="AE44" s="7733"/>
      <c r="AF44" s="7733"/>
      <c r="AG44" s="7734"/>
      <c r="AH44" s="7732"/>
      <c r="AI44" s="7733"/>
      <c r="AJ44" s="7733"/>
      <c r="AK44" s="7734"/>
      <c r="AL44" s="7732"/>
      <c r="AM44" s="7733"/>
      <c r="AN44" s="7733"/>
      <c r="AO44" s="7734"/>
      <c r="AP44" s="7732"/>
      <c r="AQ44" s="7733"/>
      <c r="AR44" s="7733"/>
      <c r="AS44" s="7734"/>
      <c r="AT44" s="1366" t="s">
        <v>651</v>
      </c>
      <c r="AU44" s="1366" t="s">
        <v>652</v>
      </c>
      <c r="AV44" s="1366" t="s">
        <v>651</v>
      </c>
      <c r="AW44" s="1366" t="s">
        <v>652</v>
      </c>
      <c r="AX44" s="1373" t="s">
        <v>620</v>
      </c>
      <c r="AY44" s="7657" t="s">
        <v>621</v>
      </c>
      <c r="AZ44" s="7659"/>
      <c r="BA44" s="7703"/>
      <c r="BB44" s="7706"/>
      <c r="BC44" s="7559"/>
    </row>
    <row r="45" spans="1:60" s="1561" customFormat="1" ht="11.25" hidden="1" customHeight="1">
      <c r="A45" s="1291"/>
      <c r="B45" s="1291"/>
      <c r="C45" s="1291"/>
      <c r="D45" s="1291"/>
      <c r="E45" s="1291"/>
      <c r="F45" s="1291"/>
      <c r="G45" s="1291"/>
      <c r="H45" s="1291"/>
      <c r="I45" s="1291"/>
      <c r="J45" s="1291"/>
      <c r="K45" s="1291"/>
      <c r="L45" s="1285"/>
      <c r="M45" s="1283"/>
      <c r="N45" s="1283"/>
      <c r="O45" s="1283"/>
      <c r="P45" s="434"/>
      <c r="Q45" s="1176"/>
      <c r="R45" s="1176">
        <v>1</v>
      </c>
      <c r="S45" s="1202" t="s">
        <v>97</v>
      </c>
      <c r="T45" s="1177" t="s">
        <v>100</v>
      </c>
      <c r="U45" s="1159" t="str">
        <f ca="1">OFFSET(U45,0,-1)</f>
        <v>2</v>
      </c>
      <c r="V45" s="1369">
        <f t="shared" ref="V45:AA45" ca="1" si="2">OFFSET(V45,0,-1)+1</f>
        <v>3</v>
      </c>
      <c r="W45" s="1369">
        <f t="shared" ca="1" si="2"/>
        <v>4</v>
      </c>
      <c r="X45" s="1369">
        <f t="shared" ca="1" si="2"/>
        <v>5</v>
      </c>
      <c r="Y45" s="1369">
        <f t="shared" ca="1" si="2"/>
        <v>6</v>
      </c>
      <c r="Z45" s="1369">
        <f t="shared" ca="1" si="2"/>
        <v>7</v>
      </c>
      <c r="AA45" s="7696">
        <f t="shared" ca="1" si="2"/>
        <v>8</v>
      </c>
      <c r="AB45" s="7696"/>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7696">
        <f ca="1">OFFSET(AY45,0,-1)+1</f>
        <v>3</v>
      </c>
      <c r="AZ45" s="7696"/>
      <c r="BA45" s="1369">
        <f ca="1">OFFSET(BA45,0,-2)+1</f>
        <v>4</v>
      </c>
      <c r="BB45" s="1159">
        <f ca="1">OFFSET(BB45,0,-1)</f>
        <v>4</v>
      </c>
      <c r="BC45" s="1369">
        <f ca="1">OFFSET(BC45,0,-1)+1</f>
        <v>5</v>
      </c>
      <c r="BD45" s="435"/>
      <c r="BE45" s="435"/>
      <c r="BF45" s="435"/>
      <c r="BG45" s="435"/>
      <c r="BH45" s="435"/>
    </row>
    <row r="46" spans="1:60" ht="21" customHeight="1">
      <c r="A46" s="1284" t="s">
        <v>420</v>
      </c>
      <c r="B46" s="1284"/>
      <c r="C46" s="1284"/>
      <c r="D46" s="1284"/>
      <c r="E46" s="7689">
        <v>1</v>
      </c>
      <c r="F46" s="1284"/>
      <c r="G46" s="1284"/>
      <c r="H46" s="1284"/>
      <c r="I46" s="1284"/>
      <c r="J46" s="1284"/>
      <c r="K46" s="1284"/>
      <c r="L46" s="1285"/>
      <c r="M46" s="1286"/>
      <c r="N46" s="1286"/>
      <c r="O46" s="1286"/>
      <c r="P46" s="1330"/>
      <c r="Q46" s="787"/>
      <c r="R46" s="276"/>
      <c r="S46" s="1375">
        <f>INDEX(PT_DIFFERENTIATION_NUM_NTAR,MATCH(A46,PT_DIFFERENTIATION_NTAR_ID,0))</f>
        <v>0</v>
      </c>
      <c r="T46" s="212" t="s">
        <v>237</v>
      </c>
      <c r="U46" s="214"/>
      <c r="V46" s="7676"/>
      <c r="W46" s="7676"/>
      <c r="X46" s="7676"/>
      <c r="Y46" s="7676"/>
      <c r="Z46" s="7676"/>
      <c r="AA46" s="7676"/>
      <c r="AB46" s="7676"/>
      <c r="AC46" s="7677"/>
      <c r="AD46" s="7675" t="str">
        <f>INDEX(PT_DIFFERENTIATION_NTAR,MATCH(A46,PT_DIFFERENTIATION_NTAR_ID,0))</f>
        <v/>
      </c>
      <c r="AE46" s="7676"/>
      <c r="AF46" s="7676"/>
      <c r="AG46" s="7676"/>
      <c r="AH46" s="7676"/>
      <c r="AI46" s="7676"/>
      <c r="AJ46" s="7676"/>
      <c r="AK46" s="7676"/>
      <c r="AL46" s="7676"/>
      <c r="AM46" s="7676"/>
      <c r="AN46" s="7676"/>
      <c r="AO46" s="7676"/>
      <c r="AP46" s="7676"/>
      <c r="AQ46" s="7676"/>
      <c r="AR46" s="7676"/>
      <c r="AS46" s="7676"/>
      <c r="AT46" s="7676"/>
      <c r="AU46" s="7676"/>
      <c r="AV46" s="7676"/>
      <c r="AW46" s="7676"/>
      <c r="AX46" s="7676"/>
      <c r="AY46" s="7676"/>
      <c r="AZ46" s="7676"/>
      <c r="BA46" s="7676"/>
      <c r="BB46" s="7677"/>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420</v>
      </c>
      <c r="B47" s="1284" t="s">
        <v>421</v>
      </c>
      <c r="C47" s="1284"/>
      <c r="D47" s="1284"/>
      <c r="E47" s="7690"/>
      <c r="F47" s="7689">
        <v>1</v>
      </c>
      <c r="G47" s="1284"/>
      <c r="H47" s="1284"/>
      <c r="I47" s="1284"/>
      <c r="J47" s="1284"/>
      <c r="K47" s="1284"/>
      <c r="L47" s="1285"/>
      <c r="M47" s="1286"/>
      <c r="N47" s="1286"/>
      <c r="O47" s="1286"/>
      <c r="P47" s="1331"/>
      <c r="Q47" s="1332"/>
      <c r="R47" s="274"/>
      <c r="S47" s="1375" t="str">
        <f>INDEX(PT_DIFFERENTIATION_NUM_TER,MATCH(B47,PT_DIFFERENTIATION_TER_ID,0))</f>
        <v>.</v>
      </c>
      <c r="T47" s="224" t="s">
        <v>573</v>
      </c>
      <c r="U47" s="214"/>
      <c r="V47" s="7676"/>
      <c r="W47" s="7676"/>
      <c r="X47" s="7676"/>
      <c r="Y47" s="7676"/>
      <c r="Z47" s="7676"/>
      <c r="AA47" s="7676"/>
      <c r="AB47" s="7676"/>
      <c r="AC47" s="7677"/>
      <c r="AD47" s="7675" t="str">
        <f>INDEX(PT_DIFFERENTIATION_TER,MATCH(B47,PT_DIFFERENTIATION_TER_ID,0))</f>
        <v/>
      </c>
      <c r="AE47" s="7676"/>
      <c r="AF47" s="7676"/>
      <c r="AG47" s="7676"/>
      <c r="AH47" s="7676"/>
      <c r="AI47" s="7676"/>
      <c r="AJ47" s="7676"/>
      <c r="AK47" s="7676"/>
      <c r="AL47" s="7676"/>
      <c r="AM47" s="7676"/>
      <c r="AN47" s="7676"/>
      <c r="AO47" s="7676"/>
      <c r="AP47" s="7676"/>
      <c r="AQ47" s="7676"/>
      <c r="AR47" s="7676"/>
      <c r="AS47" s="7676"/>
      <c r="AT47" s="7676"/>
      <c r="AU47" s="7676"/>
      <c r="AV47" s="7676"/>
      <c r="AW47" s="7676"/>
      <c r="AX47" s="7676"/>
      <c r="AY47" s="7676"/>
      <c r="AZ47" s="7676"/>
      <c r="BA47" s="7676"/>
      <c r="BB47" s="7677"/>
      <c r="BC47" s="1182" t="s">
        <v>574</v>
      </c>
      <c r="BE47" s="424"/>
      <c r="BF47" s="424" t="str">
        <f t="shared" si="3"/>
        <v>Территория действия тарифа</v>
      </c>
      <c r="BG47" s="424"/>
      <c r="BH47" s="424"/>
    </row>
    <row r="48" spans="1:60" ht="42" customHeight="1">
      <c r="A48" s="1284" t="s">
        <v>420</v>
      </c>
      <c r="B48" s="1284" t="s">
        <v>421</v>
      </c>
      <c r="C48" s="1284" t="s">
        <v>422</v>
      </c>
      <c r="D48" s="1284"/>
      <c r="E48" s="7690"/>
      <c r="F48" s="7690"/>
      <c r="G48" s="7689">
        <v>1</v>
      </c>
      <c r="H48" s="1284"/>
      <c r="I48" s="1284"/>
      <c r="J48" s="1284"/>
      <c r="K48" s="1284"/>
      <c r="L48" s="1285"/>
      <c r="M48" s="1286"/>
      <c r="N48" s="1286"/>
      <c r="O48" s="1286"/>
      <c r="P48" s="1333"/>
      <c r="Q48" s="1332"/>
      <c r="R48" s="274"/>
      <c r="S48" s="1375" t="str">
        <f>INDEX(PT_DIFFERENTIATION_NUM_CS,MATCH(C48,PT_DIFFERENTIATION_CS_ID,0))</f>
        <v>..</v>
      </c>
      <c r="T48" s="225" t="s">
        <v>654</v>
      </c>
      <c r="U48" s="214"/>
      <c r="V48" s="7676"/>
      <c r="W48" s="7676"/>
      <c r="X48" s="7676"/>
      <c r="Y48" s="7676"/>
      <c r="Z48" s="7676"/>
      <c r="AA48" s="7676"/>
      <c r="AB48" s="7676"/>
      <c r="AC48" s="7677"/>
      <c r="AD48" s="7675" t="str">
        <f>INDEX(PT_DIFFERENTIATION_CS,MATCH(C48,PT_DIFFERENTIATION_CS_ID,0))</f>
        <v/>
      </c>
      <c r="AE48" s="7676"/>
      <c r="AF48" s="7676"/>
      <c r="AG48" s="7676"/>
      <c r="AH48" s="7676"/>
      <c r="AI48" s="7676"/>
      <c r="AJ48" s="7676"/>
      <c r="AK48" s="7676"/>
      <c r="AL48" s="7676"/>
      <c r="AM48" s="7676"/>
      <c r="AN48" s="7676"/>
      <c r="AO48" s="7676"/>
      <c r="AP48" s="7676"/>
      <c r="AQ48" s="7676"/>
      <c r="AR48" s="7676"/>
      <c r="AS48" s="7676"/>
      <c r="AT48" s="7676"/>
      <c r="AU48" s="7676"/>
      <c r="AV48" s="7676"/>
      <c r="AW48" s="7676"/>
      <c r="AX48" s="7676"/>
      <c r="AY48" s="7676"/>
      <c r="AZ48" s="7676"/>
      <c r="BA48" s="7676"/>
      <c r="BB48" s="7677"/>
      <c r="BC48" s="1182" t="s">
        <v>655</v>
      </c>
      <c r="BE48" s="424"/>
      <c r="BF48" s="424" t="str">
        <f t="shared" si="3"/>
        <v>Наименование централизованной системы холодного водоснабжения</v>
      </c>
      <c r="BG48" s="424"/>
      <c r="BH48" s="424"/>
    </row>
    <row r="49" spans="1:60" s="1562" customFormat="1" ht="0" hidden="1" customHeight="1">
      <c r="A49" s="1265" t="s">
        <v>420</v>
      </c>
      <c r="B49" s="1265" t="s">
        <v>421</v>
      </c>
      <c r="C49" s="1265" t="s">
        <v>422</v>
      </c>
      <c r="D49" s="1265" t="s">
        <v>690</v>
      </c>
      <c r="E49" s="7690"/>
      <c r="F49" s="7690"/>
      <c r="G49" s="7690"/>
      <c r="H49" s="7689">
        <v>1</v>
      </c>
      <c r="I49" s="1265"/>
      <c r="J49" s="1265"/>
      <c r="K49" s="1265"/>
      <c r="L49" s="1268"/>
      <c r="M49" s="1238"/>
      <c r="N49" s="1238"/>
      <c r="O49" s="1238"/>
      <c r="P49" s="1412"/>
      <c r="Q49" s="1413"/>
      <c r="R49" s="278"/>
      <c r="S49" s="953"/>
      <c r="T49" s="1414"/>
      <c r="U49" s="1305"/>
      <c r="V49" s="7717"/>
      <c r="W49" s="7717"/>
      <c r="X49" s="7717"/>
      <c r="Y49" s="7717"/>
      <c r="Z49" s="7717"/>
      <c r="AA49" s="7717"/>
      <c r="AB49" s="7717"/>
      <c r="AC49" s="7718"/>
      <c r="AD49" s="7716"/>
      <c r="AE49" s="7717"/>
      <c r="AF49" s="7717"/>
      <c r="AG49" s="7717"/>
      <c r="AH49" s="7717"/>
      <c r="AI49" s="7717"/>
      <c r="AJ49" s="7717"/>
      <c r="AK49" s="7717"/>
      <c r="AL49" s="7717"/>
      <c r="AM49" s="7717"/>
      <c r="AN49" s="7717"/>
      <c r="AO49" s="7717"/>
      <c r="AP49" s="7717"/>
      <c r="AQ49" s="7717"/>
      <c r="AR49" s="7717"/>
      <c r="AS49" s="7717"/>
      <c r="AT49" s="7717"/>
      <c r="AU49" s="7717"/>
      <c r="AV49" s="7717"/>
      <c r="AW49" s="7717"/>
      <c r="AX49" s="7717"/>
      <c r="AY49" s="7717"/>
      <c r="AZ49" s="7717"/>
      <c r="BA49" s="7717"/>
      <c r="BB49" s="7718"/>
      <c r="BC49" s="1306" t="s">
        <v>578</v>
      </c>
      <c r="BE49" s="424"/>
      <c r="BF49" s="424" t="str">
        <f t="shared" si="3"/>
        <v/>
      </c>
      <c r="BG49" s="424"/>
      <c r="BH49" s="424"/>
    </row>
    <row r="50" spans="1:60" s="1562" customFormat="1" ht="0" hidden="1" customHeight="1">
      <c r="A50" s="1265" t="s">
        <v>420</v>
      </c>
      <c r="B50" s="1265" t="s">
        <v>421</v>
      </c>
      <c r="C50" s="1265" t="s">
        <v>422</v>
      </c>
      <c r="D50" s="1265" t="s">
        <v>690</v>
      </c>
      <c r="E50" s="7690"/>
      <c r="F50" s="7690"/>
      <c r="G50" s="7690"/>
      <c r="H50" s="7690"/>
      <c r="I50" s="7687" t="str">
        <f>S49&amp;".1"</f>
        <v>.1</v>
      </c>
      <c r="J50" s="1265"/>
      <c r="K50" s="1265"/>
      <c r="L50" s="1268" t="s">
        <v>579</v>
      </c>
      <c r="M50" s="434"/>
      <c r="N50" s="434"/>
      <c r="O50" s="434"/>
      <c r="P50" s="7688">
        <v>1</v>
      </c>
      <c r="Q50" s="1379"/>
      <c r="R50" s="277"/>
      <c r="S50" s="953"/>
      <c r="T50" s="1304"/>
      <c r="U50" s="1305"/>
      <c r="V50" s="7717"/>
      <c r="W50" s="7717"/>
      <c r="X50" s="7717"/>
      <c r="Y50" s="7717"/>
      <c r="Z50" s="7717"/>
      <c r="AA50" s="7717"/>
      <c r="AB50" s="7717"/>
      <c r="AC50" s="7718"/>
      <c r="AD50" s="7716"/>
      <c r="AE50" s="7717"/>
      <c r="AF50" s="7717"/>
      <c r="AG50" s="7717"/>
      <c r="AH50" s="7717"/>
      <c r="AI50" s="7717"/>
      <c r="AJ50" s="7717"/>
      <c r="AK50" s="7717"/>
      <c r="AL50" s="7717"/>
      <c r="AM50" s="7717"/>
      <c r="AN50" s="7717"/>
      <c r="AO50" s="7717"/>
      <c r="AP50" s="7717"/>
      <c r="AQ50" s="7717"/>
      <c r="AR50" s="7717"/>
      <c r="AS50" s="7717"/>
      <c r="AT50" s="7717"/>
      <c r="AU50" s="7717"/>
      <c r="AV50" s="7717"/>
      <c r="AW50" s="7717"/>
      <c r="AX50" s="7717"/>
      <c r="AY50" s="7717"/>
      <c r="AZ50" s="7717"/>
      <c r="BA50" s="7717"/>
      <c r="BB50" s="7718"/>
      <c r="BC50" s="1306"/>
      <c r="BE50" s="424"/>
      <c r="BF50" s="424" t="str">
        <f t="shared" si="3"/>
        <v/>
      </c>
      <c r="BG50" s="424"/>
      <c r="BH50" s="424"/>
    </row>
    <row r="51" spans="1:60" s="1562" customFormat="1" ht="0" hidden="1" customHeight="1">
      <c r="A51" s="1265" t="s">
        <v>420</v>
      </c>
      <c r="B51" s="1265" t="s">
        <v>421</v>
      </c>
      <c r="C51" s="1265" t="s">
        <v>422</v>
      </c>
      <c r="D51" s="1265" t="s">
        <v>690</v>
      </c>
      <c r="E51" s="7690"/>
      <c r="F51" s="7690"/>
      <c r="G51" s="7690"/>
      <c r="H51" s="7690"/>
      <c r="I51" s="7710"/>
      <c r="J51" s="7687" t="str">
        <f>S49&amp;".1"</f>
        <v>.1</v>
      </c>
      <c r="K51" s="1265"/>
      <c r="L51" s="1268"/>
      <c r="M51" s="434"/>
      <c r="N51" s="434"/>
      <c r="O51" s="434"/>
      <c r="P51" s="7688"/>
      <c r="Q51" s="7688">
        <v>1</v>
      </c>
      <c r="R51" s="278"/>
      <c r="S51" s="953"/>
      <c r="T51" s="1320"/>
      <c r="U51" s="1305"/>
      <c r="V51" s="7717"/>
      <c r="W51" s="7717"/>
      <c r="X51" s="7717"/>
      <c r="Y51" s="7717"/>
      <c r="Z51" s="7717"/>
      <c r="AA51" s="7717"/>
      <c r="AB51" s="7717"/>
      <c r="AC51" s="7718"/>
      <c r="AD51" s="7716"/>
      <c r="AE51" s="7717"/>
      <c r="AF51" s="7717"/>
      <c r="AG51" s="7717"/>
      <c r="AH51" s="7717"/>
      <c r="AI51" s="7717"/>
      <c r="AJ51" s="7717"/>
      <c r="AK51" s="7717"/>
      <c r="AL51" s="7717"/>
      <c r="AM51" s="7717"/>
      <c r="AN51" s="7763"/>
      <c r="AO51" s="7763"/>
      <c r="AP51" s="7717"/>
      <c r="AQ51" s="7717"/>
      <c r="AR51" s="7717"/>
      <c r="AS51" s="7717"/>
      <c r="AT51" s="7717"/>
      <c r="AU51" s="7717"/>
      <c r="AV51" s="7717"/>
      <c r="AW51" s="7717"/>
      <c r="AX51" s="7717"/>
      <c r="AY51" s="7717"/>
      <c r="AZ51" s="7717"/>
      <c r="BA51" s="7717"/>
      <c r="BB51" s="7718"/>
      <c r="BC51" s="1306"/>
      <c r="BE51" s="424"/>
      <c r="BF51" s="424" t="str">
        <f t="shared" si="3"/>
        <v/>
      </c>
      <c r="BG51" s="424"/>
      <c r="BH51" s="424"/>
    </row>
    <row r="52" spans="1:60" ht="11.25" customHeight="1">
      <c r="A52" s="1284" t="s">
        <v>420</v>
      </c>
      <c r="B52" s="1284" t="s">
        <v>421</v>
      </c>
      <c r="C52" s="1284" t="s">
        <v>422</v>
      </c>
      <c r="D52" s="1284" t="s">
        <v>690</v>
      </c>
      <c r="E52" s="7690"/>
      <c r="F52" s="7690"/>
      <c r="G52" s="7690"/>
      <c r="H52" s="7690"/>
      <c r="I52" s="7710"/>
      <c r="J52" s="7710"/>
      <c r="K52" s="7687" t="str">
        <f>S48&amp;".1"</f>
        <v>...1</v>
      </c>
      <c r="L52" s="1285"/>
      <c r="P52" s="7688"/>
      <c r="Q52" s="7688"/>
      <c r="R52" s="278">
        <v>1</v>
      </c>
      <c r="S52" s="7739" t="str">
        <f>$K52</f>
        <v>...1</v>
      </c>
      <c r="T52" s="7758"/>
      <c r="U52" s="214"/>
      <c r="V52" s="666"/>
      <c r="W52" s="1181"/>
      <c r="X52" s="666"/>
      <c r="Y52" s="1181"/>
      <c r="Z52" s="1653"/>
      <c r="AA52" s="1377" t="s">
        <v>60</v>
      </c>
      <c r="AB52" s="1653"/>
      <c r="AC52" s="1377" t="s">
        <v>60</v>
      </c>
      <c r="AD52" s="7614" t="s">
        <v>60</v>
      </c>
      <c r="AE52" s="7725"/>
      <c r="AF52" s="7644">
        <v>1</v>
      </c>
      <c r="AG52" s="7762"/>
      <c r="AH52" s="7540" t="s">
        <v>60</v>
      </c>
      <c r="AI52" s="7725"/>
      <c r="AJ52" s="7644">
        <v>1</v>
      </c>
      <c r="AK52" s="7761" t="s">
        <v>24</v>
      </c>
      <c r="AL52" s="7540" t="s">
        <v>60</v>
      </c>
      <c r="AM52" s="7634"/>
      <c r="AN52" s="7644">
        <v>1</v>
      </c>
      <c r="AO52" s="7755"/>
      <c r="AP52" s="7756" t="s">
        <v>60</v>
      </c>
      <c r="AQ52" s="227"/>
      <c r="AR52" s="1380">
        <v>1</v>
      </c>
      <c r="AS52" s="1383" t="s">
        <v>24</v>
      </c>
      <c r="AT52" s="666"/>
      <c r="AU52" s="1181"/>
      <c r="AV52" s="666"/>
      <c r="AW52" s="1181"/>
      <c r="AX52" s="1653"/>
      <c r="AY52" s="1377" t="s">
        <v>60</v>
      </c>
      <c r="AZ52" s="1653"/>
      <c r="BA52" s="1377" t="s">
        <v>60</v>
      </c>
      <c r="BB52" s="1270"/>
      <c r="BC52" s="7684" t="s">
        <v>676</v>
      </c>
      <c r="BE52" s="424"/>
      <c r="BF52" s="424" t="str">
        <f t="shared" si="3"/>
        <v/>
      </c>
      <c r="BG52" s="424"/>
      <c r="BH52" s="424"/>
    </row>
    <row r="53" spans="1:60" ht="11.25" customHeight="1">
      <c r="A53" s="1284"/>
      <c r="B53" s="1284"/>
      <c r="C53" s="1284"/>
      <c r="D53" s="1284"/>
      <c r="E53" s="7690"/>
      <c r="F53" s="7690"/>
      <c r="G53" s="7690"/>
      <c r="H53" s="7690"/>
      <c r="I53" s="7710"/>
      <c r="J53" s="7710"/>
      <c r="K53" s="7687"/>
      <c r="L53" s="1285"/>
      <c r="P53" s="7688"/>
      <c r="Q53" s="7688"/>
      <c r="R53" s="278"/>
      <c r="S53" s="7740"/>
      <c r="T53" s="7759"/>
      <c r="U53" s="214"/>
      <c r="V53" s="1314"/>
      <c r="W53" s="1411"/>
      <c r="X53" s="1314"/>
      <c r="Y53" s="1411"/>
      <c r="Z53" s="1314"/>
      <c r="AA53" s="1314"/>
      <c r="AB53" s="1314"/>
      <c r="AC53" s="1314"/>
      <c r="AD53" s="7615"/>
      <c r="AE53" s="7725"/>
      <c r="AF53" s="7644"/>
      <c r="AG53" s="7762"/>
      <c r="AH53" s="7540"/>
      <c r="AI53" s="7725"/>
      <c r="AJ53" s="7644"/>
      <c r="AK53" s="7761"/>
      <c r="AL53" s="7540"/>
      <c r="AM53" s="7639"/>
      <c r="AN53" s="7644"/>
      <c r="AO53" s="7755"/>
      <c r="AP53" s="7757"/>
      <c r="AQ53" s="234"/>
      <c r="AR53" s="345"/>
      <c r="AS53" s="345" t="s">
        <v>677</v>
      </c>
      <c r="AT53" s="1314"/>
      <c r="AU53" s="1411"/>
      <c r="AV53" s="1314"/>
      <c r="AW53" s="1411"/>
      <c r="AX53" s="1314"/>
      <c r="AY53" s="1314"/>
      <c r="AZ53" s="1314"/>
      <c r="BA53" s="1314"/>
      <c r="BB53" s="1318"/>
      <c r="BC53" s="7685"/>
      <c r="BE53" s="424"/>
      <c r="BF53" s="424"/>
      <c r="BG53" s="424"/>
      <c r="BH53" s="424"/>
    </row>
    <row r="54" spans="1:60" ht="11.25" customHeight="1">
      <c r="A54" s="1284" t="s">
        <v>420</v>
      </c>
      <c r="B54" s="1284"/>
      <c r="C54" s="1284"/>
      <c r="D54" s="1284"/>
      <c r="E54" s="7690"/>
      <c r="F54" s="7690"/>
      <c r="G54" s="7690"/>
      <c r="H54" s="7690"/>
      <c r="I54" s="7710"/>
      <c r="J54" s="7710"/>
      <c r="K54" s="7687"/>
      <c r="L54" s="1285"/>
      <c r="P54" s="7688"/>
      <c r="Q54" s="7688"/>
      <c r="R54" s="278"/>
      <c r="S54" s="7740"/>
      <c r="T54" s="7759"/>
      <c r="U54" s="214"/>
      <c r="V54" s="1314"/>
      <c r="W54" s="1411"/>
      <c r="X54" s="1314"/>
      <c r="Y54" s="1411"/>
      <c r="Z54" s="1314"/>
      <c r="AA54" s="1314"/>
      <c r="AB54" s="1314"/>
      <c r="AC54" s="1314"/>
      <c r="AD54" s="7615"/>
      <c r="AE54" s="7725"/>
      <c r="AF54" s="7644"/>
      <c r="AG54" s="7762"/>
      <c r="AH54" s="7540"/>
      <c r="AI54" s="7725"/>
      <c r="AJ54" s="7644"/>
      <c r="AK54" s="7761"/>
      <c r="AL54" s="7540"/>
      <c r="AM54" s="234"/>
      <c r="AN54" s="1415"/>
      <c r="AO54" s="1415" t="s">
        <v>678</v>
      </c>
      <c r="AP54" s="345"/>
      <c r="AQ54" s="345"/>
      <c r="AR54" s="345"/>
      <c r="AS54" s="1314"/>
      <c r="AT54" s="1314"/>
      <c r="AU54" s="1411"/>
      <c r="AV54" s="1314"/>
      <c r="AW54" s="1411"/>
      <c r="AX54" s="1314"/>
      <c r="AY54" s="1314"/>
      <c r="AZ54" s="1314"/>
      <c r="BA54" s="1314"/>
      <c r="BB54" s="1318"/>
      <c r="BC54" s="7685"/>
      <c r="BE54" s="424"/>
      <c r="BF54" s="424"/>
      <c r="BG54" s="424"/>
      <c r="BH54" s="424"/>
    </row>
    <row r="55" spans="1:60" ht="11.25" customHeight="1">
      <c r="A55" s="1284" t="s">
        <v>420</v>
      </c>
      <c r="B55" s="1284"/>
      <c r="C55" s="1284"/>
      <c r="D55" s="1284"/>
      <c r="E55" s="7690"/>
      <c r="F55" s="7690"/>
      <c r="G55" s="7690"/>
      <c r="H55" s="7690"/>
      <c r="I55" s="7710"/>
      <c r="J55" s="7710"/>
      <c r="K55" s="7687"/>
      <c r="L55" s="1285"/>
      <c r="P55" s="7688"/>
      <c r="Q55" s="7688"/>
      <c r="R55" s="278"/>
      <c r="S55" s="7740"/>
      <c r="T55" s="7759"/>
      <c r="U55" s="214"/>
      <c r="V55" s="1314"/>
      <c r="W55" s="1411"/>
      <c r="X55" s="1314"/>
      <c r="Y55" s="1411"/>
      <c r="Z55" s="1314"/>
      <c r="AA55" s="1314"/>
      <c r="AB55" s="1314"/>
      <c r="AC55" s="1314"/>
      <c r="AD55" s="7615"/>
      <c r="AE55" s="7725"/>
      <c r="AF55" s="7644"/>
      <c r="AG55" s="7762"/>
      <c r="AH55" s="7540"/>
      <c r="AI55" s="208"/>
      <c r="AJ55" s="344"/>
      <c r="AK55" s="229" t="s">
        <v>679</v>
      </c>
      <c r="AL55" s="1314"/>
      <c r="AM55" s="1314"/>
      <c r="AN55" s="1314"/>
      <c r="AO55" s="1314"/>
      <c r="AP55" s="1314"/>
      <c r="AQ55" s="1314"/>
      <c r="AR55" s="1314"/>
      <c r="AS55" s="1314"/>
      <c r="AT55" s="1314"/>
      <c r="AU55" s="1411"/>
      <c r="AV55" s="1314"/>
      <c r="AW55" s="1411"/>
      <c r="AX55" s="1314"/>
      <c r="AY55" s="1314"/>
      <c r="AZ55" s="1314"/>
      <c r="BA55" s="1314"/>
      <c r="BB55" s="1318"/>
      <c r="BC55" s="7685"/>
      <c r="BE55" s="424"/>
      <c r="BF55" s="424"/>
      <c r="BG55" s="424"/>
      <c r="BH55" s="424"/>
    </row>
    <row r="56" spans="1:60" ht="11.25" customHeight="1">
      <c r="A56" s="1284" t="s">
        <v>420</v>
      </c>
      <c r="B56" s="1284" t="s">
        <v>421</v>
      </c>
      <c r="C56" s="1284" t="s">
        <v>422</v>
      </c>
      <c r="D56" s="1284" t="s">
        <v>690</v>
      </c>
      <c r="E56" s="7690"/>
      <c r="F56" s="7690"/>
      <c r="G56" s="7690"/>
      <c r="H56" s="7690"/>
      <c r="I56" s="7710"/>
      <c r="J56" s="7710"/>
      <c r="K56" s="7687"/>
      <c r="L56" s="1285"/>
      <c r="P56" s="7688"/>
      <c r="Q56" s="7688"/>
      <c r="R56" s="278"/>
      <c r="S56" s="7741"/>
      <c r="T56" s="7760"/>
      <c r="U56" s="214"/>
      <c r="V56" s="1314"/>
      <c r="W56" s="1315" t="str">
        <f>Z52&amp;"-"&amp;AB52</f>
        <v>-</v>
      </c>
      <c r="X56" s="1314"/>
      <c r="Y56" s="1315" t="str">
        <f>AB52&amp;"-"&amp;AD52</f>
        <v>-да</v>
      </c>
      <c r="Z56" s="1314"/>
      <c r="AA56" s="1314"/>
      <c r="AB56" s="1314"/>
      <c r="AC56" s="1314"/>
      <c r="AD56" s="7545"/>
      <c r="AE56" s="228"/>
      <c r="AF56" s="230"/>
      <c r="AG56" s="345" t="s">
        <v>680</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7685"/>
      <c r="BE56" s="424"/>
      <c r="BF56" s="424" t="str">
        <f t="shared" ref="BF56:BF63" si="4">IF(T56="","",T56)</f>
        <v/>
      </c>
      <c r="BG56" s="424"/>
      <c r="BH56" s="424"/>
    </row>
    <row r="57" spans="1:60" ht="11.25" customHeight="1">
      <c r="A57" s="1284" t="s">
        <v>420</v>
      </c>
      <c r="B57" s="1284" t="s">
        <v>421</v>
      </c>
      <c r="C57" s="1284" t="s">
        <v>422</v>
      </c>
      <c r="D57" s="1284" t="s">
        <v>690</v>
      </c>
      <c r="E57" s="7690"/>
      <c r="F57" s="7690"/>
      <c r="G57" s="7690"/>
      <c r="H57" s="7690"/>
      <c r="I57" s="7710"/>
      <c r="J57" s="7687"/>
      <c r="K57" s="1284"/>
      <c r="L57" s="1285"/>
      <c r="P57" s="7688"/>
      <c r="Q57" s="7688"/>
      <c r="R57" s="277"/>
      <c r="S57" s="1203"/>
      <c r="T57" s="202" t="s">
        <v>640</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7686"/>
      <c r="BE57" s="424"/>
      <c r="BF57" s="424" t="str">
        <f t="shared" si="4"/>
        <v>Добавить строку</v>
      </c>
      <c r="BG57" s="424"/>
      <c r="BH57" s="424"/>
    </row>
    <row r="58" spans="1:60" s="1562" customFormat="1" ht="0" hidden="1" customHeight="1">
      <c r="A58" s="1265" t="s">
        <v>420</v>
      </c>
      <c r="B58" s="1265" t="s">
        <v>421</v>
      </c>
      <c r="C58" s="1265" t="s">
        <v>422</v>
      </c>
      <c r="D58" s="1265" t="s">
        <v>690</v>
      </c>
      <c r="E58" s="7690"/>
      <c r="F58" s="7690"/>
      <c r="G58" s="7690"/>
      <c r="H58" s="7690"/>
      <c r="I58" s="7687"/>
      <c r="J58" s="1265"/>
      <c r="K58" s="1265"/>
      <c r="L58" s="1268"/>
      <c r="M58" s="434"/>
      <c r="N58" s="434"/>
      <c r="O58" s="434"/>
      <c r="P58" s="7688"/>
      <c r="Q58" s="1379"/>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420</v>
      </c>
      <c r="B59" s="1265" t="s">
        <v>421</v>
      </c>
      <c r="C59" s="1265" t="s">
        <v>422</v>
      </c>
      <c r="D59" s="1265" t="s">
        <v>690</v>
      </c>
      <c r="E59" s="7690"/>
      <c r="F59" s="7690"/>
      <c r="G59" s="7690"/>
      <c r="H59" s="7689"/>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420</v>
      </c>
      <c r="B60" s="1265" t="s">
        <v>421</v>
      </c>
      <c r="C60" s="1265" t="s">
        <v>422</v>
      </c>
      <c r="D60" s="1237"/>
      <c r="E60" s="7690"/>
      <c r="F60" s="7690"/>
      <c r="G60" s="7689"/>
      <c r="H60" s="1237"/>
      <c r="I60" s="1237"/>
      <c r="J60" s="1237"/>
      <c r="K60" s="1237"/>
      <c r="L60" s="1381"/>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420</v>
      </c>
      <c r="B61" s="1265" t="s">
        <v>421</v>
      </c>
      <c r="C61" s="1237"/>
      <c r="D61" s="1237"/>
      <c r="E61" s="7690"/>
      <c r="F61" s="7689"/>
      <c r="G61" s="1237"/>
      <c r="H61" s="1237"/>
      <c r="I61" s="1237"/>
      <c r="J61" s="1237"/>
      <c r="K61" s="1237"/>
      <c r="L61" s="1381"/>
      <c r="M61" s="1244"/>
      <c r="N61" s="1244"/>
      <c r="P61" s="1239"/>
      <c r="Q61" s="1240"/>
      <c r="R61" s="1239"/>
      <c r="S61" s="1245"/>
      <c r="T61" s="1248" t="s">
        <v>325</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420</v>
      </c>
      <c r="B62" s="1265"/>
      <c r="C62" s="1265"/>
      <c r="D62" s="1265"/>
      <c r="E62" s="7689"/>
      <c r="F62" s="1265"/>
      <c r="G62" s="1265"/>
      <c r="H62" s="1265"/>
      <c r="I62" s="1265"/>
      <c r="J62" s="1265"/>
      <c r="K62" s="1265"/>
      <c r="L62" s="1268"/>
      <c r="M62" s="1244"/>
      <c r="N62" s="1244"/>
      <c r="O62" s="442"/>
      <c r="P62" s="308"/>
      <c r="Q62" s="1266"/>
      <c r="R62" s="308"/>
      <c r="S62" s="1245"/>
      <c r="T62" s="1248" t="s">
        <v>326</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381"/>
      <c r="M63" s="1244"/>
      <c r="N63" s="1244"/>
      <c r="P63" s="1239"/>
      <c r="Q63" s="1240"/>
      <c r="R63" s="1239"/>
      <c r="S63" s="1245"/>
      <c r="T63" s="1248" t="s">
        <v>402</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8.75" customHeight="1">
      <c r="O65" s="460"/>
      <c r="S65" s="1169"/>
      <c r="T65" s="7709"/>
      <c r="U65" s="7709"/>
      <c r="V65" s="7709"/>
      <c r="W65" s="7709"/>
      <c r="X65" s="7709"/>
      <c r="Y65" s="7709"/>
      <c r="Z65" s="7709"/>
      <c r="AA65" s="7709"/>
      <c r="AB65" s="7709"/>
      <c r="AC65" s="7709"/>
      <c r="AD65" s="7709"/>
      <c r="AE65" s="7709"/>
      <c r="AF65" s="7709"/>
      <c r="AG65" s="7709"/>
      <c r="AH65" s="7709"/>
      <c r="AI65" s="7709"/>
      <c r="AJ65" s="7709"/>
      <c r="AK65" s="7709"/>
      <c r="AL65" s="7709"/>
      <c r="AM65" s="7709"/>
      <c r="AN65" s="7709"/>
      <c r="AO65" s="7709"/>
      <c r="AP65" s="7709"/>
      <c r="AQ65" s="7709"/>
      <c r="AR65" s="7709"/>
      <c r="AS65" s="7709"/>
      <c r="AT65" s="7709"/>
      <c r="AU65" s="7709"/>
      <c r="AV65" s="7709"/>
      <c r="AW65" s="7709"/>
      <c r="AX65" s="7709"/>
      <c r="AY65" s="7709"/>
      <c r="AZ65" s="7709"/>
      <c r="BA65" s="7709"/>
      <c r="BB65" s="7709"/>
      <c r="BC65" s="7709"/>
    </row>
    <row r="66" spans="15:55" ht="14.25" customHeight="1">
      <c r="O66" s="460"/>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row>
    <row r="67" spans="15:55" ht="18.75" customHeight="1">
      <c r="O67" s="460"/>
      <c r="S67" s="1169"/>
      <c r="T67" s="7709"/>
      <c r="U67" s="7709"/>
      <c r="V67" s="7709"/>
      <c r="W67" s="7709"/>
      <c r="X67" s="7709"/>
      <c r="Y67" s="7709"/>
      <c r="Z67" s="7709"/>
      <c r="AA67" s="7709"/>
      <c r="AB67" s="7709"/>
      <c r="AC67" s="7709"/>
      <c r="AD67" s="7709"/>
      <c r="AE67" s="7709"/>
      <c r="AF67" s="7709"/>
      <c r="AG67" s="7709"/>
      <c r="AH67" s="7709"/>
      <c r="AI67" s="7709"/>
      <c r="AJ67" s="7709"/>
      <c r="AK67" s="7709"/>
      <c r="AL67" s="7709"/>
      <c r="AM67" s="7709"/>
      <c r="AN67" s="7709"/>
      <c r="AO67" s="7709"/>
      <c r="AP67" s="7709"/>
      <c r="AQ67" s="7709"/>
      <c r="AR67" s="7709"/>
      <c r="AS67" s="7709"/>
      <c r="AT67" s="7709"/>
      <c r="AU67" s="7709"/>
      <c r="AV67" s="7709"/>
      <c r="AW67" s="7709"/>
      <c r="AX67" s="7709"/>
      <c r="AY67" s="7709"/>
      <c r="AZ67" s="7709"/>
      <c r="BA67" s="7709"/>
      <c r="BB67" s="7709"/>
      <c r="BC67" s="7709"/>
    </row>
    <row r="68" spans="15:55" ht="14.25" customHeight="1">
      <c r="O68" s="460"/>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5" hidden="1" customWidth="1"/>
    <col min="13" max="14" width="12.28515625" style="1696" hidden="1" customWidth="1"/>
    <col min="15" max="15" width="23.42578125" style="1696" hidden="1" customWidth="1"/>
    <col min="16" max="16" width="3.7109375" style="1817" customWidth="1"/>
    <col min="17" max="18" width="3.7109375" style="265" customWidth="1"/>
    <col min="19" max="19" width="12.7109375" style="1820"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7689">
        <v>1</v>
      </c>
      <c r="F2" s="1284"/>
      <c r="G2" s="1284"/>
      <c r="H2" s="1284"/>
      <c r="I2" s="1284"/>
      <c r="J2" s="1284"/>
      <c r="K2" s="1284"/>
      <c r="L2" s="1285"/>
      <c r="M2" s="1286"/>
      <c r="N2" s="1286"/>
      <c r="O2" s="1286"/>
      <c r="P2" s="282"/>
      <c r="Q2" s="281"/>
      <c r="R2" s="276"/>
      <c r="S2" s="1408" t="e">
        <f>INDEX(PT_DIFFERENTIATION_NUM_NTAR,MATCH(A2,PT_DIFFERENTIATION_NTAR_ID,0))</f>
        <v>#N/A</v>
      </c>
      <c r="T2" s="212" t="s">
        <v>237</v>
      </c>
      <c r="U2" s="214"/>
      <c r="V2" s="7675"/>
      <c r="W2" s="7676"/>
      <c r="X2" s="7676"/>
      <c r="Y2" s="7676"/>
      <c r="Z2" s="7676"/>
      <c r="AA2" s="7676"/>
      <c r="AB2" s="7677"/>
      <c r="AC2" s="7675" t="e">
        <f>INDEX(PT_DIFFERENTIATION_NTAR,MATCH(A2,PT_DIFFERENTIATION_NTAR_ID,0))</f>
        <v>#N/A</v>
      </c>
      <c r="AD2" s="7676"/>
      <c r="AE2" s="7676"/>
      <c r="AF2" s="7676"/>
      <c r="AG2" s="7676"/>
      <c r="AH2" s="7676"/>
      <c r="AI2" s="7676"/>
      <c r="AJ2" s="7677"/>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7690"/>
      <c r="F3" s="7689">
        <v>1</v>
      </c>
      <c r="G3" s="1284"/>
      <c r="H3" s="1284"/>
      <c r="I3" s="1284"/>
      <c r="J3" s="1284"/>
      <c r="K3" s="1284"/>
      <c r="L3" s="1285"/>
      <c r="M3" s="1286"/>
      <c r="N3" s="1286"/>
      <c r="O3" s="1286"/>
      <c r="P3" s="1402"/>
      <c r="Q3" s="273"/>
      <c r="R3" s="274"/>
      <c r="S3" s="1408" t="e">
        <f>INDEX(PT_DIFFERENTIATION_NUM_TER,MATCH(B3,PT_DIFFERENTIATION_TER_ID,0))</f>
        <v>#N/A</v>
      </c>
      <c r="T3" s="224" t="s">
        <v>573</v>
      </c>
      <c r="U3" s="214"/>
      <c r="V3" s="7675"/>
      <c r="W3" s="7676"/>
      <c r="X3" s="7676"/>
      <c r="Y3" s="7676"/>
      <c r="Z3" s="7676"/>
      <c r="AA3" s="7676"/>
      <c r="AB3" s="7677"/>
      <c r="AC3" s="7675" t="e">
        <f>INDEX(PT_DIFFERENTIATION_TER,MATCH(B3,PT_DIFFERENTIATION_TER_ID,0))</f>
        <v>#N/A</v>
      </c>
      <c r="AD3" s="7676"/>
      <c r="AE3" s="7676"/>
      <c r="AF3" s="7676"/>
      <c r="AG3" s="7676"/>
      <c r="AH3" s="7676"/>
      <c r="AI3" s="7676"/>
      <c r="AJ3" s="7677"/>
      <c r="AK3" s="1182" t="s">
        <v>574</v>
      </c>
      <c r="AM3" s="424"/>
      <c r="AN3" s="424" t="str">
        <f t="shared" si="0"/>
        <v>Территория действия тарифа</v>
      </c>
      <c r="AO3" s="424"/>
      <c r="AP3" s="424"/>
    </row>
    <row r="4" spans="1:42" ht="23.25" hidden="1" customHeight="1">
      <c r="A4" s="1284"/>
      <c r="B4" s="1284"/>
      <c r="C4" s="1284"/>
      <c r="D4" s="1284"/>
      <c r="E4" s="7690"/>
      <c r="F4" s="7690"/>
      <c r="G4" s="7689">
        <v>1</v>
      </c>
      <c r="H4" s="1284"/>
      <c r="I4" s="1284"/>
      <c r="J4" s="1284"/>
      <c r="K4" s="1284"/>
      <c r="L4" s="1285"/>
      <c r="M4" s="1286"/>
      <c r="N4" s="1286"/>
      <c r="O4" s="1286"/>
      <c r="P4" s="275"/>
      <c r="Q4" s="273"/>
      <c r="R4" s="274"/>
      <c r="S4" s="1408" t="e">
        <f>INDEX(PT_DIFFERENTIATION_NUM_CS,MATCH(C4,PT_DIFFERENTIATION_CS_ID,0))</f>
        <v>#N/A</v>
      </c>
      <c r="T4" s="225" t="s">
        <v>691</v>
      </c>
      <c r="U4" s="214"/>
      <c r="V4" s="7675"/>
      <c r="W4" s="7676"/>
      <c r="X4" s="7676"/>
      <c r="Y4" s="7676"/>
      <c r="Z4" s="7676"/>
      <c r="AA4" s="7676"/>
      <c r="AB4" s="7677"/>
      <c r="AC4" s="7675" t="e">
        <f>INDEX(PT_DIFFERENTIATION_CS,MATCH(C4,PT_DIFFERENTIATION_CS_ID,0))</f>
        <v>#N/A</v>
      </c>
      <c r="AD4" s="7676"/>
      <c r="AE4" s="7676"/>
      <c r="AF4" s="7676"/>
      <c r="AG4" s="7676"/>
      <c r="AH4" s="7676"/>
      <c r="AI4" s="7676"/>
      <c r="AJ4" s="7677"/>
      <c r="AK4" s="1182" t="s">
        <v>692</v>
      </c>
      <c r="AM4" s="424"/>
      <c r="AN4" s="424" t="str">
        <f t="shared" si="0"/>
        <v>Наименование централизованной системы водоотведения</v>
      </c>
      <c r="AO4" s="424"/>
      <c r="AP4" s="424"/>
    </row>
    <row r="5" spans="1:42" ht="23.25" hidden="1" customHeight="1">
      <c r="A5" s="1284"/>
      <c r="B5" s="1284"/>
      <c r="C5" s="1284"/>
      <c r="D5" s="1284"/>
      <c r="E5" s="7690"/>
      <c r="F5" s="7690"/>
      <c r="G5" s="7690"/>
      <c r="H5" s="7690"/>
      <c r="I5" s="7687" t="e">
        <f>S4&amp;".1"</f>
        <v>#N/A</v>
      </c>
      <c r="J5" s="1284"/>
      <c r="K5" s="1284"/>
      <c r="L5" s="1285"/>
      <c r="P5" s="7688">
        <v>1</v>
      </c>
      <c r="Q5" s="1396"/>
      <c r="R5" s="277"/>
      <c r="S5" s="1408" t="e">
        <f>$I5</f>
        <v>#N/A</v>
      </c>
      <c r="T5" s="200" t="s">
        <v>656</v>
      </c>
      <c r="U5" s="214"/>
      <c r="V5" s="7748"/>
      <c r="W5" s="7749"/>
      <c r="X5" s="7749"/>
      <c r="Y5" s="7749"/>
      <c r="Z5" s="7749"/>
      <c r="AA5" s="7749"/>
      <c r="AB5" s="7750"/>
      <c r="AC5" s="7751"/>
      <c r="AD5" s="7752"/>
      <c r="AE5" s="7752"/>
      <c r="AF5" s="7752"/>
      <c r="AG5" s="7752"/>
      <c r="AH5" s="7752"/>
      <c r="AI5" s="7752"/>
      <c r="AJ5" s="7753"/>
      <c r="AK5" s="1182" t="s">
        <v>657</v>
      </c>
      <c r="AM5" s="424"/>
      <c r="AN5" s="424" t="str">
        <f t="shared" si="0"/>
        <v>Наименование признака дифференциации</v>
      </c>
      <c r="AO5" s="424"/>
      <c r="AP5" s="424"/>
    </row>
    <row r="6" spans="1:42" ht="23.25" hidden="1" customHeight="1">
      <c r="A6" s="1284"/>
      <c r="B6" s="1284"/>
      <c r="C6" s="1284"/>
      <c r="D6" s="1284"/>
      <c r="E6" s="7690"/>
      <c r="F6" s="7690"/>
      <c r="G6" s="7690"/>
      <c r="H6" s="7690"/>
      <c r="I6" s="7710"/>
      <c r="J6" s="7687" t="e">
        <f>I5&amp;".1"</f>
        <v>#N/A</v>
      </c>
      <c r="K6" s="1284"/>
      <c r="L6" s="1285" t="s">
        <v>582</v>
      </c>
      <c r="P6" s="7688"/>
      <c r="Q6" s="7688">
        <v>1</v>
      </c>
      <c r="R6" s="278"/>
      <c r="S6" s="1408" t="e">
        <f>$J6</f>
        <v>#N/A</v>
      </c>
      <c r="T6" s="201" t="s">
        <v>583</v>
      </c>
      <c r="U6" s="214"/>
      <c r="V6" s="7678"/>
      <c r="W6" s="7679"/>
      <c r="X6" s="7679"/>
      <c r="Y6" s="7679"/>
      <c r="Z6" s="7679"/>
      <c r="AA6" s="7679"/>
      <c r="AB6" s="7680"/>
      <c r="AC6" s="7678"/>
      <c r="AD6" s="7679"/>
      <c r="AE6" s="7679"/>
      <c r="AF6" s="7679"/>
      <c r="AG6" s="7679"/>
      <c r="AH6" s="7679"/>
      <c r="AI6" s="7679"/>
      <c r="AJ6" s="7680"/>
      <c r="AK6" s="1231" t="s">
        <v>658</v>
      </c>
      <c r="AM6" s="424"/>
      <c r="AN6" s="424" t="str">
        <f t="shared" si="0"/>
        <v>Группа потребителей</v>
      </c>
      <c r="AO6" s="424"/>
      <c r="AP6" s="424"/>
    </row>
    <row r="7" spans="1:42" ht="23.25" hidden="1" customHeight="1">
      <c r="A7" s="1284"/>
      <c r="B7" s="1284"/>
      <c r="C7" s="1284"/>
      <c r="D7" s="1284"/>
      <c r="E7" s="7690"/>
      <c r="F7" s="7690"/>
      <c r="G7" s="7690"/>
      <c r="H7" s="7690"/>
      <c r="I7" s="7710"/>
      <c r="J7" s="7710"/>
      <c r="K7" s="7687" t="e">
        <f>J6&amp;".1"</f>
        <v>#N/A</v>
      </c>
      <c r="L7" s="1285"/>
      <c r="P7" s="7688"/>
      <c r="Q7" s="7688"/>
      <c r="R7" s="278">
        <v>1</v>
      </c>
      <c r="S7" s="1408" t="e">
        <f>$K7</f>
        <v>#N/A</v>
      </c>
      <c r="T7" s="1357"/>
      <c r="U7" s="214"/>
      <c r="V7" s="666"/>
      <c r="W7" s="666"/>
      <c r="X7" s="1181"/>
      <c r="Y7" s="7692"/>
      <c r="Z7" s="7540" t="s">
        <v>60</v>
      </c>
      <c r="AA7" s="7692"/>
      <c r="AB7" s="7540" t="s">
        <v>60</v>
      </c>
      <c r="AC7" s="666"/>
      <c r="AD7" s="666"/>
      <c r="AE7" s="1181"/>
      <c r="AF7" s="7692"/>
      <c r="AG7" s="7540" t="s">
        <v>60</v>
      </c>
      <c r="AH7" s="7711"/>
      <c r="AI7" s="7540" t="s">
        <v>60</v>
      </c>
      <c r="AJ7" s="1358"/>
      <c r="AK7"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7690"/>
      <c r="F8" s="7690"/>
      <c r="G8" s="7690"/>
      <c r="H8" s="7690"/>
      <c r="I8" s="7710"/>
      <c r="J8" s="7710"/>
      <c r="K8" s="7687"/>
      <c r="L8" s="1285"/>
      <c r="P8" s="7688"/>
      <c r="Q8" s="7688"/>
      <c r="R8" s="278"/>
      <c r="S8" s="1405"/>
      <c r="T8" s="214"/>
      <c r="U8" s="214"/>
      <c r="V8" s="246"/>
      <c r="W8" s="246"/>
      <c r="X8" s="250" t="str">
        <f>Y7&amp;"-"&amp;AA7</f>
        <v>-</v>
      </c>
      <c r="Y8" s="7693"/>
      <c r="Z8" s="7540"/>
      <c r="AA8" s="7693"/>
      <c r="AB8" s="7540"/>
      <c r="AC8" s="246"/>
      <c r="AD8" s="246"/>
      <c r="AE8" s="250" t="str">
        <f>AF7&amp;"-"&amp;AH7</f>
        <v>-</v>
      </c>
      <c r="AF8" s="7693"/>
      <c r="AG8" s="7540"/>
      <c r="AH8" s="7712"/>
      <c r="AI8" s="7540"/>
      <c r="AJ8" s="1359"/>
      <c r="AK8" s="7747"/>
      <c r="AM8" s="424"/>
      <c r="AN8" s="424" t="str">
        <f t="shared" si="0"/>
        <v/>
      </c>
      <c r="AO8" s="424"/>
      <c r="AP8" s="424"/>
    </row>
    <row r="9" spans="1:42" ht="21" hidden="1" customHeight="1">
      <c r="A9" s="1284"/>
      <c r="B9" s="1284"/>
      <c r="C9" s="1284"/>
      <c r="D9" s="1284"/>
      <c r="E9" s="7690"/>
      <c r="F9" s="7690"/>
      <c r="G9" s="7690"/>
      <c r="H9" s="7690"/>
      <c r="I9" s="7710"/>
      <c r="J9" s="7687"/>
      <c r="K9" s="1284"/>
      <c r="L9" s="1285"/>
      <c r="P9" s="7688"/>
      <c r="Q9" s="7688"/>
      <c r="R9" s="277"/>
      <c r="S9" s="1203"/>
      <c r="T9" s="202" t="s">
        <v>659</v>
      </c>
      <c r="U9" s="291"/>
      <c r="V9" s="291"/>
      <c r="W9" s="291"/>
      <c r="X9" s="291"/>
      <c r="Y9" s="291"/>
      <c r="Z9" s="291"/>
      <c r="AA9" s="291"/>
      <c r="AB9" s="291"/>
      <c r="AC9" s="291"/>
      <c r="AD9" s="291"/>
      <c r="AE9" s="291"/>
      <c r="AF9" s="291"/>
      <c r="AG9" s="291"/>
      <c r="AH9" s="291"/>
      <c r="AI9" s="291"/>
      <c r="AJ9" s="291"/>
      <c r="AK9" s="1182" t="s">
        <v>660</v>
      </c>
      <c r="AM9" s="424"/>
      <c r="AN9" s="424" t="str">
        <f t="shared" si="0"/>
        <v>Добавить значение признака дифференциации</v>
      </c>
      <c r="AO9" s="424"/>
      <c r="AP9" s="424"/>
    </row>
    <row r="10" spans="1:42" ht="21" hidden="1" customHeight="1">
      <c r="A10" s="1284"/>
      <c r="B10" s="1284"/>
      <c r="C10" s="1284"/>
      <c r="D10" s="1284"/>
      <c r="E10" s="7690"/>
      <c r="F10" s="7690"/>
      <c r="G10" s="7690"/>
      <c r="H10" s="7690"/>
      <c r="I10" s="7687"/>
      <c r="J10" s="1284"/>
      <c r="K10" s="1284"/>
      <c r="L10" s="1285"/>
      <c r="P10" s="7688"/>
      <c r="Q10" s="1396"/>
      <c r="R10" s="277"/>
      <c r="S10" s="1203"/>
      <c r="T10" s="288" t="s">
        <v>588</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7690"/>
      <c r="F11" s="7690"/>
      <c r="G11" s="7690"/>
      <c r="H11" s="7689"/>
      <c r="I11" s="1284"/>
      <c r="J11" s="1284"/>
      <c r="K11" s="1284"/>
      <c r="L11" s="1285"/>
      <c r="M11" s="1286"/>
      <c r="N11" s="1286"/>
      <c r="O11" s="460"/>
      <c r="P11" s="281"/>
      <c r="Q11" s="299"/>
      <c r="R11" s="276"/>
      <c r="S11" s="1203"/>
      <c r="T11" s="296" t="s">
        <v>661</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7690"/>
      <c r="F12" s="7689"/>
      <c r="G12" s="1237"/>
      <c r="H12" s="1237"/>
      <c r="I12" s="1237"/>
      <c r="J12" s="1237"/>
      <c r="K12" s="1237"/>
      <c r="L12" s="1409"/>
      <c r="M12" s="1244"/>
      <c r="N12" s="1244"/>
      <c r="P12" s="1239"/>
      <c r="Q12" s="1240"/>
      <c r="R12" s="1239"/>
      <c r="S12" s="1245"/>
      <c r="T12" s="1248" t="s">
        <v>325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7689"/>
      <c r="F13" s="1265"/>
      <c r="G13" s="1265"/>
      <c r="H13" s="1265"/>
      <c r="I13" s="1265"/>
      <c r="J13" s="1265"/>
      <c r="K13" s="1265"/>
      <c r="L13" s="1268"/>
      <c r="M13" s="1244"/>
      <c r="N13" s="1244"/>
      <c r="O13" s="442"/>
      <c r="P13" s="308"/>
      <c r="Q13" s="1266"/>
      <c r="R13" s="308"/>
      <c r="S13" s="1245"/>
      <c r="T13" s="1248" t="s">
        <v>326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7694"/>
      <c r="AG15" s="7695" t="s">
        <v>60</v>
      </c>
      <c r="AH15" s="7694"/>
      <c r="AI15" s="7695" t="s">
        <v>60</v>
      </c>
    </row>
    <row r="16" spans="1:42" ht="14.25" hidden="1" customHeight="1">
      <c r="AC16" s="1281"/>
      <c r="AD16" s="1281"/>
      <c r="AE16" s="250" t="str">
        <f>AF15&amp;"-"&amp;AH15</f>
        <v>-</v>
      </c>
      <c r="AF16" s="7695"/>
      <c r="AG16" s="7695"/>
      <c r="AH16" s="7695"/>
      <c r="AI16" s="7695"/>
    </row>
    <row r="17" spans="1:42" ht="14.25" hidden="1" customHeight="1">
      <c r="AI17" s="249"/>
    </row>
    <row r="18" spans="1:42" s="1287" customFormat="1" ht="22.5" hidden="1" customHeight="1">
      <c r="L18" s="1393"/>
      <c r="M18" s="1283"/>
      <c r="N18" s="1283"/>
      <c r="O18" s="1288" t="s">
        <v>591</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592</v>
      </c>
      <c r="P20" s="1283"/>
      <c r="Q20" s="1361"/>
      <c r="R20" s="1361"/>
      <c r="S20" s="646"/>
      <c r="T20" s="1065" t="s">
        <v>593</v>
      </c>
      <c r="Z20" s="104" t="s">
        <v>594</v>
      </c>
      <c r="AB20" s="104" t="s">
        <v>595</v>
      </c>
      <c r="AC20" s="1065" t="s">
        <v>593</v>
      </c>
      <c r="AG20" s="104" t="s">
        <v>596</v>
      </c>
      <c r="AI20" s="104" t="s">
        <v>595</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767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7673"/>
      <c r="U24" s="7673"/>
      <c r="V24" s="7673"/>
      <c r="W24" s="7673"/>
      <c r="X24" s="7673"/>
      <c r="Y24" s="7673"/>
      <c r="Z24" s="7673"/>
      <c r="AA24" s="7673"/>
      <c r="AB24" s="7673"/>
      <c r="AC24" s="7673"/>
      <c r="AD24" s="7673"/>
      <c r="AE24" s="7673"/>
      <c r="AF24" s="7673"/>
      <c r="AG24" s="7673"/>
      <c r="AH24" s="7673"/>
      <c r="AI24" s="1157"/>
    </row>
    <row r="25" spans="1:42" ht="14.25" customHeight="1">
      <c r="Q25" s="300"/>
      <c r="R25" s="300"/>
      <c r="S25" s="7620" t="str">
        <f>IF(org=0,"Не определено",org)</f>
        <v>ГУП СК "Ставрополькрайводоканал"</v>
      </c>
      <c r="T25" s="7620"/>
      <c r="U25" s="7620"/>
      <c r="V25" s="7620"/>
      <c r="W25" s="7620"/>
      <c r="X25" s="7620"/>
      <c r="Y25" s="7620"/>
      <c r="Z25" s="7620"/>
      <c r="AA25" s="7620"/>
      <c r="AB25" s="7620"/>
      <c r="AC25" s="7620"/>
      <c r="AD25" s="7620"/>
      <c r="AE25" s="7620"/>
      <c r="AF25" s="7620"/>
      <c r="AG25" s="7620"/>
      <c r="AH25" s="7620"/>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7681" t="s">
        <v>38</v>
      </c>
      <c r="T27" s="7681"/>
      <c r="U27" s="1293"/>
      <c r="V27" s="7682" t="str">
        <f>IF(TITLE_NAME_OR_PR_CHANGE="",IF(TITLE_NAME_OR_PR="","",TITLE_NAME_OR_PR),TITLE_NAME_OR_PR_CHANGE)</f>
        <v>Региональная тарифная комиссия Ставропольского края</v>
      </c>
      <c r="W27" s="7682"/>
      <c r="X27" s="7682"/>
      <c r="Y27" s="7682"/>
      <c r="Z27" s="7682"/>
      <c r="AA27" s="7682"/>
      <c r="AB27" s="248"/>
      <c r="AC27" s="7682" t="str">
        <f>IF(TITLE_NAME_OR_PR_CHANGE="",IF(TITLE_NAME_OR_PR="","",TITLE_NAME_OR_PR),TITLE_NAME_OR_PR_CHANGE)</f>
        <v>Региональная тарифная комиссия Ставропольского края</v>
      </c>
      <c r="AD27" s="7682"/>
      <c r="AE27" s="7682"/>
      <c r="AF27" s="7682"/>
      <c r="AG27" s="7682"/>
      <c r="AH27" s="7682"/>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7681" t="s">
        <v>597</v>
      </c>
      <c r="T28" s="7681"/>
      <c r="U28" s="1293"/>
      <c r="V28" s="7691">
        <f>IF(TITLE_DATE_PR_CHANGE="",IF(TITLE_DATE_PR="","",TITLE_DATE_PR),TITLE_DATE_PR_CHANGE)</f>
        <v>45278</v>
      </c>
      <c r="W28" s="7691"/>
      <c r="X28" s="7691"/>
      <c r="Y28" s="7691"/>
      <c r="Z28" s="7691"/>
      <c r="AA28" s="7691"/>
      <c r="AB28" s="248"/>
      <c r="AC28" s="7691">
        <f>IF(TITLE_DATE_PR_CHANGE="",IF(TITLE_DATE_PR="","",TITLE_DATE_PR),TITLE_DATE_PR_CHANGE)</f>
        <v>45278</v>
      </c>
      <c r="AD28" s="7691"/>
      <c r="AE28" s="7691"/>
      <c r="AF28" s="7691"/>
      <c r="AG28" s="7691"/>
      <c r="AH28" s="7691"/>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7681" t="s">
        <v>598</v>
      </c>
      <c r="T29" s="7681"/>
      <c r="U29" s="1293"/>
      <c r="V29" s="7682" t="str">
        <f>IF(TITLE_NUMBER_PR_CHANGE="",IF(TITLE_NUMBER_PR="","",TITLE_NUMBER_PR),TITLE_NUMBER_PR_CHANGE)</f>
        <v>79/2</v>
      </c>
      <c r="W29" s="7682"/>
      <c r="X29" s="7682"/>
      <c r="Y29" s="7682"/>
      <c r="Z29" s="7682"/>
      <c r="AA29" s="7682"/>
      <c r="AB29" s="248"/>
      <c r="AC29" s="7682" t="str">
        <f>IF(TITLE_NUMBER_PR_CHANGE="",IF(TITLE_NUMBER_PR="","",TITLE_NUMBER_PR),TITLE_NUMBER_PR_CHANGE)</f>
        <v>79/2</v>
      </c>
      <c r="AD29" s="7682"/>
      <c r="AE29" s="7682"/>
      <c r="AF29" s="7682"/>
      <c r="AG29" s="7682"/>
      <c r="AH29" s="7682"/>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7681" t="s">
        <v>40</v>
      </c>
      <c r="T30" s="7681"/>
      <c r="U30" s="1293"/>
      <c r="V30" s="7682" t="str">
        <f>IF(TITLE_IST_PUB_CHANGE="",IF(TITLE_IST_PUB="","",TITLE_IST_PUB),TITLE_IST_PUB_CHANGE)</f>
        <v>http://pravo.stavregion.ru/</v>
      </c>
      <c r="W30" s="7682"/>
      <c r="X30" s="7682"/>
      <c r="Y30" s="7682"/>
      <c r="Z30" s="7682"/>
      <c r="AA30" s="7682"/>
      <c r="AB30" s="248"/>
      <c r="AC30" s="7682" t="str">
        <f>IF(TITLE_IST_PUB_CHANGE="",IF(TITLE_IST_PUB="","",TITLE_IST_PUB),TITLE_IST_PUB_CHANGE)</f>
        <v>http://pravo.stavregion.ru/</v>
      </c>
      <c r="AD30" s="7682"/>
      <c r="AE30" s="7682"/>
      <c r="AF30" s="7682"/>
      <c r="AG30" s="7682"/>
      <c r="AH30" s="7682"/>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7681" t="s">
        <v>599</v>
      </c>
      <c r="T32" s="7681"/>
      <c r="U32" s="1293"/>
      <c r="V32" s="7691">
        <f>IF(TITLE_DATE_PR_CHANGE="",IF(TITLE_DATE_PR="","",TITLE_DATE_PR),TITLE_DATE_PR_CHANGE)</f>
        <v>45278</v>
      </c>
      <c r="W32" s="7691"/>
      <c r="X32" s="7691"/>
      <c r="Y32" s="7691"/>
      <c r="Z32" s="7691"/>
      <c r="AA32" s="7691"/>
      <c r="AB32" s="248"/>
      <c r="AC32" s="7691">
        <f>IF(TITLE_DATE_PR_CHANGE="",IF(TITLE_DATE_PR="","",TITLE_DATE_PR),TITLE_DATE_PR_CHANGE)</f>
        <v>45278</v>
      </c>
      <c r="AD32" s="7691"/>
      <c r="AE32" s="7691"/>
      <c r="AF32" s="7691"/>
      <c r="AG32" s="7691"/>
      <c r="AH32" s="7691"/>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7681" t="s">
        <v>600</v>
      </c>
      <c r="T33" s="7681"/>
      <c r="U33" s="1293"/>
      <c r="V33" s="7682" t="str">
        <f>IF(TITLE_NUMBER_PR_CHANGE="",IF(TITLE_NUMBER_PR="","",TITLE_NUMBER_PR),TITLE_NUMBER_PR_CHANGE)</f>
        <v>79/2</v>
      </c>
      <c r="W33" s="7682"/>
      <c r="X33" s="7682"/>
      <c r="Y33" s="7682"/>
      <c r="Z33" s="7682"/>
      <c r="AA33" s="7682"/>
      <c r="AB33" s="248"/>
      <c r="AC33" s="7682" t="str">
        <f>IF(TITLE_NUMBER_PR_CHANGE="",IF(TITLE_NUMBER_PR="","",TITLE_NUMBER_PR),TITLE_NUMBER_PR_CHANGE)</f>
        <v>79/2</v>
      </c>
      <c r="AD33" s="7682"/>
      <c r="AE33" s="7682"/>
      <c r="AF33" s="7682"/>
      <c r="AG33" s="7682"/>
      <c r="AH33" s="7682"/>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601</v>
      </c>
      <c r="AC34" s="248"/>
      <c r="AD34" s="248"/>
      <c r="AE34" s="248"/>
      <c r="AF34" s="248"/>
      <c r="AG34" s="248"/>
      <c r="AH34" s="248"/>
      <c r="AI34" s="194" t="s">
        <v>601</v>
      </c>
      <c r="AL34" s="292"/>
      <c r="AM34" s="292"/>
      <c r="AN34" s="292"/>
      <c r="AO34" s="292"/>
      <c r="AP34" s="292"/>
    </row>
    <row r="35" spans="1:42" ht="14.25" customHeight="1">
      <c r="Q35" s="300"/>
      <c r="R35" s="300"/>
      <c r="S35" s="1200"/>
      <c r="T35" s="286"/>
      <c r="U35" s="1158"/>
      <c r="V35" s="7683"/>
      <c r="W35" s="7683"/>
      <c r="X35" s="7683"/>
      <c r="Y35" s="7683"/>
      <c r="Z35" s="7683"/>
      <c r="AA35" s="7683"/>
      <c r="AB35" s="7683"/>
      <c r="AC35" s="7683"/>
      <c r="AD35" s="7683"/>
      <c r="AE35" s="7683"/>
      <c r="AF35" s="7683"/>
      <c r="AG35" s="7683"/>
      <c r="AH35" s="7683"/>
      <c r="AI35" s="7683"/>
    </row>
    <row r="36" spans="1:42" ht="14.25" customHeight="1">
      <c r="Q36" s="300"/>
      <c r="R36" s="300"/>
      <c r="S36" s="7559" t="s">
        <v>474</v>
      </c>
      <c r="T36" s="7559"/>
      <c r="U36" s="7559"/>
      <c r="V36" s="7559"/>
      <c r="W36" s="7559"/>
      <c r="X36" s="7559"/>
      <c r="Y36" s="7559"/>
      <c r="Z36" s="7559"/>
      <c r="AA36" s="7559"/>
      <c r="AB36" s="7559"/>
      <c r="AC36" s="7559"/>
      <c r="AD36" s="7559"/>
      <c r="AE36" s="7559"/>
      <c r="AF36" s="7559"/>
      <c r="AG36" s="7559"/>
      <c r="AH36" s="7559"/>
      <c r="AI36" s="7559"/>
      <c r="AJ36" s="7559"/>
      <c r="AK36" s="7559" t="s">
        <v>475</v>
      </c>
    </row>
    <row r="37" spans="1:42" ht="14.25" customHeight="1">
      <c r="Q37" s="300"/>
      <c r="R37" s="300"/>
      <c r="S37" s="7697" t="s">
        <v>86</v>
      </c>
      <c r="T37" s="7649" t="s">
        <v>602</v>
      </c>
      <c r="U37" s="215"/>
      <c r="V37" s="7698" t="s">
        <v>603</v>
      </c>
      <c r="W37" s="7699"/>
      <c r="X37" s="7699"/>
      <c r="Y37" s="7699"/>
      <c r="Z37" s="7699"/>
      <c r="AA37" s="7700"/>
      <c r="AB37" s="7701" t="s">
        <v>604</v>
      </c>
      <c r="AC37" s="7698" t="s">
        <v>603</v>
      </c>
      <c r="AD37" s="7699"/>
      <c r="AE37" s="7699"/>
      <c r="AF37" s="7699"/>
      <c r="AG37" s="7699"/>
      <c r="AH37" s="7700"/>
      <c r="AI37" s="7701" t="s">
        <v>605</v>
      </c>
      <c r="AJ37" s="7704" t="s">
        <v>606</v>
      </c>
      <c r="AK37" s="7559"/>
    </row>
    <row r="38" spans="1:42" ht="33.75" customHeight="1">
      <c r="Q38" s="300"/>
      <c r="R38" s="300"/>
      <c r="S38" s="7697"/>
      <c r="T38" s="7649"/>
      <c r="U38" s="942"/>
      <c r="V38" s="1398" t="s">
        <v>662</v>
      </c>
      <c r="W38" s="7530" t="s">
        <v>609</v>
      </c>
      <c r="X38" s="7529"/>
      <c r="Y38" s="7530" t="s">
        <v>610</v>
      </c>
      <c r="Z38" s="7536"/>
      <c r="AA38" s="7529"/>
      <c r="AB38" s="7702"/>
      <c r="AC38" s="1398" t="s">
        <v>662</v>
      </c>
      <c r="AD38" s="7530" t="s">
        <v>609</v>
      </c>
      <c r="AE38" s="7529"/>
      <c r="AF38" s="7530" t="s">
        <v>610</v>
      </c>
      <c r="AG38" s="7536"/>
      <c r="AH38" s="7529"/>
      <c r="AI38" s="7702"/>
      <c r="AJ38" s="7705"/>
      <c r="AK38" s="7559"/>
    </row>
    <row r="39" spans="1:42" ht="86.25" customHeight="1">
      <c r="A39" s="1291"/>
      <c r="B39" s="1291" t="s">
        <v>249</v>
      </c>
      <c r="C39" s="1291" t="s">
        <v>250</v>
      </c>
      <c r="D39" s="1291" t="s">
        <v>251</v>
      </c>
      <c r="E39" s="1285" t="s">
        <v>611</v>
      </c>
      <c r="F39" s="1285" t="s">
        <v>612</v>
      </c>
      <c r="G39" s="1285" t="s">
        <v>613</v>
      </c>
      <c r="H39" s="1285"/>
      <c r="I39" s="1285" t="s">
        <v>663</v>
      </c>
      <c r="J39" s="1285" t="s">
        <v>616</v>
      </c>
      <c r="K39" s="1285" t="s">
        <v>664</v>
      </c>
      <c r="L39" s="1285" t="s">
        <v>592</v>
      </c>
      <c r="Q39" s="300"/>
      <c r="R39" s="300"/>
      <c r="S39" s="7697"/>
      <c r="T39" s="7649"/>
      <c r="U39" s="216"/>
      <c r="V39" s="1398" t="s">
        <v>693</v>
      </c>
      <c r="W39" s="1133" t="s">
        <v>694</v>
      </c>
      <c r="X39" s="1133" t="s">
        <v>667</v>
      </c>
      <c r="Y39" s="1404" t="s">
        <v>620</v>
      </c>
      <c r="Z39" s="7657" t="s">
        <v>621</v>
      </c>
      <c r="AA39" s="7659"/>
      <c r="AB39" s="7703"/>
      <c r="AC39" s="1398" t="s">
        <v>693</v>
      </c>
      <c r="AD39" s="1133" t="s">
        <v>694</v>
      </c>
      <c r="AE39" s="1133" t="s">
        <v>667</v>
      </c>
      <c r="AF39" s="1404" t="s">
        <v>620</v>
      </c>
      <c r="AG39" s="7657" t="s">
        <v>621</v>
      </c>
      <c r="AH39" s="7659"/>
      <c r="AI39" s="7703"/>
      <c r="AJ39" s="7706"/>
      <c r="AK39" s="7559"/>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100</v>
      </c>
      <c r="U40" s="1159" t="str">
        <f ca="1">OFFSET(U40,0,-1)</f>
        <v>2</v>
      </c>
      <c r="V40" s="1397">
        <f ca="1">OFFSET(V40,0,-1)+1</f>
        <v>3</v>
      </c>
      <c r="W40" s="1397">
        <f ca="1">OFFSET(W40,0,-1)+1</f>
        <v>4</v>
      </c>
      <c r="X40" s="1397">
        <f ca="1">OFFSET(X40,0,-1)+1</f>
        <v>5</v>
      </c>
      <c r="Y40" s="1397">
        <f ca="1">OFFSET(Y40,0,-1)+1</f>
        <v>6</v>
      </c>
      <c r="Z40" s="7696">
        <f ca="1">OFFSET(Z40,0,-1)+1</f>
        <v>7</v>
      </c>
      <c r="AA40" s="7696"/>
      <c r="AB40" s="1397">
        <f ca="1">OFFSET(AB40,0,-2)+1</f>
        <v>8</v>
      </c>
      <c r="AC40" s="1397">
        <f ca="1">OFFSET(AC40,0,-1)+1</f>
        <v>9</v>
      </c>
      <c r="AD40" s="1397">
        <f ca="1">OFFSET(AD40,0,-1)+1</f>
        <v>10</v>
      </c>
      <c r="AE40" s="1397">
        <f ca="1">OFFSET(AE40,0,-1)+1</f>
        <v>11</v>
      </c>
      <c r="AF40" s="1397">
        <f ca="1">OFFSET(AF40,0,-1)+1</f>
        <v>12</v>
      </c>
      <c r="AG40" s="7696">
        <f ca="1">OFFSET(AG40,0,-1)+1</f>
        <v>13</v>
      </c>
      <c r="AH40" s="7696"/>
      <c r="AI40" s="1397">
        <f ca="1">OFFSET(AI40,0,-2)+1</f>
        <v>14</v>
      </c>
      <c r="AJ40" s="1159">
        <f ca="1">OFFSET(AJ40,0,-1)</f>
        <v>14</v>
      </c>
      <c r="AK40" s="1397">
        <f ca="1">OFFSET(AK40,0,-1)+1</f>
        <v>15</v>
      </c>
      <c r="AL40" s="435"/>
      <c r="AM40" s="435"/>
      <c r="AN40" s="435"/>
      <c r="AO40" s="435"/>
      <c r="AP40" s="435"/>
    </row>
    <row r="41" spans="1:42" ht="23.25" customHeight="1">
      <c r="A41" s="1284" t="s">
        <v>440</v>
      </c>
      <c r="B41" s="1284"/>
      <c r="C41" s="1284"/>
      <c r="D41" s="1284"/>
      <c r="E41" s="7689">
        <v>1</v>
      </c>
      <c r="F41" s="1284"/>
      <c r="G41" s="1284"/>
      <c r="H41" s="1284"/>
      <c r="I41" s="1284"/>
      <c r="J41" s="1284"/>
      <c r="K41" s="1284"/>
      <c r="L41" s="1285"/>
      <c r="M41" s="1286"/>
      <c r="N41" s="1286"/>
      <c r="O41" s="1286"/>
      <c r="P41" s="282"/>
      <c r="Q41" s="281"/>
      <c r="R41" s="276"/>
      <c r="S41" s="1408">
        <f>INDEX(PT_DIFFERENTIATION_NUM_NTAR,MATCH(A41,PT_DIFFERENTIATION_NTAR_ID,0))</f>
        <v>0</v>
      </c>
      <c r="T41" s="212" t="s">
        <v>237</v>
      </c>
      <c r="U41" s="214"/>
      <c r="V41" s="7675"/>
      <c r="W41" s="7676"/>
      <c r="X41" s="7676"/>
      <c r="Y41" s="7676"/>
      <c r="Z41" s="7676"/>
      <c r="AA41" s="7676"/>
      <c r="AB41" s="7677"/>
      <c r="AC41" s="7675" t="str">
        <f>INDEX(PT_DIFFERENTIATION_NTAR,MATCH(A41,PT_DIFFERENTIATION_NTAR_ID,0))</f>
        <v/>
      </c>
      <c r="AD41" s="7676"/>
      <c r="AE41" s="7676"/>
      <c r="AF41" s="7676"/>
      <c r="AG41" s="7676"/>
      <c r="AH41" s="7676"/>
      <c r="AI41" s="7676"/>
      <c r="AJ41" s="7677"/>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440</v>
      </c>
      <c r="B42" s="1284" t="s">
        <v>441</v>
      </c>
      <c r="C42" s="1284"/>
      <c r="D42" s="1284"/>
      <c r="E42" s="7690"/>
      <c r="F42" s="7689">
        <v>1</v>
      </c>
      <c r="G42" s="1284"/>
      <c r="H42" s="1284"/>
      <c r="I42" s="1284"/>
      <c r="J42" s="1284"/>
      <c r="K42" s="1284"/>
      <c r="L42" s="1285"/>
      <c r="M42" s="1286"/>
      <c r="N42" s="1286"/>
      <c r="O42" s="1286"/>
      <c r="P42" s="1402"/>
      <c r="Q42" s="273"/>
      <c r="R42" s="274"/>
      <c r="S42" s="1408" t="str">
        <f>INDEX(PT_DIFFERENTIATION_NUM_TER,MATCH(B42,PT_DIFFERENTIATION_TER_ID,0))</f>
        <v>.</v>
      </c>
      <c r="T42" s="224" t="s">
        <v>573</v>
      </c>
      <c r="U42" s="214"/>
      <c r="V42" s="7675"/>
      <c r="W42" s="7676"/>
      <c r="X42" s="7676"/>
      <c r="Y42" s="7676"/>
      <c r="Z42" s="7676"/>
      <c r="AA42" s="7676"/>
      <c r="AB42" s="7677"/>
      <c r="AC42" s="7675" t="str">
        <f>INDEX(PT_DIFFERENTIATION_TER,MATCH(B42,PT_DIFFERENTIATION_TER_ID,0))</f>
        <v/>
      </c>
      <c r="AD42" s="7676"/>
      <c r="AE42" s="7676"/>
      <c r="AF42" s="7676"/>
      <c r="AG42" s="7676"/>
      <c r="AH42" s="7676"/>
      <c r="AI42" s="7676"/>
      <c r="AJ42" s="7677"/>
      <c r="AK42" s="1182" t="s">
        <v>574</v>
      </c>
      <c r="AM42" s="424"/>
      <c r="AN42" s="424" t="str">
        <f t="shared" si="1"/>
        <v>Территория действия тарифа</v>
      </c>
      <c r="AO42" s="424"/>
      <c r="AP42" s="424"/>
    </row>
    <row r="43" spans="1:42" ht="23.25" customHeight="1">
      <c r="A43" s="1284" t="s">
        <v>440</v>
      </c>
      <c r="B43" s="1284" t="s">
        <v>441</v>
      </c>
      <c r="C43" s="1284" t="s">
        <v>442</v>
      </c>
      <c r="D43" s="1284"/>
      <c r="E43" s="7690"/>
      <c r="F43" s="7690"/>
      <c r="G43" s="7689">
        <v>1</v>
      </c>
      <c r="H43" s="1284"/>
      <c r="I43" s="1284"/>
      <c r="J43" s="1284"/>
      <c r="K43" s="1284"/>
      <c r="L43" s="1285"/>
      <c r="M43" s="1286"/>
      <c r="N43" s="1286"/>
      <c r="O43" s="1286"/>
      <c r="P43" s="275"/>
      <c r="Q43" s="273"/>
      <c r="R43" s="274"/>
      <c r="S43" s="1408" t="str">
        <f>INDEX(PT_DIFFERENTIATION_NUM_CS,MATCH(C43,PT_DIFFERENTIATION_CS_ID,0))</f>
        <v>..</v>
      </c>
      <c r="T43" s="225" t="s">
        <v>691</v>
      </c>
      <c r="U43" s="214"/>
      <c r="V43" s="7675"/>
      <c r="W43" s="7676"/>
      <c r="X43" s="7676"/>
      <c r="Y43" s="7676"/>
      <c r="Z43" s="7676"/>
      <c r="AA43" s="7676"/>
      <c r="AB43" s="7677"/>
      <c r="AC43" s="7675" t="str">
        <f>INDEX(PT_DIFFERENTIATION_CS,MATCH(C43,PT_DIFFERENTIATION_CS_ID,0))</f>
        <v/>
      </c>
      <c r="AD43" s="7676"/>
      <c r="AE43" s="7676"/>
      <c r="AF43" s="7676"/>
      <c r="AG43" s="7676"/>
      <c r="AH43" s="7676"/>
      <c r="AI43" s="7676"/>
      <c r="AJ43" s="7677"/>
      <c r="AK43" s="1182" t="s">
        <v>692</v>
      </c>
      <c r="AM43" s="424"/>
      <c r="AN43" s="424" t="str">
        <f t="shared" si="1"/>
        <v>Наименование централизованной системы водоотведения</v>
      </c>
      <c r="AO43" s="424"/>
      <c r="AP43" s="424"/>
    </row>
    <row r="44" spans="1:42" ht="23.25" customHeight="1">
      <c r="A44" s="1284" t="s">
        <v>440</v>
      </c>
      <c r="B44" s="1284" t="s">
        <v>441</v>
      </c>
      <c r="C44" s="1284" t="s">
        <v>442</v>
      </c>
      <c r="D44" s="1284" t="s">
        <v>695</v>
      </c>
      <c r="E44" s="7690"/>
      <c r="F44" s="7690"/>
      <c r="G44" s="7690"/>
      <c r="H44" s="7690"/>
      <c r="I44" s="7687" t="str">
        <f>S43&amp;".1"</f>
        <v>...1</v>
      </c>
      <c r="J44" s="1284"/>
      <c r="K44" s="1284"/>
      <c r="L44" s="1285"/>
      <c r="P44" s="7688">
        <v>1</v>
      </c>
      <c r="Q44" s="1396"/>
      <c r="R44" s="277"/>
      <c r="S44" s="1408" t="str">
        <f>$I44</f>
        <v>...1</v>
      </c>
      <c r="T44" s="200" t="s">
        <v>656</v>
      </c>
      <c r="U44" s="214"/>
      <c r="V44" s="7748"/>
      <c r="W44" s="7749"/>
      <c r="X44" s="7749"/>
      <c r="Y44" s="7749"/>
      <c r="Z44" s="7749"/>
      <c r="AA44" s="7749"/>
      <c r="AB44" s="7750"/>
      <c r="AC44" s="7751"/>
      <c r="AD44" s="7752"/>
      <c r="AE44" s="7752"/>
      <c r="AF44" s="7752"/>
      <c r="AG44" s="7752"/>
      <c r="AH44" s="7752"/>
      <c r="AI44" s="7752"/>
      <c r="AJ44" s="7753"/>
      <c r="AK44" s="1182" t="s">
        <v>657</v>
      </c>
      <c r="AM44" s="424"/>
      <c r="AN44" s="424" t="str">
        <f t="shared" si="1"/>
        <v>Наименование признака дифференциации</v>
      </c>
      <c r="AO44" s="424"/>
      <c r="AP44" s="424"/>
    </row>
    <row r="45" spans="1:42" ht="23.25" customHeight="1">
      <c r="A45" s="1284" t="s">
        <v>440</v>
      </c>
      <c r="B45" s="1284" t="s">
        <v>441</v>
      </c>
      <c r="C45" s="1284" t="s">
        <v>442</v>
      </c>
      <c r="D45" s="1284" t="s">
        <v>695</v>
      </c>
      <c r="E45" s="7690"/>
      <c r="F45" s="7690"/>
      <c r="G45" s="7690"/>
      <c r="H45" s="7690"/>
      <c r="I45" s="7710"/>
      <c r="J45" s="7687" t="str">
        <f>I44&amp;".1"</f>
        <v>...1.1</v>
      </c>
      <c r="K45" s="1284"/>
      <c r="L45" s="1285" t="s">
        <v>582</v>
      </c>
      <c r="P45" s="7688"/>
      <c r="Q45" s="7688">
        <v>1</v>
      </c>
      <c r="R45" s="278"/>
      <c r="S45" s="1408" t="str">
        <f>$J45</f>
        <v>...1.1</v>
      </c>
      <c r="T45" s="201" t="s">
        <v>583</v>
      </c>
      <c r="U45" s="214"/>
      <c r="V45" s="7678"/>
      <c r="W45" s="7679"/>
      <c r="X45" s="7679"/>
      <c r="Y45" s="7679"/>
      <c r="Z45" s="7679"/>
      <c r="AA45" s="7679"/>
      <c r="AB45" s="7680"/>
      <c r="AC45" s="7678"/>
      <c r="AD45" s="7679"/>
      <c r="AE45" s="7679"/>
      <c r="AF45" s="7679"/>
      <c r="AG45" s="7679"/>
      <c r="AH45" s="7679"/>
      <c r="AI45" s="7679"/>
      <c r="AJ45" s="7680"/>
      <c r="AK45" s="1231" t="s">
        <v>658</v>
      </c>
      <c r="AM45" s="424"/>
      <c r="AN45" s="424" t="str">
        <f t="shared" si="1"/>
        <v>Группа потребителей</v>
      </c>
      <c r="AO45" s="424"/>
      <c r="AP45" s="424"/>
    </row>
    <row r="46" spans="1:42" ht="23.25" customHeight="1">
      <c r="A46" s="1284" t="s">
        <v>440</v>
      </c>
      <c r="B46" s="1284" t="s">
        <v>441</v>
      </c>
      <c r="C46" s="1284" t="s">
        <v>442</v>
      </c>
      <c r="D46" s="1284" t="s">
        <v>695</v>
      </c>
      <c r="E46" s="7690"/>
      <c r="F46" s="7690"/>
      <c r="G46" s="7690"/>
      <c r="H46" s="7690"/>
      <c r="I46" s="7710"/>
      <c r="J46" s="7710"/>
      <c r="K46" s="7687" t="str">
        <f>J45&amp;".1"</f>
        <v>...1.1.1</v>
      </c>
      <c r="L46" s="1285"/>
      <c r="P46" s="7688"/>
      <c r="Q46" s="7688"/>
      <c r="R46" s="278">
        <v>1</v>
      </c>
      <c r="S46" s="1408" t="str">
        <f>$K46</f>
        <v>...1.1.1</v>
      </c>
      <c r="T46" s="1357"/>
      <c r="U46" s="214"/>
      <c r="V46" s="1281"/>
      <c r="W46" s="1281"/>
      <c r="X46" s="1282"/>
      <c r="Y46" s="7694"/>
      <c r="Z46" s="7695" t="s">
        <v>60</v>
      </c>
      <c r="AA46" s="7694"/>
      <c r="AB46" s="7695" t="s">
        <v>60</v>
      </c>
      <c r="AC46" s="666"/>
      <c r="AD46" s="666"/>
      <c r="AE46" s="1181"/>
      <c r="AF46" s="7692"/>
      <c r="AG46" s="7540" t="s">
        <v>60</v>
      </c>
      <c r="AH46" s="7711"/>
      <c r="AI46" s="7540" t="s">
        <v>55</v>
      </c>
      <c r="AJ46" s="1358"/>
      <c r="AK4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440</v>
      </c>
      <c r="B47" s="1284" t="s">
        <v>441</v>
      </c>
      <c r="C47" s="1284" t="s">
        <v>442</v>
      </c>
      <c r="D47" s="1284" t="s">
        <v>695</v>
      </c>
      <c r="E47" s="7690"/>
      <c r="F47" s="7690"/>
      <c r="G47" s="7690"/>
      <c r="H47" s="7690"/>
      <c r="I47" s="7710"/>
      <c r="J47" s="7710"/>
      <c r="K47" s="7687"/>
      <c r="L47" s="1285"/>
      <c r="P47" s="7688"/>
      <c r="Q47" s="7688"/>
      <c r="R47" s="278"/>
      <c r="S47" s="1405"/>
      <c r="T47" s="214"/>
      <c r="U47" s="214"/>
      <c r="V47" s="1281"/>
      <c r="W47" s="1281"/>
      <c r="X47" s="250" t="str">
        <f>Y46&amp;"-"&amp;AA46</f>
        <v>-</v>
      </c>
      <c r="Y47" s="7695"/>
      <c r="Z47" s="7695"/>
      <c r="AA47" s="7695"/>
      <c r="AB47" s="7695"/>
      <c r="AC47" s="246"/>
      <c r="AD47" s="246"/>
      <c r="AE47" s="250" t="str">
        <f>AF46&amp;"-"&amp;AH46</f>
        <v>-</v>
      </c>
      <c r="AF47" s="7693"/>
      <c r="AG47" s="7540"/>
      <c r="AH47" s="7712"/>
      <c r="AI47" s="7540"/>
      <c r="AJ47" s="1359"/>
      <c r="AK47" s="7747"/>
      <c r="AM47" s="424"/>
      <c r="AN47" s="424" t="str">
        <f t="shared" si="1"/>
        <v/>
      </c>
      <c r="AO47" s="424"/>
      <c r="AP47" s="424"/>
    </row>
    <row r="48" spans="1:42" ht="21" customHeight="1">
      <c r="A48" s="1284" t="s">
        <v>440</v>
      </c>
      <c r="B48" s="1284" t="s">
        <v>441</v>
      </c>
      <c r="C48" s="1284" t="s">
        <v>442</v>
      </c>
      <c r="D48" s="1284" t="s">
        <v>695</v>
      </c>
      <c r="E48" s="7690"/>
      <c r="F48" s="7690"/>
      <c r="G48" s="7690"/>
      <c r="H48" s="7690"/>
      <c r="I48" s="7710"/>
      <c r="J48" s="7687"/>
      <c r="K48" s="1284"/>
      <c r="L48" s="1285"/>
      <c r="P48" s="7688"/>
      <c r="Q48" s="7688"/>
      <c r="R48" s="277"/>
      <c r="S48" s="1203"/>
      <c r="T48" s="202" t="s">
        <v>659</v>
      </c>
      <c r="U48" s="291"/>
      <c r="V48" s="291"/>
      <c r="W48" s="291"/>
      <c r="X48" s="291"/>
      <c r="Y48" s="291"/>
      <c r="Z48" s="291"/>
      <c r="AA48" s="291"/>
      <c r="AB48" s="291"/>
      <c r="AC48" s="291"/>
      <c r="AD48" s="291"/>
      <c r="AE48" s="291"/>
      <c r="AF48" s="291"/>
      <c r="AG48" s="291"/>
      <c r="AH48" s="291"/>
      <c r="AI48" s="291"/>
      <c r="AJ48" s="291"/>
      <c r="AK48" s="1182" t="s">
        <v>660</v>
      </c>
      <c r="AM48" s="424"/>
      <c r="AN48" s="424" t="str">
        <f t="shared" si="1"/>
        <v>Добавить значение признака дифференциации</v>
      </c>
      <c r="AO48" s="424"/>
      <c r="AP48" s="424"/>
    </row>
    <row r="49" spans="1:42" ht="21" customHeight="1">
      <c r="A49" s="1284" t="s">
        <v>440</v>
      </c>
      <c r="B49" s="1284" t="s">
        <v>441</v>
      </c>
      <c r="C49" s="1284" t="s">
        <v>442</v>
      </c>
      <c r="D49" s="1284" t="s">
        <v>695</v>
      </c>
      <c r="E49" s="7690"/>
      <c r="F49" s="7690"/>
      <c r="G49" s="7690"/>
      <c r="H49" s="7690"/>
      <c r="I49" s="7687"/>
      <c r="J49" s="1284"/>
      <c r="K49" s="1284"/>
      <c r="L49" s="1285"/>
      <c r="P49" s="7688"/>
      <c r="Q49" s="1396"/>
      <c r="R49" s="277"/>
      <c r="S49" s="1203"/>
      <c r="T49" s="288" t="s">
        <v>588</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440</v>
      </c>
      <c r="B50" s="1284" t="s">
        <v>441</v>
      </c>
      <c r="C50" s="1284" t="s">
        <v>442</v>
      </c>
      <c r="D50" s="1284" t="s">
        <v>695</v>
      </c>
      <c r="E50" s="7690"/>
      <c r="F50" s="7690"/>
      <c r="G50" s="7690"/>
      <c r="H50" s="7689"/>
      <c r="I50" s="1284"/>
      <c r="J50" s="1284"/>
      <c r="K50" s="1284"/>
      <c r="L50" s="1285"/>
      <c r="M50" s="1286"/>
      <c r="N50" s="1286"/>
      <c r="O50" s="460"/>
      <c r="P50" s="281"/>
      <c r="Q50" s="299"/>
      <c r="R50" s="276"/>
      <c r="S50" s="1203"/>
      <c r="T50" s="296" t="s">
        <v>661</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440</v>
      </c>
      <c r="B51" s="1265" t="s">
        <v>441</v>
      </c>
      <c r="C51" s="1237"/>
      <c r="D51" s="1237"/>
      <c r="E51" s="7690"/>
      <c r="F51" s="7689"/>
      <c r="G51" s="1237"/>
      <c r="H51" s="1237"/>
      <c r="I51" s="1237"/>
      <c r="J51" s="1237"/>
      <c r="K51" s="1237"/>
      <c r="L51" s="1409"/>
      <c r="M51" s="1244"/>
      <c r="N51" s="1244"/>
      <c r="P51" s="1239"/>
      <c r="Q51" s="1240"/>
      <c r="R51" s="1239"/>
      <c r="S51" s="1245"/>
      <c r="T51" s="1248" t="s">
        <v>325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440</v>
      </c>
      <c r="B52" s="1265"/>
      <c r="C52" s="1265"/>
      <c r="D52" s="1265"/>
      <c r="E52" s="7689"/>
      <c r="F52" s="1265"/>
      <c r="G52" s="1265"/>
      <c r="H52" s="1265"/>
      <c r="I52" s="1265"/>
      <c r="J52" s="1265"/>
      <c r="K52" s="1265"/>
      <c r="L52" s="1268"/>
      <c r="M52" s="1244"/>
      <c r="N52" s="1244"/>
      <c r="O52" s="442"/>
      <c r="P52" s="308"/>
      <c r="Q52" s="1266"/>
      <c r="R52" s="308"/>
      <c r="S52" s="1245"/>
      <c r="T52" s="1248" t="s">
        <v>326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402</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7709"/>
      <c r="U55" s="7709"/>
      <c r="V55" s="7709"/>
      <c r="W55" s="7709"/>
      <c r="X55" s="7709"/>
      <c r="Y55" s="7709"/>
      <c r="Z55" s="7709"/>
      <c r="AA55" s="7709"/>
      <c r="AB55" s="7709"/>
      <c r="AC55" s="7709"/>
      <c r="AD55" s="7709"/>
      <c r="AE55" s="7709"/>
      <c r="AF55" s="7709"/>
      <c r="AG55" s="7709"/>
      <c r="AH55" s="7709"/>
      <c r="AI55" s="7709"/>
      <c r="AJ55" s="7709"/>
      <c r="AK55" s="7709"/>
    </row>
    <row r="56" spans="1:42" ht="14.25" customHeight="1">
      <c r="O56" s="460"/>
    </row>
    <row r="57" spans="1:42" ht="14.25" customHeight="1">
      <c r="O57" s="460"/>
      <c r="S57" s="1169"/>
      <c r="T57" s="7709"/>
      <c r="U57" s="7709"/>
      <c r="V57" s="7709"/>
      <c r="W57" s="7709"/>
      <c r="X57" s="7709"/>
      <c r="Y57" s="7709"/>
      <c r="Z57" s="7709"/>
      <c r="AA57" s="7709"/>
      <c r="AB57" s="7709"/>
      <c r="AC57" s="7709"/>
      <c r="AD57" s="7709"/>
      <c r="AE57" s="7709"/>
      <c r="AF57" s="7709"/>
      <c r="AG57" s="7709"/>
      <c r="AH57" s="7709"/>
      <c r="AI57" s="7709"/>
      <c r="AJ57" s="7709"/>
      <c r="AK57" s="770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5" hidden="1" customWidth="1"/>
    <col min="13" max="14" width="12.28515625" style="1696" hidden="1" customWidth="1"/>
    <col min="15" max="15" width="23.42578125" style="1696" hidden="1" customWidth="1"/>
    <col min="16" max="16" width="3.7109375" style="1817" customWidth="1"/>
    <col min="17" max="18" width="3.7109375" style="265" customWidth="1"/>
    <col min="19" max="19" width="12.7109375" style="1820"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7689">
        <v>1</v>
      </c>
      <c r="F2" s="1284"/>
      <c r="G2" s="1284"/>
      <c r="H2" s="1284"/>
      <c r="I2" s="1284"/>
      <c r="J2" s="1284"/>
      <c r="K2" s="1284"/>
      <c r="L2" s="1285"/>
      <c r="M2" s="1286"/>
      <c r="N2" s="1286"/>
      <c r="O2" s="1286"/>
      <c r="P2" s="282"/>
      <c r="Q2" s="281"/>
      <c r="R2" s="276"/>
      <c r="S2" s="1408" t="e">
        <f>INDEX(PT_DIFFERENTIATION_NUM_NTAR,MATCH(A2,PT_DIFFERENTIATION_NTAR_ID,0))</f>
        <v>#N/A</v>
      </c>
      <c r="T2" s="212" t="s">
        <v>237</v>
      </c>
      <c r="U2" s="214"/>
      <c r="V2" s="7675"/>
      <c r="W2" s="7676"/>
      <c r="X2" s="7676"/>
      <c r="Y2" s="7676"/>
      <c r="Z2" s="7676"/>
      <c r="AA2" s="7676"/>
      <c r="AB2" s="7677"/>
      <c r="AC2" s="7675" t="e">
        <f>INDEX(PT_DIFFERENTIATION_NTAR,MATCH(A2,PT_DIFFERENTIATION_NTAR_ID,0))</f>
        <v>#N/A</v>
      </c>
      <c r="AD2" s="7676"/>
      <c r="AE2" s="7676"/>
      <c r="AF2" s="7676"/>
      <c r="AG2" s="7676"/>
      <c r="AH2" s="7676"/>
      <c r="AI2" s="7676"/>
      <c r="AJ2" s="7677"/>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7690"/>
      <c r="F3" s="7689">
        <v>1</v>
      </c>
      <c r="G3" s="1284"/>
      <c r="H3" s="1284"/>
      <c r="I3" s="1284"/>
      <c r="J3" s="1284"/>
      <c r="K3" s="1284"/>
      <c r="L3" s="1285"/>
      <c r="M3" s="1286"/>
      <c r="N3" s="1286"/>
      <c r="O3" s="1286"/>
      <c r="P3" s="1402"/>
      <c r="Q3" s="273"/>
      <c r="R3" s="274"/>
      <c r="S3" s="1408" t="e">
        <f>INDEX(PT_DIFFERENTIATION_NUM_TER,MATCH(B3,PT_DIFFERENTIATION_TER_ID,0))</f>
        <v>#N/A</v>
      </c>
      <c r="T3" s="224" t="s">
        <v>573</v>
      </c>
      <c r="U3" s="214"/>
      <c r="V3" s="7675"/>
      <c r="W3" s="7676"/>
      <c r="X3" s="7676"/>
      <c r="Y3" s="7676"/>
      <c r="Z3" s="7676"/>
      <c r="AA3" s="7676"/>
      <c r="AB3" s="7677"/>
      <c r="AC3" s="7675" t="e">
        <f>INDEX(PT_DIFFERENTIATION_TER,MATCH(B3,PT_DIFFERENTIATION_TER_ID,0))</f>
        <v>#N/A</v>
      </c>
      <c r="AD3" s="7676"/>
      <c r="AE3" s="7676"/>
      <c r="AF3" s="7676"/>
      <c r="AG3" s="7676"/>
      <c r="AH3" s="7676"/>
      <c r="AI3" s="7676"/>
      <c r="AJ3" s="7677"/>
      <c r="AK3" s="1182" t="s">
        <v>574</v>
      </c>
      <c r="AM3" s="424"/>
      <c r="AN3" s="424" t="str">
        <f t="shared" si="0"/>
        <v>Территория действия тарифа</v>
      </c>
      <c r="AO3" s="424"/>
      <c r="AP3" s="424"/>
    </row>
    <row r="4" spans="1:42" ht="23.25" hidden="1" customHeight="1">
      <c r="A4" s="1284"/>
      <c r="B4" s="1284"/>
      <c r="C4" s="1284"/>
      <c r="D4" s="1284"/>
      <c r="E4" s="7690"/>
      <c r="F4" s="7690"/>
      <c r="G4" s="7689">
        <v>1</v>
      </c>
      <c r="H4" s="1284"/>
      <c r="I4" s="1284"/>
      <c r="J4" s="1284"/>
      <c r="K4" s="1284"/>
      <c r="L4" s="1285"/>
      <c r="M4" s="1286"/>
      <c r="N4" s="1286"/>
      <c r="O4" s="1286"/>
      <c r="P4" s="275"/>
      <c r="Q4" s="273"/>
      <c r="R4" s="274"/>
      <c r="S4" s="1408" t="e">
        <f>INDEX(PT_DIFFERENTIATION_NUM_CS,MATCH(C4,PT_DIFFERENTIATION_CS_ID,0))</f>
        <v>#N/A</v>
      </c>
      <c r="T4" s="225" t="s">
        <v>691</v>
      </c>
      <c r="U4" s="214"/>
      <c r="V4" s="7675"/>
      <c r="W4" s="7676"/>
      <c r="X4" s="7676"/>
      <c r="Y4" s="7676"/>
      <c r="Z4" s="7676"/>
      <c r="AA4" s="7676"/>
      <c r="AB4" s="7677"/>
      <c r="AC4" s="7675" t="e">
        <f>INDEX(PT_DIFFERENTIATION_CS,MATCH(C4,PT_DIFFERENTIATION_CS_ID,0))</f>
        <v>#N/A</v>
      </c>
      <c r="AD4" s="7676"/>
      <c r="AE4" s="7676"/>
      <c r="AF4" s="7676"/>
      <c r="AG4" s="7676"/>
      <c r="AH4" s="7676"/>
      <c r="AI4" s="7676"/>
      <c r="AJ4" s="7677"/>
      <c r="AK4" s="1182" t="s">
        <v>692</v>
      </c>
      <c r="AM4" s="424"/>
      <c r="AN4" s="424" t="str">
        <f t="shared" si="0"/>
        <v>Наименование централизованной системы водоотведения</v>
      </c>
      <c r="AO4" s="424"/>
      <c r="AP4" s="424"/>
    </row>
    <row r="5" spans="1:42" ht="23.25" hidden="1" customHeight="1">
      <c r="A5" s="1284"/>
      <c r="B5" s="1284"/>
      <c r="C5" s="1284"/>
      <c r="D5" s="1284"/>
      <c r="E5" s="7690"/>
      <c r="F5" s="7690"/>
      <c r="G5" s="7690"/>
      <c r="H5" s="7690"/>
      <c r="I5" s="7687" t="e">
        <f>S4&amp;".1"</f>
        <v>#N/A</v>
      </c>
      <c r="J5" s="1284"/>
      <c r="K5" s="1284"/>
      <c r="L5" s="1285"/>
      <c r="P5" s="7688">
        <v>1</v>
      </c>
      <c r="Q5" s="1396"/>
      <c r="R5" s="277"/>
      <c r="S5" s="1408" t="e">
        <f>$I5</f>
        <v>#N/A</v>
      </c>
      <c r="T5" s="200" t="s">
        <v>656</v>
      </c>
      <c r="U5" s="214"/>
      <c r="V5" s="7748"/>
      <c r="W5" s="7749"/>
      <c r="X5" s="7749"/>
      <c r="Y5" s="7749"/>
      <c r="Z5" s="7749"/>
      <c r="AA5" s="7749"/>
      <c r="AB5" s="7750"/>
      <c r="AC5" s="7751"/>
      <c r="AD5" s="7752"/>
      <c r="AE5" s="7752"/>
      <c r="AF5" s="7752"/>
      <c r="AG5" s="7752"/>
      <c r="AH5" s="7752"/>
      <c r="AI5" s="7752"/>
      <c r="AJ5" s="7753"/>
      <c r="AK5" s="1182" t="s">
        <v>657</v>
      </c>
      <c r="AM5" s="424"/>
      <c r="AN5" s="424" t="str">
        <f t="shared" si="0"/>
        <v>Наименование признака дифференциации</v>
      </c>
      <c r="AO5" s="424"/>
      <c r="AP5" s="424"/>
    </row>
    <row r="6" spans="1:42" ht="23.25" hidden="1" customHeight="1">
      <c r="A6" s="1284"/>
      <c r="B6" s="1284"/>
      <c r="C6" s="1284"/>
      <c r="D6" s="1284"/>
      <c r="E6" s="7690"/>
      <c r="F6" s="7690"/>
      <c r="G6" s="7690"/>
      <c r="H6" s="7690"/>
      <c r="I6" s="7710"/>
      <c r="J6" s="7687" t="e">
        <f>I5&amp;".1"</f>
        <v>#N/A</v>
      </c>
      <c r="K6" s="1284"/>
      <c r="L6" s="1285" t="s">
        <v>582</v>
      </c>
      <c r="P6" s="7688"/>
      <c r="Q6" s="7688">
        <v>1</v>
      </c>
      <c r="R6" s="278"/>
      <c r="S6" s="1408" t="e">
        <f>$J6</f>
        <v>#N/A</v>
      </c>
      <c r="T6" s="201" t="s">
        <v>583</v>
      </c>
      <c r="U6" s="214"/>
      <c r="V6" s="7678"/>
      <c r="W6" s="7679"/>
      <c r="X6" s="7679"/>
      <c r="Y6" s="7679"/>
      <c r="Z6" s="7679"/>
      <c r="AA6" s="7679"/>
      <c r="AB6" s="7680"/>
      <c r="AC6" s="7678"/>
      <c r="AD6" s="7679"/>
      <c r="AE6" s="7679"/>
      <c r="AF6" s="7679"/>
      <c r="AG6" s="7679"/>
      <c r="AH6" s="7679"/>
      <c r="AI6" s="7679"/>
      <c r="AJ6" s="7680"/>
      <c r="AK6" s="1231" t="s">
        <v>658</v>
      </c>
      <c r="AM6" s="424"/>
      <c r="AN6" s="424" t="str">
        <f t="shared" si="0"/>
        <v>Группа потребителей</v>
      </c>
      <c r="AO6" s="424"/>
      <c r="AP6" s="424"/>
    </row>
    <row r="7" spans="1:42" ht="23.25" hidden="1" customHeight="1">
      <c r="A7" s="1284"/>
      <c r="B7" s="1284"/>
      <c r="C7" s="1284"/>
      <c r="D7" s="1284"/>
      <c r="E7" s="7690"/>
      <c r="F7" s="7690"/>
      <c r="G7" s="7690"/>
      <c r="H7" s="7690"/>
      <c r="I7" s="7710"/>
      <c r="J7" s="7710"/>
      <c r="K7" s="7687" t="e">
        <f>J6&amp;".1"</f>
        <v>#N/A</v>
      </c>
      <c r="L7" s="1285"/>
      <c r="P7" s="7688"/>
      <c r="Q7" s="7688"/>
      <c r="R7" s="278">
        <v>1</v>
      </c>
      <c r="S7" s="1408" t="e">
        <f>$K7</f>
        <v>#N/A</v>
      </c>
      <c r="T7" s="1357"/>
      <c r="U7" s="214"/>
      <c r="V7" s="666"/>
      <c r="W7" s="666"/>
      <c r="X7" s="1181"/>
      <c r="Y7" s="7692"/>
      <c r="Z7" s="7540" t="s">
        <v>60</v>
      </c>
      <c r="AA7" s="7692"/>
      <c r="AB7" s="7540" t="s">
        <v>60</v>
      </c>
      <c r="AC7" s="666"/>
      <c r="AD7" s="666"/>
      <c r="AE7" s="1181"/>
      <c r="AF7" s="7692"/>
      <c r="AG7" s="7540" t="s">
        <v>60</v>
      </c>
      <c r="AH7" s="7711"/>
      <c r="AI7" s="7540" t="s">
        <v>60</v>
      </c>
      <c r="AJ7" s="1358"/>
      <c r="AK7"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7690"/>
      <c r="F8" s="7690"/>
      <c r="G8" s="7690"/>
      <c r="H8" s="7690"/>
      <c r="I8" s="7710"/>
      <c r="J8" s="7710"/>
      <c r="K8" s="7687"/>
      <c r="L8" s="1285"/>
      <c r="P8" s="7688"/>
      <c r="Q8" s="7688"/>
      <c r="R8" s="278"/>
      <c r="S8" s="1405"/>
      <c r="T8" s="214"/>
      <c r="U8" s="214"/>
      <c r="V8" s="246"/>
      <c r="W8" s="246"/>
      <c r="X8" s="250" t="str">
        <f>Y7&amp;"-"&amp;AA7</f>
        <v>-</v>
      </c>
      <c r="Y8" s="7693"/>
      <c r="Z8" s="7540"/>
      <c r="AA8" s="7693"/>
      <c r="AB8" s="7540"/>
      <c r="AC8" s="246"/>
      <c r="AD8" s="246"/>
      <c r="AE8" s="250" t="str">
        <f>AF7&amp;"-"&amp;AH7</f>
        <v>-</v>
      </c>
      <c r="AF8" s="7693"/>
      <c r="AG8" s="7540"/>
      <c r="AH8" s="7712"/>
      <c r="AI8" s="7540"/>
      <c r="AJ8" s="1359"/>
      <c r="AK8" s="7747"/>
      <c r="AM8" s="424"/>
      <c r="AN8" s="424" t="str">
        <f t="shared" si="0"/>
        <v/>
      </c>
      <c r="AO8" s="424"/>
      <c r="AP8" s="424"/>
    </row>
    <row r="9" spans="1:42" ht="21" hidden="1" customHeight="1">
      <c r="A9" s="1284"/>
      <c r="B9" s="1284"/>
      <c r="C9" s="1284"/>
      <c r="D9" s="1284"/>
      <c r="E9" s="7690"/>
      <c r="F9" s="7690"/>
      <c r="G9" s="7690"/>
      <c r="H9" s="7690"/>
      <c r="I9" s="7710"/>
      <c r="J9" s="7687"/>
      <c r="K9" s="1284"/>
      <c r="L9" s="1285"/>
      <c r="P9" s="7688"/>
      <c r="Q9" s="7688"/>
      <c r="R9" s="277"/>
      <c r="S9" s="1203"/>
      <c r="T9" s="202" t="s">
        <v>659</v>
      </c>
      <c r="U9" s="291"/>
      <c r="V9" s="291"/>
      <c r="W9" s="291"/>
      <c r="X9" s="291"/>
      <c r="Y9" s="291"/>
      <c r="Z9" s="291"/>
      <c r="AA9" s="291"/>
      <c r="AB9" s="291"/>
      <c r="AC9" s="291"/>
      <c r="AD9" s="291"/>
      <c r="AE9" s="291"/>
      <c r="AF9" s="291"/>
      <c r="AG9" s="291"/>
      <c r="AH9" s="291"/>
      <c r="AI9" s="291"/>
      <c r="AJ9" s="291"/>
      <c r="AK9" s="1182" t="s">
        <v>660</v>
      </c>
      <c r="AM9" s="424"/>
      <c r="AN9" s="424" t="str">
        <f t="shared" si="0"/>
        <v>Добавить значение признака дифференциации</v>
      </c>
      <c r="AO9" s="424"/>
      <c r="AP9" s="424"/>
    </row>
    <row r="10" spans="1:42" ht="21" hidden="1" customHeight="1">
      <c r="A10" s="1284"/>
      <c r="B10" s="1284"/>
      <c r="C10" s="1284"/>
      <c r="D10" s="1284"/>
      <c r="E10" s="7690"/>
      <c r="F10" s="7690"/>
      <c r="G10" s="7690"/>
      <c r="H10" s="7690"/>
      <c r="I10" s="7687"/>
      <c r="J10" s="1284"/>
      <c r="K10" s="1284"/>
      <c r="L10" s="1285"/>
      <c r="P10" s="7688"/>
      <c r="Q10" s="1396"/>
      <c r="R10" s="277"/>
      <c r="S10" s="1203"/>
      <c r="T10" s="288" t="s">
        <v>588</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7690"/>
      <c r="F11" s="7690"/>
      <c r="G11" s="7690"/>
      <c r="H11" s="7689"/>
      <c r="I11" s="1284"/>
      <c r="J11" s="1284"/>
      <c r="K11" s="1284"/>
      <c r="L11" s="1285"/>
      <c r="M11" s="1286"/>
      <c r="N11" s="1286"/>
      <c r="O11" s="460"/>
      <c r="P11" s="281"/>
      <c r="Q11" s="299"/>
      <c r="R11" s="276"/>
      <c r="S11" s="1203"/>
      <c r="T11" s="296" t="s">
        <v>661</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7690"/>
      <c r="F12" s="7689"/>
      <c r="G12" s="1237"/>
      <c r="H12" s="1237"/>
      <c r="I12" s="1237"/>
      <c r="J12" s="1237"/>
      <c r="K12" s="1237"/>
      <c r="L12" s="1409"/>
      <c r="M12" s="1244"/>
      <c r="N12" s="1244"/>
      <c r="P12" s="1239"/>
      <c r="Q12" s="1240"/>
      <c r="R12" s="1239"/>
      <c r="S12" s="1245"/>
      <c r="T12" s="1248" t="s">
        <v>325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7689"/>
      <c r="F13" s="1265"/>
      <c r="G13" s="1265"/>
      <c r="H13" s="1265"/>
      <c r="I13" s="1265"/>
      <c r="J13" s="1265"/>
      <c r="K13" s="1265"/>
      <c r="L13" s="1268"/>
      <c r="M13" s="1244"/>
      <c r="N13" s="1244"/>
      <c r="O13" s="442"/>
      <c r="P13" s="308"/>
      <c r="Q13" s="1266"/>
      <c r="R13" s="308"/>
      <c r="S13" s="1245"/>
      <c r="T13" s="1248" t="s">
        <v>326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7694"/>
      <c r="AG15" s="7695" t="s">
        <v>60</v>
      </c>
      <c r="AH15" s="7694"/>
      <c r="AI15" s="7695" t="s">
        <v>60</v>
      </c>
    </row>
    <row r="16" spans="1:42" ht="14.25" hidden="1" customHeight="1">
      <c r="AC16" s="1281"/>
      <c r="AD16" s="1281"/>
      <c r="AE16" s="250" t="str">
        <f>AF15&amp;"-"&amp;AH15</f>
        <v>-</v>
      </c>
      <c r="AF16" s="7695"/>
      <c r="AG16" s="7695"/>
      <c r="AH16" s="7695"/>
      <c r="AI16" s="7695"/>
    </row>
    <row r="17" spans="1:42" ht="14.25" hidden="1" customHeight="1">
      <c r="AI17" s="249"/>
    </row>
    <row r="18" spans="1:42" s="1287" customFormat="1" ht="22.5" hidden="1" customHeight="1">
      <c r="L18" s="1393"/>
      <c r="M18" s="1283"/>
      <c r="N18" s="1283"/>
      <c r="O18" s="1288" t="s">
        <v>591</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592</v>
      </c>
      <c r="P20" s="1283"/>
      <c r="Q20" s="1361"/>
      <c r="R20" s="1361"/>
      <c r="S20" s="646"/>
      <c r="T20" s="1065" t="s">
        <v>593</v>
      </c>
      <c r="Z20" s="104" t="s">
        <v>594</v>
      </c>
      <c r="AB20" s="104" t="s">
        <v>595</v>
      </c>
      <c r="AC20" s="1065" t="s">
        <v>593</v>
      </c>
      <c r="AG20" s="104" t="s">
        <v>596</v>
      </c>
      <c r="AI20" s="104" t="s">
        <v>595</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767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7673"/>
      <c r="U24" s="7673"/>
      <c r="V24" s="7673"/>
      <c r="W24" s="7673"/>
      <c r="X24" s="7673"/>
      <c r="Y24" s="7673"/>
      <c r="Z24" s="7673"/>
      <c r="AA24" s="7673"/>
      <c r="AB24" s="7673"/>
      <c r="AC24" s="7673"/>
      <c r="AD24" s="7673"/>
      <c r="AE24" s="7673"/>
      <c r="AF24" s="7673"/>
      <c r="AG24" s="7673"/>
      <c r="AH24" s="7673"/>
      <c r="AI24" s="1157"/>
    </row>
    <row r="25" spans="1:42" ht="14.25" customHeight="1">
      <c r="Q25" s="300"/>
      <c r="R25" s="300"/>
      <c r="S25" s="7620" t="str">
        <f>IF(org=0,"Не определено",org)</f>
        <v>ГУП СК "Ставрополькрайводоканал"</v>
      </c>
      <c r="T25" s="7620"/>
      <c r="U25" s="7620"/>
      <c r="V25" s="7620"/>
      <c r="W25" s="7620"/>
      <c r="X25" s="7620"/>
      <c r="Y25" s="7620"/>
      <c r="Z25" s="7620"/>
      <c r="AA25" s="7620"/>
      <c r="AB25" s="7620"/>
      <c r="AC25" s="7620"/>
      <c r="AD25" s="7620"/>
      <c r="AE25" s="7620"/>
      <c r="AF25" s="7620"/>
      <c r="AG25" s="7620"/>
      <c r="AH25" s="7620"/>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7681" t="s">
        <v>38</v>
      </c>
      <c r="T27" s="7681"/>
      <c r="U27" s="1293"/>
      <c r="V27" s="7682" t="str">
        <f>IF(TITLE_NAME_OR_PR_CHANGE="",IF(TITLE_NAME_OR_PR="","",TITLE_NAME_OR_PR),TITLE_NAME_OR_PR_CHANGE)</f>
        <v>Региональная тарифная комиссия Ставропольского края</v>
      </c>
      <c r="W27" s="7682"/>
      <c r="X27" s="7682"/>
      <c r="Y27" s="7682"/>
      <c r="Z27" s="7682"/>
      <c r="AA27" s="7682"/>
      <c r="AB27" s="248"/>
      <c r="AC27" s="7682" t="str">
        <f>IF(TITLE_NAME_OR_PR_CHANGE="",IF(TITLE_NAME_OR_PR="","",TITLE_NAME_OR_PR),TITLE_NAME_OR_PR_CHANGE)</f>
        <v>Региональная тарифная комиссия Ставропольского края</v>
      </c>
      <c r="AD27" s="7682"/>
      <c r="AE27" s="7682"/>
      <c r="AF27" s="7682"/>
      <c r="AG27" s="7682"/>
      <c r="AH27" s="7682"/>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7681" t="s">
        <v>597</v>
      </c>
      <c r="T28" s="7681"/>
      <c r="U28" s="1293"/>
      <c r="V28" s="7691">
        <f>IF(TITLE_DATE_PR_CHANGE="",IF(TITLE_DATE_PR="","",TITLE_DATE_PR),TITLE_DATE_PR_CHANGE)</f>
        <v>45278</v>
      </c>
      <c r="W28" s="7691"/>
      <c r="X28" s="7691"/>
      <c r="Y28" s="7691"/>
      <c r="Z28" s="7691"/>
      <c r="AA28" s="7691"/>
      <c r="AB28" s="248"/>
      <c r="AC28" s="7691">
        <f>IF(TITLE_DATE_PR_CHANGE="",IF(TITLE_DATE_PR="","",TITLE_DATE_PR),TITLE_DATE_PR_CHANGE)</f>
        <v>45278</v>
      </c>
      <c r="AD28" s="7691"/>
      <c r="AE28" s="7691"/>
      <c r="AF28" s="7691"/>
      <c r="AG28" s="7691"/>
      <c r="AH28" s="7691"/>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7681" t="s">
        <v>598</v>
      </c>
      <c r="T29" s="7681"/>
      <c r="U29" s="1293"/>
      <c r="V29" s="7682" t="str">
        <f>IF(TITLE_NUMBER_PR_CHANGE="",IF(TITLE_NUMBER_PR="","",TITLE_NUMBER_PR),TITLE_NUMBER_PR_CHANGE)</f>
        <v>79/2</v>
      </c>
      <c r="W29" s="7682"/>
      <c r="X29" s="7682"/>
      <c r="Y29" s="7682"/>
      <c r="Z29" s="7682"/>
      <c r="AA29" s="7682"/>
      <c r="AB29" s="248"/>
      <c r="AC29" s="7682" t="str">
        <f>IF(TITLE_NUMBER_PR_CHANGE="",IF(TITLE_NUMBER_PR="","",TITLE_NUMBER_PR),TITLE_NUMBER_PR_CHANGE)</f>
        <v>79/2</v>
      </c>
      <c r="AD29" s="7682"/>
      <c r="AE29" s="7682"/>
      <c r="AF29" s="7682"/>
      <c r="AG29" s="7682"/>
      <c r="AH29" s="7682"/>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7681" t="s">
        <v>40</v>
      </c>
      <c r="T30" s="7681"/>
      <c r="U30" s="1293"/>
      <c r="V30" s="7682" t="str">
        <f>IF(TITLE_IST_PUB_CHANGE="",IF(TITLE_IST_PUB="","",TITLE_IST_PUB),TITLE_IST_PUB_CHANGE)</f>
        <v>http://pravo.stavregion.ru/</v>
      </c>
      <c r="W30" s="7682"/>
      <c r="X30" s="7682"/>
      <c r="Y30" s="7682"/>
      <c r="Z30" s="7682"/>
      <c r="AA30" s="7682"/>
      <c r="AB30" s="248"/>
      <c r="AC30" s="7682" t="str">
        <f>IF(TITLE_IST_PUB_CHANGE="",IF(TITLE_IST_PUB="","",TITLE_IST_PUB),TITLE_IST_PUB_CHANGE)</f>
        <v>http://pravo.stavregion.ru/</v>
      </c>
      <c r="AD30" s="7682"/>
      <c r="AE30" s="7682"/>
      <c r="AF30" s="7682"/>
      <c r="AG30" s="7682"/>
      <c r="AH30" s="7682"/>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7681" t="s">
        <v>599</v>
      </c>
      <c r="T32" s="7681"/>
      <c r="U32" s="1293"/>
      <c r="V32" s="7691">
        <f>IF(TITLE_DATE_PR_CHANGE="",IF(TITLE_DATE_PR="","",TITLE_DATE_PR),TITLE_DATE_PR_CHANGE)</f>
        <v>45278</v>
      </c>
      <c r="W32" s="7691"/>
      <c r="X32" s="7691"/>
      <c r="Y32" s="7691"/>
      <c r="Z32" s="7691"/>
      <c r="AA32" s="7691"/>
      <c r="AB32" s="248"/>
      <c r="AC32" s="7691">
        <f>IF(TITLE_DATE_PR_CHANGE="",IF(TITLE_DATE_PR="","",TITLE_DATE_PR),TITLE_DATE_PR_CHANGE)</f>
        <v>45278</v>
      </c>
      <c r="AD32" s="7691"/>
      <c r="AE32" s="7691"/>
      <c r="AF32" s="7691"/>
      <c r="AG32" s="7691"/>
      <c r="AH32" s="7691"/>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7681" t="s">
        <v>600</v>
      </c>
      <c r="T33" s="7681"/>
      <c r="U33" s="1293"/>
      <c r="V33" s="7682" t="str">
        <f>IF(TITLE_NUMBER_PR_CHANGE="",IF(TITLE_NUMBER_PR="","",TITLE_NUMBER_PR),TITLE_NUMBER_PR_CHANGE)</f>
        <v>79/2</v>
      </c>
      <c r="W33" s="7682"/>
      <c r="X33" s="7682"/>
      <c r="Y33" s="7682"/>
      <c r="Z33" s="7682"/>
      <c r="AA33" s="7682"/>
      <c r="AB33" s="248"/>
      <c r="AC33" s="7682" t="str">
        <f>IF(TITLE_NUMBER_PR_CHANGE="",IF(TITLE_NUMBER_PR="","",TITLE_NUMBER_PR),TITLE_NUMBER_PR_CHANGE)</f>
        <v>79/2</v>
      </c>
      <c r="AD33" s="7682"/>
      <c r="AE33" s="7682"/>
      <c r="AF33" s="7682"/>
      <c r="AG33" s="7682"/>
      <c r="AH33" s="7682"/>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601</v>
      </c>
      <c r="AC34" s="248"/>
      <c r="AD34" s="248"/>
      <c r="AE34" s="248"/>
      <c r="AF34" s="248"/>
      <c r="AG34" s="248"/>
      <c r="AH34" s="248"/>
      <c r="AI34" s="194" t="s">
        <v>601</v>
      </c>
      <c r="AL34" s="292"/>
      <c r="AM34" s="292"/>
      <c r="AN34" s="292"/>
      <c r="AO34" s="292"/>
      <c r="AP34" s="292"/>
    </row>
    <row r="35" spans="1:42" ht="14.25" customHeight="1">
      <c r="Q35" s="300"/>
      <c r="R35" s="300"/>
      <c r="S35" s="1200"/>
      <c r="T35" s="286"/>
      <c r="U35" s="1158"/>
      <c r="V35" s="7683"/>
      <c r="W35" s="7683"/>
      <c r="X35" s="7683"/>
      <c r="Y35" s="7683"/>
      <c r="Z35" s="7683"/>
      <c r="AA35" s="7683"/>
      <c r="AB35" s="7683"/>
      <c r="AC35" s="7683"/>
      <c r="AD35" s="7683"/>
      <c r="AE35" s="7683"/>
      <c r="AF35" s="7683"/>
      <c r="AG35" s="7683"/>
      <c r="AH35" s="7683"/>
      <c r="AI35" s="7683"/>
    </row>
    <row r="36" spans="1:42" ht="14.25" customHeight="1">
      <c r="Q36" s="300"/>
      <c r="R36" s="300"/>
      <c r="S36" s="7559" t="s">
        <v>474</v>
      </c>
      <c r="T36" s="7559"/>
      <c r="U36" s="7559"/>
      <c r="V36" s="7559"/>
      <c r="W36" s="7559"/>
      <c r="X36" s="7559"/>
      <c r="Y36" s="7559"/>
      <c r="Z36" s="7559"/>
      <c r="AA36" s="7559"/>
      <c r="AB36" s="7559"/>
      <c r="AC36" s="7559"/>
      <c r="AD36" s="7559"/>
      <c r="AE36" s="7559"/>
      <c r="AF36" s="7559"/>
      <c r="AG36" s="7559"/>
      <c r="AH36" s="7559"/>
      <c r="AI36" s="7559"/>
      <c r="AJ36" s="7559"/>
      <c r="AK36" s="7559" t="s">
        <v>475</v>
      </c>
    </row>
    <row r="37" spans="1:42" ht="14.25" customHeight="1">
      <c r="Q37" s="300"/>
      <c r="R37" s="300"/>
      <c r="S37" s="7697" t="s">
        <v>86</v>
      </c>
      <c r="T37" s="7649" t="s">
        <v>602</v>
      </c>
      <c r="U37" s="215"/>
      <c r="V37" s="7698" t="s">
        <v>603</v>
      </c>
      <c r="W37" s="7699"/>
      <c r="X37" s="7699"/>
      <c r="Y37" s="7699"/>
      <c r="Z37" s="7699"/>
      <c r="AA37" s="7700"/>
      <c r="AB37" s="7701" t="s">
        <v>604</v>
      </c>
      <c r="AC37" s="7698" t="s">
        <v>603</v>
      </c>
      <c r="AD37" s="7699"/>
      <c r="AE37" s="7699"/>
      <c r="AF37" s="7699"/>
      <c r="AG37" s="7699"/>
      <c r="AH37" s="7700"/>
      <c r="AI37" s="7701" t="s">
        <v>605</v>
      </c>
      <c r="AJ37" s="7704" t="s">
        <v>606</v>
      </c>
      <c r="AK37" s="7559"/>
    </row>
    <row r="38" spans="1:42" ht="33.75" customHeight="1">
      <c r="Q38" s="300"/>
      <c r="R38" s="300"/>
      <c r="S38" s="7697"/>
      <c r="T38" s="7649"/>
      <c r="U38" s="942"/>
      <c r="V38" s="1398" t="s">
        <v>662</v>
      </c>
      <c r="W38" s="7530" t="s">
        <v>609</v>
      </c>
      <c r="X38" s="7529"/>
      <c r="Y38" s="7530" t="s">
        <v>610</v>
      </c>
      <c r="Z38" s="7536"/>
      <c r="AA38" s="7529"/>
      <c r="AB38" s="7702"/>
      <c r="AC38" s="1398" t="s">
        <v>662</v>
      </c>
      <c r="AD38" s="7530" t="s">
        <v>609</v>
      </c>
      <c r="AE38" s="7529"/>
      <c r="AF38" s="7530" t="s">
        <v>610</v>
      </c>
      <c r="AG38" s="7536"/>
      <c r="AH38" s="7529"/>
      <c r="AI38" s="7702"/>
      <c r="AJ38" s="7705"/>
      <c r="AK38" s="7559"/>
    </row>
    <row r="39" spans="1:42" ht="86.25" customHeight="1">
      <c r="A39" s="1291"/>
      <c r="B39" s="1291" t="s">
        <v>249</v>
      </c>
      <c r="C39" s="1291" t="s">
        <v>250</v>
      </c>
      <c r="D39" s="1291" t="s">
        <v>251</v>
      </c>
      <c r="E39" s="1285" t="s">
        <v>611</v>
      </c>
      <c r="F39" s="1285" t="s">
        <v>612</v>
      </c>
      <c r="G39" s="1285" t="s">
        <v>613</v>
      </c>
      <c r="H39" s="1285"/>
      <c r="I39" s="1285" t="s">
        <v>663</v>
      </c>
      <c r="J39" s="1285" t="s">
        <v>616</v>
      </c>
      <c r="K39" s="1285" t="s">
        <v>664</v>
      </c>
      <c r="L39" s="1285" t="s">
        <v>592</v>
      </c>
      <c r="Q39" s="300"/>
      <c r="R39" s="300"/>
      <c r="S39" s="7697"/>
      <c r="T39" s="7649"/>
      <c r="U39" s="216"/>
      <c r="V39" s="1398" t="s">
        <v>693</v>
      </c>
      <c r="W39" s="1133" t="s">
        <v>694</v>
      </c>
      <c r="X39" s="1133" t="s">
        <v>667</v>
      </c>
      <c r="Y39" s="1404" t="s">
        <v>620</v>
      </c>
      <c r="Z39" s="7657" t="s">
        <v>621</v>
      </c>
      <c r="AA39" s="7659"/>
      <c r="AB39" s="7703"/>
      <c r="AC39" s="1398" t="s">
        <v>693</v>
      </c>
      <c r="AD39" s="1133" t="s">
        <v>694</v>
      </c>
      <c r="AE39" s="1133" t="s">
        <v>667</v>
      </c>
      <c r="AF39" s="1404" t="s">
        <v>620</v>
      </c>
      <c r="AG39" s="7657" t="s">
        <v>621</v>
      </c>
      <c r="AH39" s="7659"/>
      <c r="AI39" s="7703"/>
      <c r="AJ39" s="7706"/>
      <c r="AK39" s="7559"/>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100</v>
      </c>
      <c r="U40" s="1159" t="str">
        <f ca="1">OFFSET(U40,0,-1)</f>
        <v>2</v>
      </c>
      <c r="V40" s="1397">
        <f ca="1">OFFSET(V40,0,-1)+1</f>
        <v>3</v>
      </c>
      <c r="W40" s="1397">
        <f ca="1">OFFSET(W40,0,-1)+1</f>
        <v>4</v>
      </c>
      <c r="X40" s="1397">
        <f ca="1">OFFSET(X40,0,-1)+1</f>
        <v>5</v>
      </c>
      <c r="Y40" s="1397">
        <f ca="1">OFFSET(Y40,0,-1)+1</f>
        <v>6</v>
      </c>
      <c r="Z40" s="7696">
        <f ca="1">OFFSET(Z40,0,-1)+1</f>
        <v>7</v>
      </c>
      <c r="AA40" s="7696"/>
      <c r="AB40" s="1397">
        <f ca="1">OFFSET(AB40,0,-2)+1</f>
        <v>8</v>
      </c>
      <c r="AC40" s="1397">
        <f ca="1">OFFSET(AC40,0,-1)+1</f>
        <v>9</v>
      </c>
      <c r="AD40" s="1397">
        <f ca="1">OFFSET(AD40,0,-1)+1</f>
        <v>10</v>
      </c>
      <c r="AE40" s="1397">
        <f ca="1">OFFSET(AE40,0,-1)+1</f>
        <v>11</v>
      </c>
      <c r="AF40" s="1397">
        <f ca="1">OFFSET(AF40,0,-1)+1</f>
        <v>12</v>
      </c>
      <c r="AG40" s="7696">
        <f ca="1">OFFSET(AG40,0,-1)+1</f>
        <v>13</v>
      </c>
      <c r="AH40" s="7696"/>
      <c r="AI40" s="1397">
        <f ca="1">OFFSET(AI40,0,-2)+1</f>
        <v>14</v>
      </c>
      <c r="AJ40" s="1159">
        <f ca="1">OFFSET(AJ40,0,-1)</f>
        <v>14</v>
      </c>
      <c r="AK40" s="1397">
        <f ca="1">OFFSET(AK40,0,-1)+1</f>
        <v>15</v>
      </c>
      <c r="AL40" s="435"/>
      <c r="AM40" s="435"/>
      <c r="AN40" s="435"/>
      <c r="AO40" s="435"/>
      <c r="AP40" s="435"/>
    </row>
    <row r="41" spans="1:42" ht="23.25" customHeight="1">
      <c r="A41" s="1284" t="s">
        <v>445</v>
      </c>
      <c r="B41" s="1284"/>
      <c r="C41" s="1284"/>
      <c r="D41" s="1284"/>
      <c r="E41" s="7689">
        <v>1</v>
      </c>
      <c r="F41" s="1284"/>
      <c r="G41" s="1284"/>
      <c r="H41" s="1284"/>
      <c r="I41" s="1284"/>
      <c r="J41" s="1284"/>
      <c r="K41" s="1284"/>
      <c r="L41" s="1285"/>
      <c r="M41" s="1286"/>
      <c r="N41" s="1286"/>
      <c r="O41" s="1286"/>
      <c r="P41" s="282"/>
      <c r="Q41" s="281"/>
      <c r="R41" s="276"/>
      <c r="S41" s="1408">
        <f>INDEX(PT_DIFFERENTIATION_NUM_NTAR,MATCH(A41,PT_DIFFERENTIATION_NTAR_ID,0))</f>
        <v>0</v>
      </c>
      <c r="T41" s="212" t="s">
        <v>237</v>
      </c>
      <c r="U41" s="214"/>
      <c r="V41" s="7675"/>
      <c r="W41" s="7676"/>
      <c r="X41" s="7676"/>
      <c r="Y41" s="7676"/>
      <c r="Z41" s="7676"/>
      <c r="AA41" s="7676"/>
      <c r="AB41" s="7677"/>
      <c r="AC41" s="7675" t="str">
        <f>INDEX(PT_DIFFERENTIATION_NTAR,MATCH(A41,PT_DIFFERENTIATION_NTAR_ID,0))</f>
        <v/>
      </c>
      <c r="AD41" s="7676"/>
      <c r="AE41" s="7676"/>
      <c r="AF41" s="7676"/>
      <c r="AG41" s="7676"/>
      <c r="AH41" s="7676"/>
      <c r="AI41" s="7676"/>
      <c r="AJ41" s="7677"/>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445</v>
      </c>
      <c r="B42" s="1284" t="s">
        <v>446</v>
      </c>
      <c r="C42" s="1284"/>
      <c r="D42" s="1284"/>
      <c r="E42" s="7690"/>
      <c r="F42" s="7689">
        <v>1</v>
      </c>
      <c r="G42" s="1284"/>
      <c r="H42" s="1284"/>
      <c r="I42" s="1284"/>
      <c r="J42" s="1284"/>
      <c r="K42" s="1284"/>
      <c r="L42" s="1285"/>
      <c r="M42" s="1286"/>
      <c r="N42" s="1286"/>
      <c r="O42" s="1286"/>
      <c r="P42" s="1402"/>
      <c r="Q42" s="273"/>
      <c r="R42" s="274"/>
      <c r="S42" s="1408" t="str">
        <f>INDEX(PT_DIFFERENTIATION_NUM_TER,MATCH(B42,PT_DIFFERENTIATION_TER_ID,0))</f>
        <v>.</v>
      </c>
      <c r="T42" s="224" t="s">
        <v>573</v>
      </c>
      <c r="U42" s="214"/>
      <c r="V42" s="7675"/>
      <c r="W42" s="7676"/>
      <c r="X42" s="7676"/>
      <c r="Y42" s="7676"/>
      <c r="Z42" s="7676"/>
      <c r="AA42" s="7676"/>
      <c r="AB42" s="7677"/>
      <c r="AC42" s="7675" t="str">
        <f>INDEX(PT_DIFFERENTIATION_TER,MATCH(B42,PT_DIFFERENTIATION_TER_ID,0))</f>
        <v/>
      </c>
      <c r="AD42" s="7676"/>
      <c r="AE42" s="7676"/>
      <c r="AF42" s="7676"/>
      <c r="AG42" s="7676"/>
      <c r="AH42" s="7676"/>
      <c r="AI42" s="7676"/>
      <c r="AJ42" s="7677"/>
      <c r="AK42" s="1182" t="s">
        <v>574</v>
      </c>
      <c r="AM42" s="424"/>
      <c r="AN42" s="424" t="str">
        <f t="shared" si="1"/>
        <v>Территория действия тарифа</v>
      </c>
      <c r="AO42" s="424"/>
      <c r="AP42" s="424"/>
    </row>
    <row r="43" spans="1:42" ht="23.25" customHeight="1">
      <c r="A43" s="1284" t="s">
        <v>445</v>
      </c>
      <c r="B43" s="1284" t="s">
        <v>446</v>
      </c>
      <c r="C43" s="1284" t="s">
        <v>447</v>
      </c>
      <c r="D43" s="1284"/>
      <c r="E43" s="7690"/>
      <c r="F43" s="7690"/>
      <c r="G43" s="7689">
        <v>1</v>
      </c>
      <c r="H43" s="1284"/>
      <c r="I43" s="1284"/>
      <c r="J43" s="1284"/>
      <c r="K43" s="1284"/>
      <c r="L43" s="1285"/>
      <c r="M43" s="1286"/>
      <c r="N43" s="1286"/>
      <c r="O43" s="1286"/>
      <c r="P43" s="275"/>
      <c r="Q43" s="273"/>
      <c r="R43" s="274"/>
      <c r="S43" s="1408" t="str">
        <f>INDEX(PT_DIFFERENTIATION_NUM_CS,MATCH(C43,PT_DIFFERENTIATION_CS_ID,0))</f>
        <v>..</v>
      </c>
      <c r="T43" s="225" t="s">
        <v>691</v>
      </c>
      <c r="U43" s="214"/>
      <c r="V43" s="7675"/>
      <c r="W43" s="7676"/>
      <c r="X43" s="7676"/>
      <c r="Y43" s="7676"/>
      <c r="Z43" s="7676"/>
      <c r="AA43" s="7676"/>
      <c r="AB43" s="7677"/>
      <c r="AC43" s="7675" t="str">
        <f>INDEX(PT_DIFFERENTIATION_CS,MATCH(C43,PT_DIFFERENTIATION_CS_ID,0))</f>
        <v/>
      </c>
      <c r="AD43" s="7676"/>
      <c r="AE43" s="7676"/>
      <c r="AF43" s="7676"/>
      <c r="AG43" s="7676"/>
      <c r="AH43" s="7676"/>
      <c r="AI43" s="7676"/>
      <c r="AJ43" s="7677"/>
      <c r="AK43" s="1182" t="s">
        <v>692</v>
      </c>
      <c r="AM43" s="424"/>
      <c r="AN43" s="424" t="str">
        <f t="shared" si="1"/>
        <v>Наименование централизованной системы водоотведения</v>
      </c>
      <c r="AO43" s="424"/>
      <c r="AP43" s="424"/>
    </row>
    <row r="44" spans="1:42" ht="23.25" customHeight="1">
      <c r="A44" s="1284" t="s">
        <v>445</v>
      </c>
      <c r="B44" s="1284" t="s">
        <v>446</v>
      </c>
      <c r="C44" s="1284" t="s">
        <v>447</v>
      </c>
      <c r="D44" s="1284" t="s">
        <v>696</v>
      </c>
      <c r="E44" s="7690"/>
      <c r="F44" s="7690"/>
      <c r="G44" s="7690"/>
      <c r="H44" s="7690"/>
      <c r="I44" s="7687" t="str">
        <f>S43&amp;".1"</f>
        <v>...1</v>
      </c>
      <c r="J44" s="1284"/>
      <c r="K44" s="1284"/>
      <c r="L44" s="1285"/>
      <c r="P44" s="7688">
        <v>1</v>
      </c>
      <c r="Q44" s="1396"/>
      <c r="R44" s="277"/>
      <c r="S44" s="1408" t="str">
        <f>$I44</f>
        <v>...1</v>
      </c>
      <c r="T44" s="200" t="s">
        <v>656</v>
      </c>
      <c r="U44" s="214"/>
      <c r="V44" s="7748"/>
      <c r="W44" s="7749"/>
      <c r="X44" s="7749"/>
      <c r="Y44" s="7749"/>
      <c r="Z44" s="7749"/>
      <c r="AA44" s="7749"/>
      <c r="AB44" s="7750"/>
      <c r="AC44" s="7751"/>
      <c r="AD44" s="7752"/>
      <c r="AE44" s="7752"/>
      <c r="AF44" s="7752"/>
      <c r="AG44" s="7752"/>
      <c r="AH44" s="7752"/>
      <c r="AI44" s="7752"/>
      <c r="AJ44" s="7753"/>
      <c r="AK44" s="1182" t="s">
        <v>657</v>
      </c>
      <c r="AM44" s="424"/>
      <c r="AN44" s="424" t="str">
        <f t="shared" si="1"/>
        <v>Наименование признака дифференциации</v>
      </c>
      <c r="AO44" s="424"/>
      <c r="AP44" s="424"/>
    </row>
    <row r="45" spans="1:42" ht="23.25" customHeight="1">
      <c r="A45" s="1284" t="s">
        <v>445</v>
      </c>
      <c r="B45" s="1284" t="s">
        <v>446</v>
      </c>
      <c r="C45" s="1284" t="s">
        <v>447</v>
      </c>
      <c r="D45" s="1284" t="s">
        <v>696</v>
      </c>
      <c r="E45" s="7690"/>
      <c r="F45" s="7690"/>
      <c r="G45" s="7690"/>
      <c r="H45" s="7690"/>
      <c r="I45" s="7710"/>
      <c r="J45" s="7687" t="str">
        <f>I44&amp;".1"</f>
        <v>...1.1</v>
      </c>
      <c r="K45" s="1284"/>
      <c r="L45" s="1285" t="s">
        <v>582</v>
      </c>
      <c r="P45" s="7688"/>
      <c r="Q45" s="7688">
        <v>1</v>
      </c>
      <c r="R45" s="278"/>
      <c r="S45" s="1408" t="str">
        <f>$J45</f>
        <v>...1.1</v>
      </c>
      <c r="T45" s="201" t="s">
        <v>583</v>
      </c>
      <c r="U45" s="214"/>
      <c r="V45" s="7678"/>
      <c r="W45" s="7679"/>
      <c r="X45" s="7679"/>
      <c r="Y45" s="7679"/>
      <c r="Z45" s="7679"/>
      <c r="AA45" s="7679"/>
      <c r="AB45" s="7680"/>
      <c r="AC45" s="7678"/>
      <c r="AD45" s="7679"/>
      <c r="AE45" s="7679"/>
      <c r="AF45" s="7679"/>
      <c r="AG45" s="7679"/>
      <c r="AH45" s="7679"/>
      <c r="AI45" s="7679"/>
      <c r="AJ45" s="7680"/>
      <c r="AK45" s="1231" t="s">
        <v>658</v>
      </c>
      <c r="AM45" s="424"/>
      <c r="AN45" s="424" t="str">
        <f t="shared" si="1"/>
        <v>Группа потребителей</v>
      </c>
      <c r="AO45" s="424"/>
      <c r="AP45" s="424"/>
    </row>
    <row r="46" spans="1:42" ht="23.25" customHeight="1">
      <c r="A46" s="1284" t="s">
        <v>445</v>
      </c>
      <c r="B46" s="1284" t="s">
        <v>446</v>
      </c>
      <c r="C46" s="1284" t="s">
        <v>447</v>
      </c>
      <c r="D46" s="1284" t="s">
        <v>696</v>
      </c>
      <c r="E46" s="7690"/>
      <c r="F46" s="7690"/>
      <c r="G46" s="7690"/>
      <c r="H46" s="7690"/>
      <c r="I46" s="7710"/>
      <c r="J46" s="7710"/>
      <c r="K46" s="7687" t="str">
        <f>J45&amp;".1"</f>
        <v>...1.1.1</v>
      </c>
      <c r="L46" s="1285"/>
      <c r="P46" s="7688"/>
      <c r="Q46" s="7688"/>
      <c r="R46" s="278">
        <v>1</v>
      </c>
      <c r="S46" s="1408" t="str">
        <f>$K46</f>
        <v>...1.1.1</v>
      </c>
      <c r="T46" s="1357"/>
      <c r="U46" s="214"/>
      <c r="V46" s="1281"/>
      <c r="W46" s="1281"/>
      <c r="X46" s="1282"/>
      <c r="Y46" s="7694"/>
      <c r="Z46" s="7695" t="s">
        <v>60</v>
      </c>
      <c r="AA46" s="7694"/>
      <c r="AB46" s="7695" t="s">
        <v>60</v>
      </c>
      <c r="AC46" s="666"/>
      <c r="AD46" s="666"/>
      <c r="AE46" s="1181"/>
      <c r="AF46" s="7692"/>
      <c r="AG46" s="7540" t="s">
        <v>60</v>
      </c>
      <c r="AH46" s="7711"/>
      <c r="AI46" s="7540" t="s">
        <v>55</v>
      </c>
      <c r="AJ46" s="1358"/>
      <c r="AK4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445</v>
      </c>
      <c r="B47" s="1284" t="s">
        <v>446</v>
      </c>
      <c r="C47" s="1284" t="s">
        <v>447</v>
      </c>
      <c r="D47" s="1284" t="s">
        <v>696</v>
      </c>
      <c r="E47" s="7690"/>
      <c r="F47" s="7690"/>
      <c r="G47" s="7690"/>
      <c r="H47" s="7690"/>
      <c r="I47" s="7710"/>
      <c r="J47" s="7710"/>
      <c r="K47" s="7687"/>
      <c r="L47" s="1285"/>
      <c r="P47" s="7688"/>
      <c r="Q47" s="7688"/>
      <c r="R47" s="278"/>
      <c r="S47" s="1405"/>
      <c r="T47" s="214"/>
      <c r="U47" s="214"/>
      <c r="V47" s="1281"/>
      <c r="W47" s="1281"/>
      <c r="X47" s="250" t="str">
        <f>Y46&amp;"-"&amp;AA46</f>
        <v>-</v>
      </c>
      <c r="Y47" s="7695"/>
      <c r="Z47" s="7695"/>
      <c r="AA47" s="7695"/>
      <c r="AB47" s="7695"/>
      <c r="AC47" s="246"/>
      <c r="AD47" s="246"/>
      <c r="AE47" s="250" t="str">
        <f>AF46&amp;"-"&amp;AH46</f>
        <v>-</v>
      </c>
      <c r="AF47" s="7693"/>
      <c r="AG47" s="7540"/>
      <c r="AH47" s="7712"/>
      <c r="AI47" s="7540"/>
      <c r="AJ47" s="1359"/>
      <c r="AK47" s="7747"/>
      <c r="AM47" s="424"/>
      <c r="AN47" s="424" t="str">
        <f t="shared" si="1"/>
        <v/>
      </c>
      <c r="AO47" s="424"/>
      <c r="AP47" s="424"/>
    </row>
    <row r="48" spans="1:42" ht="21" customHeight="1">
      <c r="A48" s="1284" t="s">
        <v>445</v>
      </c>
      <c r="B48" s="1284" t="s">
        <v>446</v>
      </c>
      <c r="C48" s="1284" t="s">
        <v>447</v>
      </c>
      <c r="D48" s="1284" t="s">
        <v>696</v>
      </c>
      <c r="E48" s="7690"/>
      <c r="F48" s="7690"/>
      <c r="G48" s="7690"/>
      <c r="H48" s="7690"/>
      <c r="I48" s="7710"/>
      <c r="J48" s="7687"/>
      <c r="K48" s="1284"/>
      <c r="L48" s="1285"/>
      <c r="P48" s="7688"/>
      <c r="Q48" s="7688"/>
      <c r="R48" s="277"/>
      <c r="S48" s="1203"/>
      <c r="T48" s="202" t="s">
        <v>659</v>
      </c>
      <c r="U48" s="291"/>
      <c r="V48" s="291"/>
      <c r="W48" s="291"/>
      <c r="X48" s="291"/>
      <c r="Y48" s="291"/>
      <c r="Z48" s="291"/>
      <c r="AA48" s="291"/>
      <c r="AB48" s="291"/>
      <c r="AC48" s="291"/>
      <c r="AD48" s="291"/>
      <c r="AE48" s="291"/>
      <c r="AF48" s="291"/>
      <c r="AG48" s="291"/>
      <c r="AH48" s="291"/>
      <c r="AI48" s="291"/>
      <c r="AJ48" s="291"/>
      <c r="AK48" s="1182" t="s">
        <v>660</v>
      </c>
      <c r="AM48" s="424"/>
      <c r="AN48" s="424" t="str">
        <f t="shared" si="1"/>
        <v>Добавить значение признака дифференциации</v>
      </c>
      <c r="AO48" s="424"/>
      <c r="AP48" s="424"/>
    </row>
    <row r="49" spans="1:42" ht="21" customHeight="1">
      <c r="A49" s="1284" t="s">
        <v>445</v>
      </c>
      <c r="B49" s="1284" t="s">
        <v>446</v>
      </c>
      <c r="C49" s="1284" t="s">
        <v>447</v>
      </c>
      <c r="D49" s="1284" t="s">
        <v>696</v>
      </c>
      <c r="E49" s="7690"/>
      <c r="F49" s="7690"/>
      <c r="G49" s="7690"/>
      <c r="H49" s="7690"/>
      <c r="I49" s="7687"/>
      <c r="J49" s="1284"/>
      <c r="K49" s="1284"/>
      <c r="L49" s="1285"/>
      <c r="P49" s="7688"/>
      <c r="Q49" s="1396"/>
      <c r="R49" s="277"/>
      <c r="S49" s="1203"/>
      <c r="T49" s="288" t="s">
        <v>588</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445</v>
      </c>
      <c r="B50" s="1284" t="s">
        <v>446</v>
      </c>
      <c r="C50" s="1284" t="s">
        <v>447</v>
      </c>
      <c r="D50" s="1284" t="s">
        <v>696</v>
      </c>
      <c r="E50" s="7690"/>
      <c r="F50" s="7690"/>
      <c r="G50" s="7690"/>
      <c r="H50" s="7689"/>
      <c r="I50" s="1284"/>
      <c r="J50" s="1284"/>
      <c r="K50" s="1284"/>
      <c r="L50" s="1285"/>
      <c r="M50" s="1286"/>
      <c r="N50" s="1286"/>
      <c r="O50" s="460"/>
      <c r="P50" s="281"/>
      <c r="Q50" s="299"/>
      <c r="R50" s="276"/>
      <c r="S50" s="1203"/>
      <c r="T50" s="296" t="s">
        <v>661</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445</v>
      </c>
      <c r="B51" s="1265" t="s">
        <v>446</v>
      </c>
      <c r="C51" s="1237"/>
      <c r="D51" s="1237"/>
      <c r="E51" s="7690"/>
      <c r="F51" s="7689"/>
      <c r="G51" s="1237"/>
      <c r="H51" s="1237"/>
      <c r="I51" s="1237"/>
      <c r="J51" s="1237"/>
      <c r="K51" s="1237"/>
      <c r="L51" s="1409"/>
      <c r="M51" s="1244"/>
      <c r="N51" s="1244"/>
      <c r="P51" s="1239"/>
      <c r="Q51" s="1240"/>
      <c r="R51" s="1239"/>
      <c r="S51" s="1245"/>
      <c r="T51" s="1248" t="s">
        <v>325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445</v>
      </c>
      <c r="B52" s="1265"/>
      <c r="C52" s="1265"/>
      <c r="D52" s="1265"/>
      <c r="E52" s="7689"/>
      <c r="F52" s="1265"/>
      <c r="G52" s="1265"/>
      <c r="H52" s="1265"/>
      <c r="I52" s="1265"/>
      <c r="J52" s="1265"/>
      <c r="K52" s="1265"/>
      <c r="L52" s="1268"/>
      <c r="M52" s="1244"/>
      <c r="N52" s="1244"/>
      <c r="O52" s="442"/>
      <c r="P52" s="308"/>
      <c r="Q52" s="1266"/>
      <c r="R52" s="308"/>
      <c r="S52" s="1245"/>
      <c r="T52" s="1248" t="s">
        <v>326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402</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7709"/>
      <c r="U55" s="7709"/>
      <c r="V55" s="7709"/>
      <c r="W55" s="7709"/>
      <c r="X55" s="7709"/>
      <c r="Y55" s="7709"/>
      <c r="Z55" s="7709"/>
      <c r="AA55" s="7709"/>
      <c r="AB55" s="7709"/>
      <c r="AC55" s="7709"/>
      <c r="AD55" s="7709"/>
      <c r="AE55" s="7709"/>
      <c r="AF55" s="7709"/>
      <c r="AG55" s="7709"/>
      <c r="AH55" s="7709"/>
      <c r="AI55" s="7709"/>
      <c r="AJ55" s="7709"/>
      <c r="AK55" s="7709"/>
    </row>
    <row r="56" spans="1:42" ht="14.25" customHeight="1">
      <c r="O56" s="460"/>
    </row>
    <row r="57" spans="1:42" ht="14.25" customHeight="1">
      <c r="O57" s="460"/>
      <c r="S57" s="1169"/>
      <c r="T57" s="7709"/>
      <c r="U57" s="7709"/>
      <c r="V57" s="7709"/>
      <c r="W57" s="7709"/>
      <c r="X57" s="7709"/>
      <c r="Y57" s="7709"/>
      <c r="Z57" s="7709"/>
      <c r="AA57" s="7709"/>
      <c r="AB57" s="7709"/>
      <c r="AC57" s="7709"/>
      <c r="AD57" s="7709"/>
      <c r="AE57" s="7709"/>
      <c r="AF57" s="7709"/>
      <c r="AG57" s="7709"/>
      <c r="AH57" s="7709"/>
      <c r="AI57" s="7709"/>
      <c r="AJ57" s="7709"/>
      <c r="AK57" s="770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5"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20"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7689">
        <v>1</v>
      </c>
      <c r="F2" s="1284"/>
      <c r="G2" s="1284"/>
      <c r="H2" s="1284"/>
      <c r="I2" s="1284"/>
      <c r="J2" s="1284"/>
      <c r="K2" s="1284"/>
      <c r="L2" s="1285"/>
      <c r="M2" s="1286"/>
      <c r="N2" s="1286"/>
      <c r="O2" s="1286"/>
      <c r="P2" s="1330"/>
      <c r="Q2" s="787"/>
      <c r="R2" s="276"/>
      <c r="S2" s="1408" t="e">
        <f>INDEX(PT_DIFFERENTIATION_NUM_NTAR,MATCH(A2,PT_DIFFERENTIATION_NTAR_ID,0))</f>
        <v>#N/A</v>
      </c>
      <c r="T2" s="212" t="s">
        <v>237</v>
      </c>
      <c r="U2" s="214"/>
      <c r="V2" s="7676"/>
      <c r="W2" s="7676"/>
      <c r="X2" s="7676"/>
      <c r="Y2" s="7676"/>
      <c r="Z2" s="7676"/>
      <c r="AA2" s="7676"/>
      <c r="AB2" s="7676"/>
      <c r="AC2" s="7677"/>
      <c r="AD2" s="7675" t="e">
        <f>INDEX(PT_DIFFERENTIATION_NTAR,MATCH(A2,PT_DIFFERENTIATION_NTAR_ID,0))</f>
        <v>#N/A</v>
      </c>
      <c r="AE2" s="7676"/>
      <c r="AF2" s="7676"/>
      <c r="AG2" s="7676"/>
      <c r="AH2" s="7676"/>
      <c r="AI2" s="7676"/>
      <c r="AJ2" s="7676"/>
      <c r="AK2" s="7676"/>
      <c r="AL2" s="7676"/>
      <c r="AM2" s="7676"/>
      <c r="AN2" s="7676"/>
      <c r="AO2" s="7676"/>
      <c r="AP2" s="7676"/>
      <c r="AQ2" s="7676"/>
      <c r="AR2" s="7676"/>
      <c r="AS2" s="7676"/>
      <c r="AT2" s="7676"/>
      <c r="AU2" s="7676"/>
      <c r="AV2" s="7676"/>
      <c r="AW2" s="7676"/>
      <c r="AX2" s="7676"/>
      <c r="AY2" s="7676"/>
      <c r="AZ2" s="7676"/>
      <c r="BA2" s="7676"/>
      <c r="BB2" s="7677"/>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7690"/>
      <c r="F3" s="7689">
        <v>1</v>
      </c>
      <c r="G3" s="1284"/>
      <c r="H3" s="1284"/>
      <c r="I3" s="1284"/>
      <c r="J3" s="1284"/>
      <c r="K3" s="1284"/>
      <c r="L3" s="1285"/>
      <c r="M3" s="1286"/>
      <c r="N3" s="1286"/>
      <c r="O3" s="1286"/>
      <c r="P3" s="1331"/>
      <c r="Q3" s="1332"/>
      <c r="R3" s="274"/>
      <c r="S3" s="1408" t="e">
        <f>INDEX(PT_DIFFERENTIATION_NUM_TER,MATCH(B3,PT_DIFFERENTIATION_TER_ID,0))</f>
        <v>#N/A</v>
      </c>
      <c r="T3" s="224" t="s">
        <v>573</v>
      </c>
      <c r="U3" s="214"/>
      <c r="V3" s="7676"/>
      <c r="W3" s="7676"/>
      <c r="X3" s="7676"/>
      <c r="Y3" s="7676"/>
      <c r="Z3" s="7676"/>
      <c r="AA3" s="7676"/>
      <c r="AB3" s="7676"/>
      <c r="AC3" s="7677"/>
      <c r="AD3" s="7675" t="e">
        <f>INDEX(PT_DIFFERENTIATION_TER,MATCH(B3,PT_DIFFERENTIATION_TER_ID,0))</f>
        <v>#N/A</v>
      </c>
      <c r="AE3" s="7676"/>
      <c r="AF3" s="7676"/>
      <c r="AG3" s="7676"/>
      <c r="AH3" s="7676"/>
      <c r="AI3" s="7676"/>
      <c r="AJ3" s="7676"/>
      <c r="AK3" s="7676"/>
      <c r="AL3" s="7676"/>
      <c r="AM3" s="7676"/>
      <c r="AN3" s="7676"/>
      <c r="AO3" s="7676"/>
      <c r="AP3" s="7676"/>
      <c r="AQ3" s="7676"/>
      <c r="AR3" s="7676"/>
      <c r="AS3" s="7676"/>
      <c r="AT3" s="7676"/>
      <c r="AU3" s="7676"/>
      <c r="AV3" s="7676"/>
      <c r="AW3" s="7676"/>
      <c r="AX3" s="7676"/>
      <c r="AY3" s="7676"/>
      <c r="AZ3" s="7676"/>
      <c r="BA3" s="7676"/>
      <c r="BB3" s="7677"/>
      <c r="BC3" s="1182" t="s">
        <v>574</v>
      </c>
      <c r="BE3" s="424"/>
      <c r="BF3" s="424" t="str">
        <f t="shared" si="0"/>
        <v>Территория действия тарифа</v>
      </c>
      <c r="BG3" s="424"/>
      <c r="BH3" s="424"/>
    </row>
    <row r="4" spans="1:60" ht="33.75" hidden="1" customHeight="1">
      <c r="A4" s="1284"/>
      <c r="B4" s="1284"/>
      <c r="C4" s="1284"/>
      <c r="D4" s="1284"/>
      <c r="E4" s="7690"/>
      <c r="F4" s="7690"/>
      <c r="G4" s="7689">
        <v>1</v>
      </c>
      <c r="H4" s="1284"/>
      <c r="I4" s="1284"/>
      <c r="J4" s="1284"/>
      <c r="K4" s="1284"/>
      <c r="L4" s="1285"/>
      <c r="M4" s="1286"/>
      <c r="N4" s="1286"/>
      <c r="O4" s="1286"/>
      <c r="P4" s="1333"/>
      <c r="Q4" s="1332"/>
      <c r="R4" s="274"/>
      <c r="S4" s="1408" t="e">
        <f>INDEX(PT_DIFFERENTIATION_NUM_CS,MATCH(C4,PT_DIFFERENTIATION_CS_ID,0))</f>
        <v>#N/A</v>
      </c>
      <c r="T4" s="225" t="s">
        <v>691</v>
      </c>
      <c r="U4" s="214"/>
      <c r="V4" s="7676"/>
      <c r="W4" s="7676"/>
      <c r="X4" s="7676"/>
      <c r="Y4" s="7676"/>
      <c r="Z4" s="7676"/>
      <c r="AA4" s="7676"/>
      <c r="AB4" s="7676"/>
      <c r="AC4" s="7677"/>
      <c r="AD4" s="7675" t="e">
        <f>INDEX(PT_DIFFERENTIATION_CS,MATCH(C4,PT_DIFFERENTIATION_CS_ID,0))</f>
        <v>#N/A</v>
      </c>
      <c r="AE4" s="7676"/>
      <c r="AF4" s="7676"/>
      <c r="AG4" s="7676"/>
      <c r="AH4" s="7676"/>
      <c r="AI4" s="7676"/>
      <c r="AJ4" s="7676"/>
      <c r="AK4" s="7676"/>
      <c r="AL4" s="7676"/>
      <c r="AM4" s="7676"/>
      <c r="AN4" s="7676"/>
      <c r="AO4" s="7676"/>
      <c r="AP4" s="7676"/>
      <c r="AQ4" s="7676"/>
      <c r="AR4" s="7676"/>
      <c r="AS4" s="7676"/>
      <c r="AT4" s="7676"/>
      <c r="AU4" s="7676"/>
      <c r="AV4" s="7676"/>
      <c r="AW4" s="7676"/>
      <c r="AX4" s="7676"/>
      <c r="AY4" s="7676"/>
      <c r="AZ4" s="7676"/>
      <c r="BA4" s="7676"/>
      <c r="BB4" s="7677"/>
      <c r="BC4" s="1182" t="s">
        <v>692</v>
      </c>
      <c r="BE4" s="424"/>
      <c r="BF4" s="424" t="str">
        <f t="shared" si="0"/>
        <v>Наименование централизованной системы водоотведения</v>
      </c>
      <c r="BG4" s="424"/>
      <c r="BH4" s="424"/>
    </row>
    <row r="5" spans="1:60" s="1562" customFormat="1" ht="14.25" hidden="1" customHeight="1">
      <c r="A5" s="1265"/>
      <c r="B5" s="1265"/>
      <c r="C5" s="1265"/>
      <c r="D5" s="1265"/>
      <c r="E5" s="7690"/>
      <c r="F5" s="7690"/>
      <c r="G5" s="7690"/>
      <c r="H5" s="7689">
        <v>1</v>
      </c>
      <c r="I5" s="1265"/>
      <c r="J5" s="1265"/>
      <c r="K5" s="1265"/>
      <c r="L5" s="1268"/>
      <c r="M5" s="1238"/>
      <c r="N5" s="1238"/>
      <c r="O5" s="1238"/>
      <c r="P5" s="1412"/>
      <c r="Q5" s="1413"/>
      <c r="R5" s="278"/>
      <c r="S5" s="953"/>
      <c r="T5" s="1414"/>
      <c r="U5" s="1305"/>
      <c r="V5" s="7717"/>
      <c r="W5" s="7717"/>
      <c r="X5" s="7717"/>
      <c r="Y5" s="7717"/>
      <c r="Z5" s="7717"/>
      <c r="AA5" s="7717"/>
      <c r="AB5" s="7717"/>
      <c r="AC5" s="7718"/>
      <c r="AD5" s="7716"/>
      <c r="AE5" s="7717"/>
      <c r="AF5" s="7717"/>
      <c r="AG5" s="7717"/>
      <c r="AH5" s="7717"/>
      <c r="AI5" s="7717"/>
      <c r="AJ5" s="7717"/>
      <c r="AK5" s="7717"/>
      <c r="AL5" s="7717"/>
      <c r="AM5" s="7717"/>
      <c r="AN5" s="7717"/>
      <c r="AO5" s="7717"/>
      <c r="AP5" s="7717"/>
      <c r="AQ5" s="7717"/>
      <c r="AR5" s="7717"/>
      <c r="AS5" s="7717"/>
      <c r="AT5" s="7717"/>
      <c r="AU5" s="7717"/>
      <c r="AV5" s="7717"/>
      <c r="AW5" s="7717"/>
      <c r="AX5" s="7717"/>
      <c r="AY5" s="7717"/>
      <c r="AZ5" s="7717"/>
      <c r="BA5" s="7717"/>
      <c r="BB5" s="7718"/>
      <c r="BC5" s="1306" t="s">
        <v>578</v>
      </c>
      <c r="BE5" s="424"/>
      <c r="BF5" s="424" t="str">
        <f t="shared" si="0"/>
        <v/>
      </c>
      <c r="BG5" s="424"/>
      <c r="BH5" s="424"/>
    </row>
    <row r="6" spans="1:60" s="1562" customFormat="1" ht="14.25" hidden="1" customHeight="1">
      <c r="A6" s="1265"/>
      <c r="B6" s="1265"/>
      <c r="C6" s="1265"/>
      <c r="D6" s="1265"/>
      <c r="E6" s="7690"/>
      <c r="F6" s="7690"/>
      <c r="G6" s="7690"/>
      <c r="H6" s="7690"/>
      <c r="I6" s="7687" t="str">
        <f>S5&amp;".1"</f>
        <v>.1</v>
      </c>
      <c r="J6" s="1265"/>
      <c r="K6" s="1265"/>
      <c r="L6" s="1268" t="s">
        <v>579</v>
      </c>
      <c r="M6" s="434"/>
      <c r="N6" s="434"/>
      <c r="O6" s="434"/>
      <c r="P6" s="7688">
        <v>1</v>
      </c>
      <c r="Q6" s="1396"/>
      <c r="R6" s="277"/>
      <c r="S6" s="953"/>
      <c r="T6" s="1304"/>
      <c r="U6" s="1305"/>
      <c r="V6" s="7717"/>
      <c r="W6" s="7717"/>
      <c r="X6" s="7717"/>
      <c r="Y6" s="7717"/>
      <c r="Z6" s="7717"/>
      <c r="AA6" s="7717"/>
      <c r="AB6" s="7717"/>
      <c r="AC6" s="7718"/>
      <c r="AD6" s="7716"/>
      <c r="AE6" s="7717"/>
      <c r="AF6" s="7717"/>
      <c r="AG6" s="7717"/>
      <c r="AH6" s="7717"/>
      <c r="AI6" s="7717"/>
      <c r="AJ6" s="7717"/>
      <c r="AK6" s="7717"/>
      <c r="AL6" s="7717"/>
      <c r="AM6" s="7717"/>
      <c r="AN6" s="7717"/>
      <c r="AO6" s="7717"/>
      <c r="AP6" s="7717"/>
      <c r="AQ6" s="7717"/>
      <c r="AR6" s="7717"/>
      <c r="AS6" s="7717"/>
      <c r="AT6" s="7717"/>
      <c r="AU6" s="7717"/>
      <c r="AV6" s="7717"/>
      <c r="AW6" s="7717"/>
      <c r="AX6" s="7717"/>
      <c r="AY6" s="7717"/>
      <c r="AZ6" s="7717"/>
      <c r="BA6" s="7717"/>
      <c r="BB6" s="7718"/>
      <c r="BC6" s="1306"/>
      <c r="BE6" s="424"/>
      <c r="BF6" s="424" t="str">
        <f t="shared" si="0"/>
        <v/>
      </c>
      <c r="BG6" s="424"/>
      <c r="BH6" s="424"/>
    </row>
    <row r="7" spans="1:60" s="1562" customFormat="1" ht="14.25" hidden="1" customHeight="1">
      <c r="A7" s="1265"/>
      <c r="B7" s="1265"/>
      <c r="C7" s="1265"/>
      <c r="D7" s="1265"/>
      <c r="E7" s="7690"/>
      <c r="F7" s="7690"/>
      <c r="G7" s="7690"/>
      <c r="H7" s="7690"/>
      <c r="I7" s="7710"/>
      <c r="J7" s="7687" t="str">
        <f>S5&amp;".1"</f>
        <v>.1</v>
      </c>
      <c r="K7" s="1265"/>
      <c r="L7" s="1268"/>
      <c r="M7" s="434"/>
      <c r="N7" s="434"/>
      <c r="O7" s="434"/>
      <c r="P7" s="7688"/>
      <c r="Q7" s="7688">
        <v>1</v>
      </c>
      <c r="R7" s="278"/>
      <c r="S7" s="953"/>
      <c r="T7" s="1320"/>
      <c r="U7" s="1305"/>
      <c r="V7" s="7717"/>
      <c r="W7" s="7717"/>
      <c r="X7" s="7717"/>
      <c r="Y7" s="7717"/>
      <c r="Z7" s="7717"/>
      <c r="AA7" s="7717"/>
      <c r="AB7" s="7717"/>
      <c r="AC7" s="7718"/>
      <c r="AD7" s="7716"/>
      <c r="AE7" s="7717"/>
      <c r="AF7" s="7717"/>
      <c r="AG7" s="7717"/>
      <c r="AH7" s="7717"/>
      <c r="AI7" s="7717"/>
      <c r="AJ7" s="7717"/>
      <c r="AK7" s="7717"/>
      <c r="AL7" s="7717"/>
      <c r="AM7" s="7717"/>
      <c r="AN7" s="7717"/>
      <c r="AO7" s="7717"/>
      <c r="AP7" s="7717"/>
      <c r="AQ7" s="7717"/>
      <c r="AR7" s="7717"/>
      <c r="AS7" s="7717"/>
      <c r="AT7" s="7717"/>
      <c r="AU7" s="7717"/>
      <c r="AV7" s="7717"/>
      <c r="AW7" s="7717"/>
      <c r="AX7" s="7717"/>
      <c r="AY7" s="7717"/>
      <c r="AZ7" s="7717"/>
      <c r="BA7" s="7717"/>
      <c r="BB7" s="7718"/>
      <c r="BC7" s="1306"/>
      <c r="BE7" s="424"/>
      <c r="BF7" s="424" t="str">
        <f t="shared" si="0"/>
        <v/>
      </c>
      <c r="BG7" s="424"/>
      <c r="BH7" s="424"/>
    </row>
    <row r="8" spans="1:60" ht="11.25" hidden="1" customHeight="1">
      <c r="A8" s="1284"/>
      <c r="B8" s="1284"/>
      <c r="C8" s="1284"/>
      <c r="D8" s="1284"/>
      <c r="E8" s="7690"/>
      <c r="F8" s="7690"/>
      <c r="G8" s="7690"/>
      <c r="H8" s="7690"/>
      <c r="I8" s="7710"/>
      <c r="J8" s="7710"/>
      <c r="K8" s="7687" t="e">
        <f>S4&amp;".1"</f>
        <v>#N/A</v>
      </c>
      <c r="L8" s="1285"/>
      <c r="P8" s="7688"/>
      <c r="Q8" s="7688"/>
      <c r="R8" s="7745">
        <v>1</v>
      </c>
      <c r="S8" s="7739" t="e">
        <f>$K8</f>
        <v>#N/A</v>
      </c>
      <c r="T8" s="7758"/>
      <c r="U8" s="214"/>
      <c r="V8" s="666"/>
      <c r="W8" s="1181"/>
      <c r="X8" s="666"/>
      <c r="Y8" s="1181"/>
      <c r="Z8" s="1653"/>
      <c r="AA8" s="1385" t="s">
        <v>60</v>
      </c>
      <c r="AB8" s="1653"/>
      <c r="AC8" s="1385" t="s">
        <v>60</v>
      </c>
      <c r="AD8" s="7614" t="s">
        <v>60</v>
      </c>
      <c r="AE8" s="7725"/>
      <c r="AF8" s="7644">
        <v>1</v>
      </c>
      <c r="AG8" s="7762"/>
      <c r="AH8" s="7540" t="s">
        <v>60</v>
      </c>
      <c r="AI8" s="7725"/>
      <c r="AJ8" s="7644">
        <v>1</v>
      </c>
      <c r="AK8" s="7761" t="s">
        <v>24</v>
      </c>
      <c r="AL8" s="7540" t="s">
        <v>60</v>
      </c>
      <c r="AM8" s="7634"/>
      <c r="AN8" s="7644">
        <v>1</v>
      </c>
      <c r="AO8" s="7755"/>
      <c r="AP8" s="7756" t="s">
        <v>60</v>
      </c>
      <c r="AQ8" s="227"/>
      <c r="AR8" s="1401">
        <v>1</v>
      </c>
      <c r="AS8" s="1407" t="s">
        <v>24</v>
      </c>
      <c r="AT8" s="666"/>
      <c r="AU8" s="1181"/>
      <c r="AV8" s="666"/>
      <c r="AW8" s="1181"/>
      <c r="AX8" s="1653"/>
      <c r="AY8" s="1385" t="s">
        <v>60</v>
      </c>
      <c r="AZ8" s="1653"/>
      <c r="BA8" s="1385" t="s">
        <v>60</v>
      </c>
      <c r="BB8" s="1270"/>
      <c r="BC8" s="7684" t="s">
        <v>676</v>
      </c>
      <c r="BE8" s="424"/>
      <c r="BF8" s="424" t="str">
        <f t="shared" si="0"/>
        <v/>
      </c>
      <c r="BG8" s="424"/>
      <c r="BH8" s="424"/>
    </row>
    <row r="9" spans="1:60" ht="11.25" hidden="1" customHeight="1">
      <c r="A9" s="1284"/>
      <c r="B9" s="1284"/>
      <c r="C9" s="1284"/>
      <c r="D9" s="1284"/>
      <c r="E9" s="7690"/>
      <c r="F9" s="7690"/>
      <c r="G9" s="7690"/>
      <c r="H9" s="7690"/>
      <c r="I9" s="7710"/>
      <c r="J9" s="7710"/>
      <c r="K9" s="7687"/>
      <c r="L9" s="1285"/>
      <c r="P9" s="7688"/>
      <c r="Q9" s="7688"/>
      <c r="R9" s="7745"/>
      <c r="S9" s="7740"/>
      <c r="T9" s="7759"/>
      <c r="U9" s="214"/>
      <c r="V9" s="1314"/>
      <c r="W9" s="1411"/>
      <c r="X9" s="1314"/>
      <c r="Y9" s="1411"/>
      <c r="Z9" s="1314"/>
      <c r="AA9" s="1314"/>
      <c r="AB9" s="1314"/>
      <c r="AC9" s="1314"/>
      <c r="AD9" s="7615"/>
      <c r="AE9" s="7725"/>
      <c r="AF9" s="7644"/>
      <c r="AG9" s="7762"/>
      <c r="AH9" s="7540"/>
      <c r="AI9" s="7725"/>
      <c r="AJ9" s="7644"/>
      <c r="AK9" s="7761"/>
      <c r="AL9" s="7540"/>
      <c r="AM9" s="7639"/>
      <c r="AN9" s="7644"/>
      <c r="AO9" s="7755"/>
      <c r="AP9" s="7757"/>
      <c r="AQ9" s="234"/>
      <c r="AR9" s="345"/>
      <c r="AS9" s="345" t="s">
        <v>677</v>
      </c>
      <c r="AT9" s="1314"/>
      <c r="AU9" s="1411"/>
      <c r="AV9" s="1314"/>
      <c r="AW9" s="1411"/>
      <c r="AX9" s="1314"/>
      <c r="AY9" s="1314"/>
      <c r="AZ9" s="1314"/>
      <c r="BA9" s="1314"/>
      <c r="BB9" s="1318"/>
      <c r="BC9" s="7685"/>
      <c r="BE9" s="424"/>
      <c r="BF9" s="424"/>
      <c r="BG9" s="424"/>
      <c r="BH9" s="424"/>
    </row>
    <row r="10" spans="1:60" ht="11.25" hidden="1" customHeight="1">
      <c r="A10" s="1284"/>
      <c r="B10" s="1284"/>
      <c r="C10" s="1284"/>
      <c r="D10" s="1284"/>
      <c r="E10" s="7690"/>
      <c r="F10" s="7690"/>
      <c r="G10" s="7690"/>
      <c r="H10" s="7690"/>
      <c r="I10" s="7710"/>
      <c r="J10" s="7710"/>
      <c r="K10" s="7687"/>
      <c r="L10" s="1285"/>
      <c r="P10" s="7688"/>
      <c r="Q10" s="7688"/>
      <c r="R10" s="7745"/>
      <c r="S10" s="7740"/>
      <c r="T10" s="7759"/>
      <c r="U10" s="214"/>
      <c r="V10" s="1314"/>
      <c r="W10" s="1411"/>
      <c r="X10" s="1314"/>
      <c r="Y10" s="1411"/>
      <c r="Z10" s="1314"/>
      <c r="AA10" s="1314"/>
      <c r="AB10" s="1314"/>
      <c r="AC10" s="1314"/>
      <c r="AD10" s="7615"/>
      <c r="AE10" s="7725"/>
      <c r="AF10" s="7644"/>
      <c r="AG10" s="7762"/>
      <c r="AH10" s="7540"/>
      <c r="AI10" s="7725"/>
      <c r="AJ10" s="7644"/>
      <c r="AK10" s="7761"/>
      <c r="AL10" s="7540"/>
      <c r="AM10" s="234"/>
      <c r="AN10" s="1415"/>
      <c r="AO10" s="1415" t="s">
        <v>697</v>
      </c>
      <c r="AP10" s="345"/>
      <c r="AQ10" s="345"/>
      <c r="AR10" s="345"/>
      <c r="AS10" s="1314"/>
      <c r="AT10" s="1314"/>
      <c r="AU10" s="1411"/>
      <c r="AV10" s="1314"/>
      <c r="AW10" s="1411"/>
      <c r="AX10" s="1314"/>
      <c r="AY10" s="1314"/>
      <c r="AZ10" s="1314"/>
      <c r="BA10" s="1314"/>
      <c r="BB10" s="1318"/>
      <c r="BC10" s="7685"/>
      <c r="BE10" s="424"/>
      <c r="BF10" s="424"/>
      <c r="BG10" s="424"/>
      <c r="BH10" s="424"/>
    </row>
    <row r="11" spans="1:60" ht="11.25" hidden="1" customHeight="1">
      <c r="A11" s="1284"/>
      <c r="B11" s="1284"/>
      <c r="C11" s="1284"/>
      <c r="D11" s="1284"/>
      <c r="E11" s="7690"/>
      <c r="F11" s="7690"/>
      <c r="G11" s="7690"/>
      <c r="H11" s="7690"/>
      <c r="I11" s="7710"/>
      <c r="J11" s="7710"/>
      <c r="K11" s="7687"/>
      <c r="L11" s="1285"/>
      <c r="P11" s="7688"/>
      <c r="Q11" s="7688"/>
      <c r="R11" s="7745"/>
      <c r="S11" s="7740"/>
      <c r="T11" s="7759"/>
      <c r="U11" s="214"/>
      <c r="V11" s="1314"/>
      <c r="W11" s="1411"/>
      <c r="X11" s="1314"/>
      <c r="Y11" s="1411"/>
      <c r="Z11" s="1314"/>
      <c r="AA11" s="1314"/>
      <c r="AB11" s="1314"/>
      <c r="AC11" s="1314"/>
      <c r="AD11" s="7615"/>
      <c r="AE11" s="7725"/>
      <c r="AF11" s="7644"/>
      <c r="AG11" s="7762"/>
      <c r="AH11" s="7540"/>
      <c r="AI11" s="208"/>
      <c r="AJ11" s="344"/>
      <c r="AK11" s="229" t="s">
        <v>698</v>
      </c>
      <c r="AL11" s="1314"/>
      <c r="AM11" s="1314"/>
      <c r="AN11" s="1314"/>
      <c r="AO11" s="1314"/>
      <c r="AP11" s="1314"/>
      <c r="AQ11" s="1314"/>
      <c r="AR11" s="1314"/>
      <c r="AS11" s="1314"/>
      <c r="AT11" s="1314"/>
      <c r="AU11" s="1411"/>
      <c r="AV11" s="1314"/>
      <c r="AW11" s="1411"/>
      <c r="AX11" s="1314"/>
      <c r="AY11" s="1314"/>
      <c r="AZ11" s="1314"/>
      <c r="BA11" s="1314"/>
      <c r="BB11" s="1318"/>
      <c r="BC11" s="7685"/>
      <c r="BE11" s="424"/>
      <c r="BF11" s="424"/>
      <c r="BG11" s="424"/>
      <c r="BH11" s="424"/>
    </row>
    <row r="12" spans="1:60" ht="11.25" hidden="1" customHeight="1">
      <c r="A12" s="1284"/>
      <c r="B12" s="1284"/>
      <c r="C12" s="1284"/>
      <c r="D12" s="1284"/>
      <c r="E12" s="7690"/>
      <c r="F12" s="7690"/>
      <c r="G12" s="7690"/>
      <c r="H12" s="7690"/>
      <c r="I12" s="7710"/>
      <c r="J12" s="7710"/>
      <c r="K12" s="7687"/>
      <c r="L12" s="1285"/>
      <c r="P12" s="7688"/>
      <c r="Q12" s="7688"/>
      <c r="R12" s="7745"/>
      <c r="S12" s="7741"/>
      <c r="T12" s="7760"/>
      <c r="U12" s="214"/>
      <c r="V12" s="1314"/>
      <c r="W12" s="1315" t="str">
        <f>Z8&amp;"-"&amp;AB8</f>
        <v>-</v>
      </c>
      <c r="X12" s="1314"/>
      <c r="Y12" s="1315" t="str">
        <f>AB8&amp;"-"&amp;AD8</f>
        <v>-да</v>
      </c>
      <c r="Z12" s="1314"/>
      <c r="AA12" s="1314"/>
      <c r="AB12" s="1314"/>
      <c r="AC12" s="1314"/>
      <c r="AD12" s="7545"/>
      <c r="AE12" s="228"/>
      <c r="AF12" s="230"/>
      <c r="AG12" s="345" t="s">
        <v>680</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7685"/>
      <c r="BE12" s="424"/>
      <c r="BF12" s="424" t="str">
        <f t="shared" ref="BF12:BF18" si="1">IF(T12="","",T12)</f>
        <v/>
      </c>
      <c r="BG12" s="424"/>
      <c r="BH12" s="424"/>
    </row>
    <row r="13" spans="1:60" ht="11.25" hidden="1" customHeight="1">
      <c r="A13" s="1284"/>
      <c r="B13" s="1284"/>
      <c r="C13" s="1284"/>
      <c r="D13" s="1284"/>
      <c r="E13" s="7690"/>
      <c r="F13" s="7690"/>
      <c r="G13" s="7690"/>
      <c r="H13" s="7690"/>
      <c r="I13" s="7710"/>
      <c r="J13" s="7687"/>
      <c r="K13" s="1284"/>
      <c r="L13" s="1285"/>
      <c r="P13" s="7688"/>
      <c r="Q13" s="7688"/>
      <c r="R13" s="277"/>
      <c r="S13" s="1203"/>
      <c r="T13" s="202" t="s">
        <v>640</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7686"/>
      <c r="BE13" s="424"/>
      <c r="BF13" s="424" t="str">
        <f t="shared" si="1"/>
        <v>Добавить строку</v>
      </c>
      <c r="BG13" s="424"/>
      <c r="BH13" s="424"/>
    </row>
    <row r="14" spans="1:60" s="1562" customFormat="1" ht="14.25" hidden="1" customHeight="1">
      <c r="A14" s="1265"/>
      <c r="B14" s="1265"/>
      <c r="C14" s="1265"/>
      <c r="D14" s="1265"/>
      <c r="E14" s="7690"/>
      <c r="F14" s="7690"/>
      <c r="G14" s="7690"/>
      <c r="H14" s="7690"/>
      <c r="I14" s="7687"/>
      <c r="J14" s="1265"/>
      <c r="K14" s="1265"/>
      <c r="L14" s="1268"/>
      <c r="M14" s="434"/>
      <c r="N14" s="434"/>
      <c r="O14" s="434"/>
      <c r="P14" s="7688"/>
      <c r="Q14" s="1396"/>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7690"/>
      <c r="F15" s="7690"/>
      <c r="G15" s="7690"/>
      <c r="H15" s="7689"/>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7690"/>
      <c r="F16" s="7690"/>
      <c r="G16" s="7689"/>
      <c r="H16" s="1237"/>
      <c r="I16" s="1237"/>
      <c r="J16" s="1237"/>
      <c r="K16" s="1237"/>
      <c r="L16" s="1409"/>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7690"/>
      <c r="F17" s="7689"/>
      <c r="G17" s="1237"/>
      <c r="H17" s="1237"/>
      <c r="I17" s="1237"/>
      <c r="J17" s="1237"/>
      <c r="K17" s="1237"/>
      <c r="L17" s="1409"/>
      <c r="M17" s="1244"/>
      <c r="N17" s="1244"/>
      <c r="P17" s="1239"/>
      <c r="Q17" s="1240"/>
      <c r="R17" s="1239"/>
      <c r="S17" s="1245"/>
      <c r="T17" s="1248" t="s">
        <v>325</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7689"/>
      <c r="F18" s="1265"/>
      <c r="G18" s="1265"/>
      <c r="H18" s="1265"/>
      <c r="I18" s="1265"/>
      <c r="J18" s="1265"/>
      <c r="K18" s="1265"/>
      <c r="L18" s="1268"/>
      <c r="M18" s="1244"/>
      <c r="N18" s="1244"/>
      <c r="O18" s="442"/>
      <c r="P18" s="308"/>
      <c r="Q18" s="1266"/>
      <c r="R18" s="308"/>
      <c r="S18" s="1245"/>
      <c r="T18" s="1248" t="s">
        <v>326</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55</v>
      </c>
      <c r="AE20" s="1416"/>
      <c r="AF20" s="471">
        <v>1</v>
      </c>
      <c r="AG20" s="1417"/>
      <c r="AH20" s="1247" t="s">
        <v>55</v>
      </c>
      <c r="AI20" s="1416"/>
      <c r="AJ20" s="471">
        <v>1</v>
      </c>
      <c r="AK20" s="1417"/>
      <c r="AL20" s="1247" t="s">
        <v>55</v>
      </c>
      <c r="AM20" s="1418"/>
      <c r="AN20" s="471">
        <v>1</v>
      </c>
      <c r="AO20" s="1419"/>
      <c r="AP20" s="1247" t="s">
        <v>55</v>
      </c>
      <c r="AQ20" s="1418"/>
      <c r="AR20" s="471">
        <v>1</v>
      </c>
      <c r="AS20" s="1419"/>
      <c r="AT20" s="246"/>
      <c r="AU20" s="313"/>
      <c r="AV20" s="246"/>
      <c r="AW20" s="313"/>
      <c r="AX20" s="1655"/>
      <c r="AY20" s="1400" t="s">
        <v>60</v>
      </c>
      <c r="AZ20" s="1655"/>
      <c r="BA20" s="1400" t="s">
        <v>60</v>
      </c>
    </row>
    <row r="21" spans="1:60" ht="14.25" hidden="1" customHeight="1">
      <c r="BD21" s="420"/>
      <c r="BE21" s="420"/>
      <c r="BF21" s="420"/>
      <c r="BG21" s="420"/>
      <c r="BH21" s="420"/>
    </row>
    <row r="22" spans="1:60" ht="14.25" hidden="1" customHeight="1">
      <c r="O22" s="1288" t="s">
        <v>591</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592</v>
      </c>
      <c r="P24" s="1423"/>
      <c r="Q24" s="1425"/>
      <c r="R24" s="1425"/>
      <c r="AA24" s="1422" t="s">
        <v>594</v>
      </c>
      <c r="AC24" s="1422" t="s">
        <v>595</v>
      </c>
      <c r="AD24" s="1422" t="s">
        <v>641</v>
      </c>
      <c r="AH24" s="1422" t="s">
        <v>641</v>
      </c>
      <c r="AK24" s="1422" t="s">
        <v>681</v>
      </c>
      <c r="AL24" s="1422" t="s">
        <v>641</v>
      </c>
      <c r="AP24" s="1422" t="s">
        <v>641</v>
      </c>
      <c r="AY24" s="1422" t="s">
        <v>594</v>
      </c>
      <c r="BA24" s="1422" t="s">
        <v>595</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767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7673"/>
      <c r="U28" s="7673"/>
      <c r="V28" s="7673"/>
      <c r="W28" s="7673"/>
      <c r="X28" s="7673"/>
      <c r="Y28" s="7673"/>
      <c r="Z28" s="7673"/>
      <c r="AA28" s="7673"/>
      <c r="AB28" s="7673"/>
      <c r="AC28" s="7673"/>
      <c r="AD28" s="7673"/>
      <c r="AE28" s="7673"/>
      <c r="AF28" s="7673"/>
      <c r="AG28" s="7673"/>
      <c r="AH28" s="7673"/>
      <c r="AI28" s="7673"/>
      <c r="AJ28" s="7673"/>
      <c r="AK28" s="7673"/>
      <c r="AL28" s="7673"/>
      <c r="AM28" s="7673"/>
      <c r="AN28" s="7673"/>
      <c r="AO28" s="7673"/>
      <c r="AP28" s="7673"/>
      <c r="AQ28" s="7673"/>
      <c r="AR28" s="7673"/>
      <c r="AS28" s="7673"/>
      <c r="AT28" s="7673"/>
      <c r="AU28" s="7673"/>
      <c r="AV28" s="7673"/>
      <c r="AW28" s="7673"/>
      <c r="AX28" s="7673"/>
      <c r="AY28" s="7673"/>
      <c r="AZ28" s="7673"/>
      <c r="BA28" s="1157"/>
    </row>
    <row r="29" spans="1:60" ht="14.25" customHeight="1">
      <c r="Q29" s="206"/>
      <c r="R29" s="300"/>
      <c r="S29" s="7620" t="str">
        <f>IF(org=0,"Не определено",org)</f>
        <v>ГУП СК "Ставрополькрайводоканал"</v>
      </c>
      <c r="T29" s="7620"/>
      <c r="U29" s="7620"/>
      <c r="V29" s="7620"/>
      <c r="W29" s="7620"/>
      <c r="X29" s="7620"/>
      <c r="Y29" s="7620"/>
      <c r="Z29" s="7620"/>
      <c r="AA29" s="7620"/>
      <c r="AB29" s="7620"/>
      <c r="AC29" s="7620"/>
      <c r="AD29" s="7620"/>
      <c r="AE29" s="7620"/>
      <c r="AF29" s="7620"/>
      <c r="AG29" s="7620"/>
      <c r="AH29" s="7620"/>
      <c r="AI29" s="7620"/>
      <c r="AJ29" s="7620"/>
      <c r="AK29" s="7620"/>
      <c r="AL29" s="7620"/>
      <c r="AM29" s="7620"/>
      <c r="AN29" s="7620"/>
      <c r="AO29" s="7620"/>
      <c r="AP29" s="7620"/>
      <c r="AQ29" s="7620"/>
      <c r="AR29" s="7620"/>
      <c r="AS29" s="7620"/>
      <c r="AT29" s="7620"/>
      <c r="AU29" s="7620"/>
      <c r="AV29" s="7620"/>
      <c r="AW29" s="7620"/>
      <c r="AX29" s="7620"/>
      <c r="AY29" s="7620"/>
      <c r="AZ29" s="7620"/>
      <c r="BA29" s="1157"/>
    </row>
    <row r="30" spans="1:60" ht="14.25"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customHeight="1">
      <c r="A31" s="1289"/>
      <c r="B31" s="1289"/>
      <c r="C31" s="1289"/>
      <c r="D31" s="1289"/>
      <c r="E31" s="1289"/>
      <c r="F31" s="1289"/>
      <c r="G31" s="1289"/>
      <c r="H31" s="1289"/>
      <c r="I31" s="1289"/>
      <c r="J31" s="1289"/>
      <c r="K31" s="1289"/>
      <c r="L31" s="1290"/>
      <c r="M31" s="1289"/>
      <c r="N31" s="1289"/>
      <c r="O31" s="1289"/>
      <c r="P31" s="1289"/>
      <c r="Q31" s="1289"/>
      <c r="S31" s="7681" t="s">
        <v>38</v>
      </c>
      <c r="T31" s="7681"/>
      <c r="U31" s="1293"/>
      <c r="V31" s="7682" t="str">
        <f>IF(TITLE_NAME_OR_PR_CHANGE="",IF(TITLE_NAME_OR_PR="","",TITLE_NAME_OR_PR),TITLE_NAME_OR_PR_CHANGE)</f>
        <v>Региональная тарифная комиссия Ставропольского края</v>
      </c>
      <c r="W31" s="7682"/>
      <c r="X31" s="7682"/>
      <c r="Y31" s="7682"/>
      <c r="Z31" s="7682"/>
      <c r="AA31" s="7682"/>
      <c r="AB31" s="7682"/>
      <c r="AC31" s="248"/>
      <c r="AD31" s="7682" t="str">
        <f>IF(TITLE_NAME_OR_PR_CHANGE="",IF(TITLE_NAME_OR_PR="","",TITLE_NAME_OR_PR),TITLE_NAME_OR_PR_CHANGE)</f>
        <v>Региональная тарифная комиссия Ставропольского края</v>
      </c>
      <c r="AE31" s="7682"/>
      <c r="AF31" s="7682"/>
      <c r="AG31" s="7682"/>
      <c r="AH31" s="7682"/>
      <c r="AI31" s="7682"/>
      <c r="AJ31" s="7682"/>
      <c r="AK31" s="7682"/>
      <c r="AL31" s="7682"/>
      <c r="AM31" s="7682"/>
      <c r="AN31" s="7682"/>
      <c r="AO31" s="7682"/>
      <c r="AP31" s="7682"/>
      <c r="AQ31" s="7682"/>
      <c r="AR31" s="7682"/>
      <c r="AS31" s="7682"/>
      <c r="AT31" s="7682"/>
      <c r="AU31" s="7682"/>
      <c r="AV31" s="7682"/>
      <c r="AW31" s="7682"/>
      <c r="AX31" s="7682"/>
      <c r="AY31" s="7682"/>
      <c r="AZ31" s="7682"/>
      <c r="BA31" s="248"/>
      <c r="BB31" s="248"/>
      <c r="BC31" s="196"/>
      <c r="BD31" s="292"/>
      <c r="BE31" s="292"/>
      <c r="BF31" s="292"/>
      <c r="BG31" s="292"/>
      <c r="BH31" s="292"/>
    </row>
    <row r="32" spans="1:60" s="1771" customFormat="1" ht="18.75" customHeight="1">
      <c r="A32" s="1289"/>
      <c r="B32" s="1289"/>
      <c r="C32" s="1289"/>
      <c r="D32" s="1289"/>
      <c r="E32" s="1289"/>
      <c r="F32" s="1289"/>
      <c r="G32" s="1289"/>
      <c r="H32" s="1289"/>
      <c r="I32" s="1289"/>
      <c r="J32" s="1289"/>
      <c r="K32" s="1289"/>
      <c r="L32" s="1290"/>
      <c r="M32" s="1289"/>
      <c r="N32" s="1289"/>
      <c r="O32" s="1289"/>
      <c r="P32" s="1289"/>
      <c r="Q32" s="1289"/>
      <c r="S32" s="7681" t="s">
        <v>597</v>
      </c>
      <c r="T32" s="7681"/>
      <c r="U32" s="1293"/>
      <c r="V32" s="7691">
        <f>IF(TITLE_DATE_PR_CHANGE="",IF(TITLE_DATE_PR="","",TITLE_DATE_PR),TITLE_DATE_PR_CHANGE)</f>
        <v>45278</v>
      </c>
      <c r="W32" s="7691"/>
      <c r="X32" s="7691"/>
      <c r="Y32" s="7691"/>
      <c r="Z32" s="7691"/>
      <c r="AA32" s="7691"/>
      <c r="AB32" s="7691"/>
      <c r="AC32" s="248"/>
      <c r="AD32" s="7691">
        <f>IF(TITLE_DATE_PR_CHANGE="",IF(TITLE_DATE_PR="","",TITLE_DATE_PR),TITLE_DATE_PR_CHANGE)</f>
        <v>45278</v>
      </c>
      <c r="AE32" s="7691"/>
      <c r="AF32" s="7691"/>
      <c r="AG32" s="7691"/>
      <c r="AH32" s="7691"/>
      <c r="AI32" s="7691"/>
      <c r="AJ32" s="7691"/>
      <c r="AK32" s="7691"/>
      <c r="AL32" s="7691"/>
      <c r="AM32" s="7691"/>
      <c r="AN32" s="7691"/>
      <c r="AO32" s="7691"/>
      <c r="AP32" s="7691"/>
      <c r="AQ32" s="7691"/>
      <c r="AR32" s="7691"/>
      <c r="AS32" s="7691"/>
      <c r="AT32" s="7691"/>
      <c r="AU32" s="7691"/>
      <c r="AV32" s="7691"/>
      <c r="AW32" s="7691"/>
      <c r="AX32" s="7691"/>
      <c r="AY32" s="7691"/>
      <c r="AZ32" s="7691"/>
      <c r="BA32" s="248"/>
      <c r="BB32" s="248"/>
      <c r="BC32" s="196"/>
      <c r="BD32" s="292"/>
      <c r="BE32" s="292"/>
      <c r="BF32" s="292"/>
      <c r="BG32" s="292"/>
      <c r="BH32" s="292"/>
    </row>
    <row r="33" spans="1:60" s="1771" customFormat="1" ht="18.75" customHeight="1">
      <c r="A33" s="1289"/>
      <c r="B33" s="1289"/>
      <c r="C33" s="1289"/>
      <c r="D33" s="1289"/>
      <c r="E33" s="1289"/>
      <c r="F33" s="1289"/>
      <c r="G33" s="1289"/>
      <c r="H33" s="1289"/>
      <c r="I33" s="1289"/>
      <c r="J33" s="1289"/>
      <c r="K33" s="1289"/>
      <c r="L33" s="1290"/>
      <c r="M33" s="1289"/>
      <c r="N33" s="1289"/>
      <c r="O33" s="1289"/>
      <c r="P33" s="1289"/>
      <c r="Q33" s="1289"/>
      <c r="S33" s="7681" t="s">
        <v>598</v>
      </c>
      <c r="T33" s="7681"/>
      <c r="U33" s="1293"/>
      <c r="V33" s="7682" t="str">
        <f>IF(TITLE_NUMBER_PR_CHANGE="",IF(TITLE_NUMBER_PR="","",TITLE_NUMBER_PR),TITLE_NUMBER_PR_CHANGE)</f>
        <v>79/2</v>
      </c>
      <c r="W33" s="7682"/>
      <c r="X33" s="7682"/>
      <c r="Y33" s="7682"/>
      <c r="Z33" s="7682"/>
      <c r="AA33" s="7682"/>
      <c r="AB33" s="7682"/>
      <c r="AC33" s="248"/>
      <c r="AD33" s="7682" t="str">
        <f>IF(TITLE_NUMBER_PR_CHANGE="",IF(TITLE_NUMBER_PR="","",TITLE_NUMBER_PR),TITLE_NUMBER_PR_CHANGE)</f>
        <v>79/2</v>
      </c>
      <c r="AE33" s="7682"/>
      <c r="AF33" s="7682"/>
      <c r="AG33" s="7682"/>
      <c r="AH33" s="7682"/>
      <c r="AI33" s="7682"/>
      <c r="AJ33" s="7682"/>
      <c r="AK33" s="7682"/>
      <c r="AL33" s="7682"/>
      <c r="AM33" s="7682"/>
      <c r="AN33" s="7682"/>
      <c r="AO33" s="7682"/>
      <c r="AP33" s="7682"/>
      <c r="AQ33" s="7682"/>
      <c r="AR33" s="7682"/>
      <c r="AS33" s="7682"/>
      <c r="AT33" s="7682"/>
      <c r="AU33" s="7682"/>
      <c r="AV33" s="7682"/>
      <c r="AW33" s="7682"/>
      <c r="AX33" s="7682"/>
      <c r="AY33" s="7682"/>
      <c r="AZ33" s="7682"/>
      <c r="BA33" s="248"/>
      <c r="BB33" s="248"/>
      <c r="BC33" s="196"/>
      <c r="BD33" s="292"/>
      <c r="BE33" s="292"/>
      <c r="BF33" s="292"/>
      <c r="BG33" s="292"/>
      <c r="BH33" s="292"/>
    </row>
    <row r="34" spans="1:60" s="1771" customFormat="1" ht="18.75" customHeight="1">
      <c r="A34" s="1289"/>
      <c r="B34" s="1289"/>
      <c r="C34" s="1289"/>
      <c r="D34" s="1289"/>
      <c r="E34" s="1289"/>
      <c r="F34" s="1289"/>
      <c r="G34" s="1289"/>
      <c r="H34" s="1289"/>
      <c r="I34" s="1289"/>
      <c r="J34" s="1289"/>
      <c r="K34" s="1289"/>
      <c r="L34" s="1290"/>
      <c r="M34" s="1289"/>
      <c r="N34" s="1289"/>
      <c r="O34" s="1289"/>
      <c r="P34" s="1289"/>
      <c r="Q34" s="1289"/>
      <c r="S34" s="7681" t="s">
        <v>40</v>
      </c>
      <c r="T34" s="7681"/>
      <c r="U34" s="1293"/>
      <c r="V34" s="7682" t="str">
        <f>IF(TITLE_IST_PUB_CHANGE="",IF(TITLE_IST_PUB="","",TITLE_IST_PUB),TITLE_IST_PUB_CHANGE)</f>
        <v>http://pravo.stavregion.ru/</v>
      </c>
      <c r="W34" s="7682"/>
      <c r="X34" s="7682"/>
      <c r="Y34" s="7682"/>
      <c r="Z34" s="7682"/>
      <c r="AA34" s="7682"/>
      <c r="AB34" s="7682"/>
      <c r="AC34" s="248"/>
      <c r="AD34" s="7682" t="str">
        <f>IF(TITLE_IST_PUB_CHANGE="",IF(TITLE_IST_PUB="","",TITLE_IST_PUB),TITLE_IST_PUB_CHANGE)</f>
        <v>http://pravo.stavregion.ru/</v>
      </c>
      <c r="AE34" s="7682"/>
      <c r="AF34" s="7682"/>
      <c r="AG34" s="7682"/>
      <c r="AH34" s="7682"/>
      <c r="AI34" s="7682"/>
      <c r="AJ34" s="7682"/>
      <c r="AK34" s="7682"/>
      <c r="AL34" s="7682"/>
      <c r="AM34" s="7682"/>
      <c r="AN34" s="7682"/>
      <c r="AO34" s="7682"/>
      <c r="AP34" s="7682"/>
      <c r="AQ34" s="7682"/>
      <c r="AR34" s="7682"/>
      <c r="AS34" s="7682"/>
      <c r="AT34" s="7682"/>
      <c r="AU34" s="7682"/>
      <c r="AV34" s="7682"/>
      <c r="AW34" s="7682"/>
      <c r="AX34" s="7682"/>
      <c r="AY34" s="7682"/>
      <c r="AZ34" s="7682"/>
      <c r="BA34" s="248"/>
      <c r="BB34" s="248"/>
      <c r="BC34" s="196"/>
      <c r="BD34" s="292"/>
      <c r="BE34" s="292"/>
      <c r="BF34" s="292"/>
      <c r="BG34" s="292"/>
      <c r="BH34" s="292"/>
    </row>
    <row r="35" spans="1:60" ht="14.25" hidden="1"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7681" t="s">
        <v>597</v>
      </c>
      <c r="T36" s="7681"/>
      <c r="U36" s="1293"/>
      <c r="V36" s="7691">
        <f>IF(TITLE_DATE_PR_CHANGE="",IF(TITLE_DATE_PR="","",TITLE_DATE_PR),TITLE_DATE_PR_CHANGE)</f>
        <v>45278</v>
      </c>
      <c r="W36" s="7691"/>
      <c r="X36" s="7691"/>
      <c r="Y36" s="7691"/>
      <c r="Z36" s="7691"/>
      <c r="AA36" s="7691"/>
      <c r="AB36" s="7691"/>
      <c r="AC36" s="248"/>
      <c r="AD36" s="7691">
        <f>IF(TITLE_DATE_PR_CHANGE="",IF(TITLE_DATE_PR="","",TITLE_DATE_PR),TITLE_DATE_PR_CHANGE)</f>
        <v>45278</v>
      </c>
      <c r="AE36" s="7691"/>
      <c r="AF36" s="7691"/>
      <c r="AG36" s="7691"/>
      <c r="AH36" s="7691"/>
      <c r="AI36" s="7691"/>
      <c r="AJ36" s="7691"/>
      <c r="AK36" s="7691"/>
      <c r="AL36" s="7691"/>
      <c r="AM36" s="7691"/>
      <c r="AN36" s="7691"/>
      <c r="AO36" s="7691"/>
      <c r="AP36" s="7691"/>
      <c r="AQ36" s="7691"/>
      <c r="AR36" s="7691"/>
      <c r="AS36" s="7691"/>
      <c r="AT36" s="7691"/>
      <c r="AU36" s="7691"/>
      <c r="AV36" s="7691"/>
      <c r="AW36" s="7691"/>
      <c r="AX36" s="7691"/>
      <c r="AY36" s="7691"/>
      <c r="AZ36" s="7691"/>
      <c r="BA36" s="248"/>
      <c r="BB36" s="248"/>
      <c r="BC36" s="196"/>
      <c r="BD36" s="292"/>
      <c r="BE36" s="292"/>
      <c r="BF36" s="292"/>
      <c r="BG36" s="292"/>
      <c r="BH36" s="292"/>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7681" t="s">
        <v>598</v>
      </c>
      <c r="T37" s="7681"/>
      <c r="U37" s="1293"/>
      <c r="V37" s="7682" t="str">
        <f>IF(TITLE_NUMBER_PR_CHANGE="",IF(TITLE_NUMBER_PR="","",TITLE_NUMBER_PR),TITLE_NUMBER_PR_CHANGE)</f>
        <v>79/2</v>
      </c>
      <c r="W37" s="7682"/>
      <c r="X37" s="7682"/>
      <c r="Y37" s="7682"/>
      <c r="Z37" s="7682"/>
      <c r="AA37" s="7682"/>
      <c r="AB37" s="7682"/>
      <c r="AC37" s="248"/>
      <c r="AD37" s="7682" t="str">
        <f>IF(TITLE_NUMBER_PR_CHANGE="",IF(TITLE_NUMBER_PR="","",TITLE_NUMBER_PR),TITLE_NUMBER_PR_CHANGE)</f>
        <v>79/2</v>
      </c>
      <c r="AE37" s="7682"/>
      <c r="AF37" s="7682"/>
      <c r="AG37" s="7682"/>
      <c r="AH37" s="7682"/>
      <c r="AI37" s="7682"/>
      <c r="AJ37" s="7682"/>
      <c r="AK37" s="7682"/>
      <c r="AL37" s="7682"/>
      <c r="AM37" s="7682"/>
      <c r="AN37" s="7682"/>
      <c r="AO37" s="7682"/>
      <c r="AP37" s="7682"/>
      <c r="AQ37" s="7682"/>
      <c r="AR37" s="7682"/>
      <c r="AS37" s="7682"/>
      <c r="AT37" s="7682"/>
      <c r="AU37" s="7682"/>
      <c r="AV37" s="7682"/>
      <c r="AW37" s="7682"/>
      <c r="AX37" s="7682"/>
      <c r="AY37" s="7682"/>
      <c r="AZ37" s="7682"/>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403"/>
      <c r="V38" s="248"/>
      <c r="W38" s="248"/>
      <c r="X38" s="248"/>
      <c r="Y38" s="248"/>
      <c r="Z38" s="248"/>
      <c r="AA38" s="248"/>
      <c r="AB38" s="248"/>
      <c r="AC38" s="194" t="s">
        <v>601</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601</v>
      </c>
      <c r="BD38" s="292"/>
      <c r="BE38" s="292"/>
      <c r="BF38" s="292"/>
      <c r="BG38" s="292"/>
      <c r="BH38" s="292"/>
    </row>
    <row r="39" spans="1:60" ht="14.25" customHeight="1">
      <c r="Q39" s="206"/>
      <c r="R39" s="300"/>
      <c r="S39" s="1200"/>
      <c r="T39" s="286"/>
      <c r="U39" s="1158"/>
      <c r="V39" s="7683"/>
      <c r="W39" s="7683"/>
      <c r="X39" s="7683"/>
      <c r="Y39" s="7683"/>
      <c r="Z39" s="7683"/>
      <c r="AA39" s="7683"/>
      <c r="AB39" s="7683"/>
      <c r="AC39" s="7683"/>
      <c r="AD39" s="7683"/>
      <c r="AE39" s="7683"/>
      <c r="AF39" s="7683"/>
      <c r="AG39" s="7683"/>
      <c r="AH39" s="7683"/>
      <c r="AI39" s="7683"/>
      <c r="AJ39" s="7683"/>
      <c r="AK39" s="7683"/>
      <c r="AL39" s="7683"/>
      <c r="AM39" s="7683"/>
      <c r="AN39" s="7683"/>
      <c r="AO39" s="7683"/>
      <c r="AP39" s="7683"/>
      <c r="AQ39" s="7683"/>
      <c r="AR39" s="7683"/>
      <c r="AS39" s="7683"/>
      <c r="AT39" s="7683"/>
      <c r="AU39" s="7683"/>
      <c r="AV39" s="7683"/>
      <c r="AW39" s="7683"/>
      <c r="AX39" s="7683"/>
      <c r="AY39" s="7683"/>
      <c r="AZ39" s="7683"/>
      <c r="BA39" s="7683"/>
    </row>
    <row r="40" spans="1:60" ht="14.25" customHeight="1">
      <c r="Q40" s="206"/>
      <c r="R40" s="300"/>
      <c r="S40" s="7559" t="s">
        <v>474</v>
      </c>
      <c r="T40" s="7559"/>
      <c r="U40" s="7559"/>
      <c r="V40" s="7559"/>
      <c r="W40" s="7559"/>
      <c r="X40" s="7559"/>
      <c r="Y40" s="7559"/>
      <c r="Z40" s="7559"/>
      <c r="AA40" s="7559"/>
      <c r="AB40" s="7559"/>
      <c r="AC40" s="7559"/>
      <c r="AD40" s="7559"/>
      <c r="AE40" s="7559"/>
      <c r="AF40" s="7559"/>
      <c r="AG40" s="7559"/>
      <c r="AH40" s="7559"/>
      <c r="AI40" s="7559"/>
      <c r="AJ40" s="7559"/>
      <c r="AK40" s="7559"/>
      <c r="AL40" s="7559"/>
      <c r="AM40" s="7559"/>
      <c r="AN40" s="7559"/>
      <c r="AO40" s="7559"/>
      <c r="AP40" s="7559"/>
      <c r="AQ40" s="7559"/>
      <c r="AR40" s="7559"/>
      <c r="AS40" s="7559"/>
      <c r="AT40" s="7559"/>
      <c r="AU40" s="7559"/>
      <c r="AV40" s="7559"/>
      <c r="AW40" s="7559"/>
      <c r="AX40" s="7559"/>
      <c r="AY40" s="7559"/>
      <c r="AZ40" s="7559"/>
      <c r="BA40" s="7559"/>
      <c r="BB40" s="7559"/>
      <c r="BC40" s="7559" t="s">
        <v>475</v>
      </c>
    </row>
    <row r="41" spans="1:60" ht="14.25" customHeight="1">
      <c r="Q41" s="206"/>
      <c r="R41" s="300"/>
      <c r="S41" s="7697" t="s">
        <v>86</v>
      </c>
      <c r="T41" s="7649" t="s">
        <v>682</v>
      </c>
      <c r="U41" s="215"/>
      <c r="V41" s="7698" t="s">
        <v>603</v>
      </c>
      <c r="W41" s="7699"/>
      <c r="X41" s="7699"/>
      <c r="Y41" s="7699"/>
      <c r="Z41" s="7699"/>
      <c r="AA41" s="7699"/>
      <c r="AB41" s="7700"/>
      <c r="AC41" s="7701" t="s">
        <v>604</v>
      </c>
      <c r="AD41" s="7727" t="s">
        <v>699</v>
      </c>
      <c r="AE41" s="7713"/>
      <c r="AF41" s="7713"/>
      <c r="AG41" s="7728"/>
      <c r="AH41" s="7727" t="s">
        <v>700</v>
      </c>
      <c r="AI41" s="7713"/>
      <c r="AJ41" s="7713"/>
      <c r="AK41" s="7728"/>
      <c r="AL41" s="7727" t="s">
        <v>701</v>
      </c>
      <c r="AM41" s="7713"/>
      <c r="AN41" s="7713"/>
      <c r="AO41" s="7728"/>
      <c r="AP41" s="7727" t="s">
        <v>686</v>
      </c>
      <c r="AQ41" s="7713"/>
      <c r="AR41" s="7713"/>
      <c r="AS41" s="7728"/>
      <c r="AT41" s="7698" t="s">
        <v>603</v>
      </c>
      <c r="AU41" s="7699"/>
      <c r="AV41" s="7699"/>
      <c r="AW41" s="7699"/>
      <c r="AX41" s="7699"/>
      <c r="AY41" s="7699"/>
      <c r="AZ41" s="7700"/>
      <c r="BA41" s="7701" t="s">
        <v>604</v>
      </c>
      <c r="BB41" s="7704" t="s">
        <v>606</v>
      </c>
      <c r="BC41" s="7559"/>
    </row>
    <row r="42" spans="1:60" ht="33.75" customHeight="1">
      <c r="Q42" s="206"/>
      <c r="R42" s="300"/>
      <c r="S42" s="7697"/>
      <c r="T42" s="7649"/>
      <c r="U42" s="942"/>
      <c r="V42" s="7634" t="s">
        <v>687</v>
      </c>
      <c r="W42" s="7635"/>
      <c r="X42" s="7634" t="s">
        <v>688</v>
      </c>
      <c r="Y42" s="7635"/>
      <c r="Z42" s="7634" t="s">
        <v>689</v>
      </c>
      <c r="AA42" s="7722"/>
      <c r="AB42" s="7635"/>
      <c r="AC42" s="7702"/>
      <c r="AD42" s="7729"/>
      <c r="AE42" s="7730"/>
      <c r="AF42" s="7730"/>
      <c r="AG42" s="7731"/>
      <c r="AH42" s="7729"/>
      <c r="AI42" s="7730"/>
      <c r="AJ42" s="7730"/>
      <c r="AK42" s="7731"/>
      <c r="AL42" s="7729"/>
      <c r="AM42" s="7730"/>
      <c r="AN42" s="7730"/>
      <c r="AO42" s="7731"/>
      <c r="AP42" s="7729"/>
      <c r="AQ42" s="7730"/>
      <c r="AR42" s="7730"/>
      <c r="AS42" s="7731"/>
      <c r="AT42" s="7634" t="s">
        <v>702</v>
      </c>
      <c r="AU42" s="7635"/>
      <c r="AV42" s="7634" t="s">
        <v>703</v>
      </c>
      <c r="AW42" s="7635"/>
      <c r="AX42" s="7634" t="s">
        <v>689</v>
      </c>
      <c r="AY42" s="7722"/>
      <c r="AZ42" s="7635"/>
      <c r="BA42" s="7702"/>
      <c r="BB42" s="7705"/>
      <c r="BC42" s="7559"/>
    </row>
    <row r="43" spans="1:60" ht="14.25" customHeight="1">
      <c r="Q43" s="206"/>
      <c r="R43" s="300"/>
      <c r="S43" s="7697"/>
      <c r="T43" s="7649"/>
      <c r="U43" s="942"/>
      <c r="V43" s="7639"/>
      <c r="W43" s="7640"/>
      <c r="X43" s="7639"/>
      <c r="Y43" s="7640"/>
      <c r="Z43" s="7639"/>
      <c r="AA43" s="7723"/>
      <c r="AB43" s="7640"/>
      <c r="AC43" s="7702"/>
      <c r="AD43" s="7729"/>
      <c r="AE43" s="7730"/>
      <c r="AF43" s="7730"/>
      <c r="AG43" s="7731"/>
      <c r="AH43" s="7729"/>
      <c r="AI43" s="7730"/>
      <c r="AJ43" s="7730"/>
      <c r="AK43" s="7731"/>
      <c r="AL43" s="7729"/>
      <c r="AM43" s="7730"/>
      <c r="AN43" s="7730"/>
      <c r="AO43" s="7731"/>
      <c r="AP43" s="7729"/>
      <c r="AQ43" s="7730"/>
      <c r="AR43" s="7730"/>
      <c r="AS43" s="7731"/>
      <c r="AT43" s="7639"/>
      <c r="AU43" s="7640"/>
      <c r="AV43" s="7639"/>
      <c r="AW43" s="7640"/>
      <c r="AX43" s="7639"/>
      <c r="AY43" s="7723"/>
      <c r="AZ43" s="7640"/>
      <c r="BA43" s="7702"/>
      <c r="BB43" s="7705"/>
      <c r="BC43" s="7559"/>
    </row>
    <row r="44" spans="1:60" ht="14.25" customHeight="1">
      <c r="A44" s="1291"/>
      <c r="B44" s="1291" t="s">
        <v>249</v>
      </c>
      <c r="C44" s="1291" t="s">
        <v>250</v>
      </c>
      <c r="D44" s="1291" t="s">
        <v>251</v>
      </c>
      <c r="E44" s="1285" t="s">
        <v>611</v>
      </c>
      <c r="F44" s="1285" t="s">
        <v>612</v>
      </c>
      <c r="G44" s="1285" t="s">
        <v>613</v>
      </c>
      <c r="H44" s="1285" t="s">
        <v>614</v>
      </c>
      <c r="I44" s="1285" t="s">
        <v>615</v>
      </c>
      <c r="J44" s="1285" t="s">
        <v>616</v>
      </c>
      <c r="K44" s="1285" t="s">
        <v>617</v>
      </c>
      <c r="L44" s="1285" t="s">
        <v>592</v>
      </c>
      <c r="Q44" s="206"/>
      <c r="R44" s="300"/>
      <c r="S44" s="7697"/>
      <c r="T44" s="7649"/>
      <c r="U44" s="216"/>
      <c r="V44" s="1394" t="s">
        <v>651</v>
      </c>
      <c r="W44" s="1394" t="s">
        <v>652</v>
      </c>
      <c r="X44" s="1394" t="s">
        <v>651</v>
      </c>
      <c r="Y44" s="1394" t="s">
        <v>652</v>
      </c>
      <c r="Z44" s="1404" t="s">
        <v>620</v>
      </c>
      <c r="AA44" s="7657" t="s">
        <v>621</v>
      </c>
      <c r="AB44" s="7659"/>
      <c r="AC44" s="7703"/>
      <c r="AD44" s="7732"/>
      <c r="AE44" s="7733"/>
      <c r="AF44" s="7733"/>
      <c r="AG44" s="7734"/>
      <c r="AH44" s="7732"/>
      <c r="AI44" s="7733"/>
      <c r="AJ44" s="7733"/>
      <c r="AK44" s="7734"/>
      <c r="AL44" s="7732"/>
      <c r="AM44" s="7733"/>
      <c r="AN44" s="7733"/>
      <c r="AO44" s="7734"/>
      <c r="AP44" s="7732"/>
      <c r="AQ44" s="7733"/>
      <c r="AR44" s="7733"/>
      <c r="AS44" s="7734"/>
      <c r="AT44" s="1394" t="s">
        <v>651</v>
      </c>
      <c r="AU44" s="1394" t="s">
        <v>652</v>
      </c>
      <c r="AV44" s="1394" t="s">
        <v>651</v>
      </c>
      <c r="AW44" s="1394" t="s">
        <v>652</v>
      </c>
      <c r="AX44" s="1404" t="s">
        <v>620</v>
      </c>
      <c r="AY44" s="7657" t="s">
        <v>621</v>
      </c>
      <c r="AZ44" s="7659"/>
      <c r="BA44" s="7703"/>
      <c r="BB44" s="7706"/>
      <c r="BC44" s="7559"/>
    </row>
    <row r="45" spans="1:60" s="1561" customFormat="1" ht="11.25" hidden="1" customHeight="1">
      <c r="A45" s="1291"/>
      <c r="B45" s="1291"/>
      <c r="C45" s="1291"/>
      <c r="D45" s="1291"/>
      <c r="E45" s="1291"/>
      <c r="F45" s="1291"/>
      <c r="G45" s="1291"/>
      <c r="H45" s="1291"/>
      <c r="I45" s="1291"/>
      <c r="J45" s="1291"/>
      <c r="K45" s="1291"/>
      <c r="L45" s="1285"/>
      <c r="M45" s="1283"/>
      <c r="N45" s="1283"/>
      <c r="O45" s="1283"/>
      <c r="P45" s="434"/>
      <c r="Q45" s="1176"/>
      <c r="R45" s="1176">
        <v>1</v>
      </c>
      <c r="S45" s="1202" t="s">
        <v>97</v>
      </c>
      <c r="T45" s="1177" t="s">
        <v>100</v>
      </c>
      <c r="U45" s="1159" t="str">
        <f ca="1">OFFSET(U45,0,-1)</f>
        <v>2</v>
      </c>
      <c r="V45" s="1397">
        <f t="shared" ref="V45:AA45" ca="1" si="2">OFFSET(V45,0,-1)+1</f>
        <v>3</v>
      </c>
      <c r="W45" s="1397">
        <f t="shared" ca="1" si="2"/>
        <v>4</v>
      </c>
      <c r="X45" s="1397">
        <f t="shared" ca="1" si="2"/>
        <v>5</v>
      </c>
      <c r="Y45" s="1397">
        <f t="shared" ca="1" si="2"/>
        <v>6</v>
      </c>
      <c r="Z45" s="1397">
        <f t="shared" ca="1" si="2"/>
        <v>7</v>
      </c>
      <c r="AA45" s="7696">
        <f t="shared" ca="1" si="2"/>
        <v>8</v>
      </c>
      <c r="AB45" s="7696"/>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7696">
        <f ca="1">OFFSET(AY45,0,-1)+1</f>
        <v>3</v>
      </c>
      <c r="AZ45" s="7696"/>
      <c r="BA45" s="1397">
        <f ca="1">OFFSET(BA45,0,-2)+1</f>
        <v>4</v>
      </c>
      <c r="BB45" s="1159">
        <f ca="1">OFFSET(BB45,0,-1)</f>
        <v>4</v>
      </c>
      <c r="BC45" s="1397">
        <f ca="1">OFFSET(BC45,0,-1)+1</f>
        <v>5</v>
      </c>
      <c r="BD45" s="435"/>
      <c r="BE45" s="435"/>
      <c r="BF45" s="435"/>
      <c r="BG45" s="435"/>
      <c r="BH45" s="435"/>
    </row>
    <row r="46" spans="1:60" ht="21" customHeight="1">
      <c r="A46" s="1284" t="s">
        <v>450</v>
      </c>
      <c r="B46" s="1284"/>
      <c r="C46" s="1284"/>
      <c r="D46" s="1284"/>
      <c r="E46" s="7689">
        <v>1</v>
      </c>
      <c r="F46" s="1284"/>
      <c r="G46" s="1284"/>
      <c r="H46" s="1284"/>
      <c r="I46" s="1284"/>
      <c r="J46" s="1284"/>
      <c r="K46" s="1284"/>
      <c r="L46" s="1285"/>
      <c r="M46" s="1286"/>
      <c r="N46" s="1286"/>
      <c r="O46" s="1286"/>
      <c r="P46" s="1330"/>
      <c r="Q46" s="787"/>
      <c r="R46" s="276"/>
      <c r="S46" s="1408">
        <f>INDEX(PT_DIFFERENTIATION_NUM_NTAR,MATCH(A46,PT_DIFFERENTIATION_NTAR_ID,0))</f>
        <v>0</v>
      </c>
      <c r="T46" s="212" t="s">
        <v>237</v>
      </c>
      <c r="U46" s="214"/>
      <c r="V46" s="7676"/>
      <c r="W46" s="7676"/>
      <c r="X46" s="7676"/>
      <c r="Y46" s="7676"/>
      <c r="Z46" s="7676"/>
      <c r="AA46" s="7676"/>
      <c r="AB46" s="7676"/>
      <c r="AC46" s="7677"/>
      <c r="AD46" s="7675" t="str">
        <f>INDEX(PT_DIFFERENTIATION_NTAR,MATCH(A46,PT_DIFFERENTIATION_NTAR_ID,0))</f>
        <v/>
      </c>
      <c r="AE46" s="7676"/>
      <c r="AF46" s="7676"/>
      <c r="AG46" s="7676"/>
      <c r="AH46" s="7676"/>
      <c r="AI46" s="7676"/>
      <c r="AJ46" s="7676"/>
      <c r="AK46" s="7676"/>
      <c r="AL46" s="7676"/>
      <c r="AM46" s="7676"/>
      <c r="AN46" s="7676"/>
      <c r="AO46" s="7676"/>
      <c r="AP46" s="7676"/>
      <c r="AQ46" s="7676"/>
      <c r="AR46" s="7676"/>
      <c r="AS46" s="7676"/>
      <c r="AT46" s="7676"/>
      <c r="AU46" s="7676"/>
      <c r="AV46" s="7676"/>
      <c r="AW46" s="7676"/>
      <c r="AX46" s="7676"/>
      <c r="AY46" s="7676"/>
      <c r="AZ46" s="7676"/>
      <c r="BA46" s="7676"/>
      <c r="BB46" s="7677"/>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450</v>
      </c>
      <c r="B47" s="1284" t="s">
        <v>451</v>
      </c>
      <c r="C47" s="1284"/>
      <c r="D47" s="1284"/>
      <c r="E47" s="7690"/>
      <c r="F47" s="7689">
        <v>1</v>
      </c>
      <c r="G47" s="1284"/>
      <c r="H47" s="1284"/>
      <c r="I47" s="1284"/>
      <c r="J47" s="1284"/>
      <c r="K47" s="1284"/>
      <c r="L47" s="1285"/>
      <c r="M47" s="1286"/>
      <c r="N47" s="1286"/>
      <c r="O47" s="1286"/>
      <c r="P47" s="1331"/>
      <c r="Q47" s="1332"/>
      <c r="R47" s="274"/>
      <c r="S47" s="1408" t="str">
        <f>INDEX(PT_DIFFERENTIATION_NUM_TER,MATCH(B47,PT_DIFFERENTIATION_TER_ID,0))</f>
        <v>.</v>
      </c>
      <c r="T47" s="224" t="s">
        <v>573</v>
      </c>
      <c r="U47" s="214"/>
      <c r="V47" s="7676"/>
      <c r="W47" s="7676"/>
      <c r="X47" s="7676"/>
      <c r="Y47" s="7676"/>
      <c r="Z47" s="7676"/>
      <c r="AA47" s="7676"/>
      <c r="AB47" s="7676"/>
      <c r="AC47" s="7677"/>
      <c r="AD47" s="7675" t="str">
        <f>INDEX(PT_DIFFERENTIATION_TER,MATCH(B47,PT_DIFFERENTIATION_TER_ID,0))</f>
        <v/>
      </c>
      <c r="AE47" s="7676"/>
      <c r="AF47" s="7676"/>
      <c r="AG47" s="7676"/>
      <c r="AH47" s="7676"/>
      <c r="AI47" s="7676"/>
      <c r="AJ47" s="7676"/>
      <c r="AK47" s="7676"/>
      <c r="AL47" s="7676"/>
      <c r="AM47" s="7676"/>
      <c r="AN47" s="7676"/>
      <c r="AO47" s="7676"/>
      <c r="AP47" s="7676"/>
      <c r="AQ47" s="7676"/>
      <c r="AR47" s="7676"/>
      <c r="AS47" s="7676"/>
      <c r="AT47" s="7676"/>
      <c r="AU47" s="7676"/>
      <c r="AV47" s="7676"/>
      <c r="AW47" s="7676"/>
      <c r="AX47" s="7676"/>
      <c r="AY47" s="7676"/>
      <c r="AZ47" s="7676"/>
      <c r="BA47" s="7676"/>
      <c r="BB47" s="7677"/>
      <c r="BC47" s="1182" t="s">
        <v>574</v>
      </c>
      <c r="BE47" s="424"/>
      <c r="BF47" s="424" t="str">
        <f t="shared" si="3"/>
        <v>Территория действия тарифа</v>
      </c>
      <c r="BG47" s="424"/>
      <c r="BH47" s="424"/>
    </row>
    <row r="48" spans="1:60" ht="33.75" customHeight="1">
      <c r="A48" s="1284" t="s">
        <v>450</v>
      </c>
      <c r="B48" s="1284" t="s">
        <v>451</v>
      </c>
      <c r="C48" s="1284" t="s">
        <v>452</v>
      </c>
      <c r="D48" s="1284"/>
      <c r="E48" s="7690"/>
      <c r="F48" s="7690"/>
      <c r="G48" s="7689">
        <v>1</v>
      </c>
      <c r="H48" s="1284"/>
      <c r="I48" s="1284"/>
      <c r="J48" s="1284"/>
      <c r="K48" s="1284"/>
      <c r="L48" s="1285"/>
      <c r="M48" s="1286"/>
      <c r="N48" s="1286"/>
      <c r="O48" s="1286"/>
      <c r="P48" s="1333"/>
      <c r="Q48" s="1332"/>
      <c r="R48" s="274"/>
      <c r="S48" s="1408" t="str">
        <f>INDEX(PT_DIFFERENTIATION_NUM_CS,MATCH(C48,PT_DIFFERENTIATION_CS_ID,0))</f>
        <v>..</v>
      </c>
      <c r="T48" s="225" t="s">
        <v>691</v>
      </c>
      <c r="U48" s="214"/>
      <c r="V48" s="7676"/>
      <c r="W48" s="7676"/>
      <c r="X48" s="7676"/>
      <c r="Y48" s="7676"/>
      <c r="Z48" s="7676"/>
      <c r="AA48" s="7676"/>
      <c r="AB48" s="7676"/>
      <c r="AC48" s="7677"/>
      <c r="AD48" s="7675" t="str">
        <f>INDEX(PT_DIFFERENTIATION_CS,MATCH(C48,PT_DIFFERENTIATION_CS_ID,0))</f>
        <v/>
      </c>
      <c r="AE48" s="7676"/>
      <c r="AF48" s="7676"/>
      <c r="AG48" s="7676"/>
      <c r="AH48" s="7676"/>
      <c r="AI48" s="7676"/>
      <c r="AJ48" s="7676"/>
      <c r="AK48" s="7676"/>
      <c r="AL48" s="7676"/>
      <c r="AM48" s="7676"/>
      <c r="AN48" s="7676"/>
      <c r="AO48" s="7676"/>
      <c r="AP48" s="7676"/>
      <c r="AQ48" s="7676"/>
      <c r="AR48" s="7676"/>
      <c r="AS48" s="7676"/>
      <c r="AT48" s="7676"/>
      <c r="AU48" s="7676"/>
      <c r="AV48" s="7676"/>
      <c r="AW48" s="7676"/>
      <c r="AX48" s="7676"/>
      <c r="AY48" s="7676"/>
      <c r="AZ48" s="7676"/>
      <c r="BA48" s="7676"/>
      <c r="BB48" s="7677"/>
      <c r="BC48" s="1182" t="s">
        <v>692</v>
      </c>
      <c r="BE48" s="424"/>
      <c r="BF48" s="424" t="str">
        <f t="shared" si="3"/>
        <v>Наименование централизованной системы водоотведения</v>
      </c>
      <c r="BG48" s="424"/>
      <c r="BH48" s="424"/>
    </row>
    <row r="49" spans="1:60" s="1562" customFormat="1" ht="0" hidden="1" customHeight="1">
      <c r="A49" s="1265" t="s">
        <v>450</v>
      </c>
      <c r="B49" s="1265" t="s">
        <v>451</v>
      </c>
      <c r="C49" s="1265" t="s">
        <v>452</v>
      </c>
      <c r="D49" s="1265" t="s">
        <v>704</v>
      </c>
      <c r="E49" s="7690"/>
      <c r="F49" s="7690"/>
      <c r="G49" s="7690"/>
      <c r="H49" s="7689">
        <v>1</v>
      </c>
      <c r="I49" s="1265"/>
      <c r="J49" s="1265"/>
      <c r="K49" s="1265"/>
      <c r="L49" s="1268"/>
      <c r="M49" s="1238"/>
      <c r="N49" s="1238"/>
      <c r="O49" s="1238"/>
      <c r="P49" s="1412"/>
      <c r="Q49" s="1413"/>
      <c r="R49" s="278"/>
      <c r="S49" s="953"/>
      <c r="T49" s="1414"/>
      <c r="U49" s="1305"/>
      <c r="V49" s="7717"/>
      <c r="W49" s="7717"/>
      <c r="X49" s="7717"/>
      <c r="Y49" s="7717"/>
      <c r="Z49" s="7717"/>
      <c r="AA49" s="7717"/>
      <c r="AB49" s="7717"/>
      <c r="AC49" s="7718"/>
      <c r="AD49" s="7716"/>
      <c r="AE49" s="7717"/>
      <c r="AF49" s="7717"/>
      <c r="AG49" s="7717"/>
      <c r="AH49" s="7717"/>
      <c r="AI49" s="7717"/>
      <c r="AJ49" s="7717"/>
      <c r="AK49" s="7717"/>
      <c r="AL49" s="7717"/>
      <c r="AM49" s="7717"/>
      <c r="AN49" s="7717"/>
      <c r="AO49" s="7717"/>
      <c r="AP49" s="7717"/>
      <c r="AQ49" s="7717"/>
      <c r="AR49" s="7717"/>
      <c r="AS49" s="7717"/>
      <c r="AT49" s="7717"/>
      <c r="AU49" s="7717"/>
      <c r="AV49" s="7717"/>
      <c r="AW49" s="7717"/>
      <c r="AX49" s="7717"/>
      <c r="AY49" s="7717"/>
      <c r="AZ49" s="7717"/>
      <c r="BA49" s="7717"/>
      <c r="BB49" s="7718"/>
      <c r="BC49" s="1306" t="s">
        <v>578</v>
      </c>
      <c r="BE49" s="424"/>
      <c r="BF49" s="424" t="str">
        <f t="shared" si="3"/>
        <v/>
      </c>
      <c r="BG49" s="424"/>
      <c r="BH49" s="424"/>
    </row>
    <row r="50" spans="1:60" s="1562" customFormat="1" ht="0" hidden="1" customHeight="1">
      <c r="A50" s="1265" t="s">
        <v>450</v>
      </c>
      <c r="B50" s="1265" t="s">
        <v>451</v>
      </c>
      <c r="C50" s="1265" t="s">
        <v>452</v>
      </c>
      <c r="D50" s="1265" t="s">
        <v>704</v>
      </c>
      <c r="E50" s="7690"/>
      <c r="F50" s="7690"/>
      <c r="G50" s="7690"/>
      <c r="H50" s="7690"/>
      <c r="I50" s="7687" t="str">
        <f>S49&amp;".1"</f>
        <v>.1</v>
      </c>
      <c r="J50" s="1265"/>
      <c r="K50" s="1265"/>
      <c r="L50" s="1268" t="s">
        <v>579</v>
      </c>
      <c r="M50" s="434"/>
      <c r="N50" s="434"/>
      <c r="O50" s="434"/>
      <c r="P50" s="7688">
        <v>1</v>
      </c>
      <c r="Q50" s="1396"/>
      <c r="R50" s="277"/>
      <c r="S50" s="953"/>
      <c r="T50" s="1304"/>
      <c r="U50" s="1305"/>
      <c r="V50" s="7717"/>
      <c r="W50" s="7717"/>
      <c r="X50" s="7717"/>
      <c r="Y50" s="7717"/>
      <c r="Z50" s="7717"/>
      <c r="AA50" s="7717"/>
      <c r="AB50" s="7717"/>
      <c r="AC50" s="7718"/>
      <c r="AD50" s="7716"/>
      <c r="AE50" s="7717"/>
      <c r="AF50" s="7717"/>
      <c r="AG50" s="7717"/>
      <c r="AH50" s="7717"/>
      <c r="AI50" s="7717"/>
      <c r="AJ50" s="7717"/>
      <c r="AK50" s="7717"/>
      <c r="AL50" s="7717"/>
      <c r="AM50" s="7717"/>
      <c r="AN50" s="7717"/>
      <c r="AO50" s="7717"/>
      <c r="AP50" s="7717"/>
      <c r="AQ50" s="7717"/>
      <c r="AR50" s="7717"/>
      <c r="AS50" s="7717"/>
      <c r="AT50" s="7717"/>
      <c r="AU50" s="7717"/>
      <c r="AV50" s="7717"/>
      <c r="AW50" s="7717"/>
      <c r="AX50" s="7717"/>
      <c r="AY50" s="7717"/>
      <c r="AZ50" s="7717"/>
      <c r="BA50" s="7717"/>
      <c r="BB50" s="7718"/>
      <c r="BC50" s="1306"/>
      <c r="BE50" s="424"/>
      <c r="BF50" s="424" t="str">
        <f t="shared" si="3"/>
        <v/>
      </c>
      <c r="BG50" s="424"/>
      <c r="BH50" s="424"/>
    </row>
    <row r="51" spans="1:60" s="1562" customFormat="1" ht="0" hidden="1" customHeight="1">
      <c r="A51" s="1265" t="s">
        <v>450</v>
      </c>
      <c r="B51" s="1265" t="s">
        <v>451</v>
      </c>
      <c r="C51" s="1265" t="s">
        <v>452</v>
      </c>
      <c r="D51" s="1265" t="s">
        <v>704</v>
      </c>
      <c r="E51" s="7690"/>
      <c r="F51" s="7690"/>
      <c r="G51" s="7690"/>
      <c r="H51" s="7690"/>
      <c r="I51" s="7710"/>
      <c r="J51" s="7687" t="str">
        <f>S49&amp;".1"</f>
        <v>.1</v>
      </c>
      <c r="K51" s="1265"/>
      <c r="L51" s="1268"/>
      <c r="M51" s="434"/>
      <c r="N51" s="434"/>
      <c r="O51" s="434"/>
      <c r="P51" s="7688"/>
      <c r="Q51" s="7688">
        <v>1</v>
      </c>
      <c r="R51" s="278"/>
      <c r="S51" s="953"/>
      <c r="T51" s="1320"/>
      <c r="U51" s="1305"/>
      <c r="V51" s="7717"/>
      <c r="W51" s="7717"/>
      <c r="X51" s="7717"/>
      <c r="Y51" s="7717"/>
      <c r="Z51" s="7717"/>
      <c r="AA51" s="7717"/>
      <c r="AB51" s="7717"/>
      <c r="AC51" s="7718"/>
      <c r="AD51" s="7716"/>
      <c r="AE51" s="7717"/>
      <c r="AF51" s="7717"/>
      <c r="AG51" s="7717"/>
      <c r="AH51" s="7717"/>
      <c r="AI51" s="7717"/>
      <c r="AJ51" s="7717"/>
      <c r="AK51" s="7717"/>
      <c r="AL51" s="7717"/>
      <c r="AM51" s="7717"/>
      <c r="AN51" s="7763"/>
      <c r="AO51" s="7763"/>
      <c r="AP51" s="7717"/>
      <c r="AQ51" s="7717"/>
      <c r="AR51" s="7717"/>
      <c r="AS51" s="7717"/>
      <c r="AT51" s="7717"/>
      <c r="AU51" s="7717"/>
      <c r="AV51" s="7717"/>
      <c r="AW51" s="7717"/>
      <c r="AX51" s="7717"/>
      <c r="AY51" s="7717"/>
      <c r="AZ51" s="7717"/>
      <c r="BA51" s="7717"/>
      <c r="BB51" s="7718"/>
      <c r="BC51" s="1306"/>
      <c r="BE51" s="424"/>
      <c r="BF51" s="424" t="str">
        <f t="shared" si="3"/>
        <v/>
      </c>
      <c r="BG51" s="424"/>
      <c r="BH51" s="424"/>
    </row>
    <row r="52" spans="1:60" ht="11.25" customHeight="1">
      <c r="A52" s="1284" t="s">
        <v>450</v>
      </c>
      <c r="B52" s="1284" t="s">
        <v>451</v>
      </c>
      <c r="C52" s="1284" t="s">
        <v>452</v>
      </c>
      <c r="D52" s="1284" t="s">
        <v>704</v>
      </c>
      <c r="E52" s="7690"/>
      <c r="F52" s="7690"/>
      <c r="G52" s="7690"/>
      <c r="H52" s="7690"/>
      <c r="I52" s="7710"/>
      <c r="J52" s="7710"/>
      <c r="K52" s="7687" t="str">
        <f>S48&amp;".1"</f>
        <v>...1</v>
      </c>
      <c r="L52" s="1285"/>
      <c r="P52" s="7688"/>
      <c r="Q52" s="7688"/>
      <c r="R52" s="278">
        <v>1</v>
      </c>
      <c r="S52" s="7739" t="str">
        <f>$K52</f>
        <v>...1</v>
      </c>
      <c r="T52" s="7758"/>
      <c r="U52" s="214"/>
      <c r="V52" s="666"/>
      <c r="W52" s="1181"/>
      <c r="X52" s="666"/>
      <c r="Y52" s="1181"/>
      <c r="Z52" s="1653"/>
      <c r="AA52" s="1385" t="s">
        <v>60</v>
      </c>
      <c r="AB52" s="1653"/>
      <c r="AC52" s="1385" t="s">
        <v>60</v>
      </c>
      <c r="AD52" s="7614" t="s">
        <v>60</v>
      </c>
      <c r="AE52" s="7725"/>
      <c r="AF52" s="7644">
        <v>1</v>
      </c>
      <c r="AG52" s="7762"/>
      <c r="AH52" s="7540" t="s">
        <v>60</v>
      </c>
      <c r="AI52" s="7725"/>
      <c r="AJ52" s="7644">
        <v>1</v>
      </c>
      <c r="AK52" s="7761" t="s">
        <v>24</v>
      </c>
      <c r="AL52" s="7540" t="s">
        <v>60</v>
      </c>
      <c r="AM52" s="7634"/>
      <c r="AN52" s="7644">
        <v>1</v>
      </c>
      <c r="AO52" s="7755"/>
      <c r="AP52" s="7756" t="s">
        <v>60</v>
      </c>
      <c r="AQ52" s="227"/>
      <c r="AR52" s="1401">
        <v>1</v>
      </c>
      <c r="AS52" s="1407" t="s">
        <v>24</v>
      </c>
      <c r="AT52" s="666"/>
      <c r="AU52" s="1181"/>
      <c r="AV52" s="666"/>
      <c r="AW52" s="1181"/>
      <c r="AX52" s="1653"/>
      <c r="AY52" s="1385" t="s">
        <v>60</v>
      </c>
      <c r="AZ52" s="1653"/>
      <c r="BA52" s="1385" t="s">
        <v>60</v>
      </c>
      <c r="BB52" s="1270"/>
      <c r="BC52" s="7684" t="s">
        <v>676</v>
      </c>
      <c r="BE52" s="424"/>
      <c r="BF52" s="424" t="str">
        <f t="shared" si="3"/>
        <v/>
      </c>
      <c r="BG52" s="424"/>
      <c r="BH52" s="424"/>
    </row>
    <row r="53" spans="1:60" ht="11.25" customHeight="1">
      <c r="A53" s="1284"/>
      <c r="B53" s="1284"/>
      <c r="C53" s="1284"/>
      <c r="D53" s="1284"/>
      <c r="E53" s="7690"/>
      <c r="F53" s="7690"/>
      <c r="G53" s="7690"/>
      <c r="H53" s="7690"/>
      <c r="I53" s="7710"/>
      <c r="J53" s="7710"/>
      <c r="K53" s="7687"/>
      <c r="L53" s="1285"/>
      <c r="P53" s="7688"/>
      <c r="Q53" s="7688"/>
      <c r="R53" s="278"/>
      <c r="S53" s="7740"/>
      <c r="T53" s="7759"/>
      <c r="U53" s="214"/>
      <c r="V53" s="1314"/>
      <c r="W53" s="1411"/>
      <c r="X53" s="1314"/>
      <c r="Y53" s="1411"/>
      <c r="Z53" s="1314"/>
      <c r="AA53" s="1314"/>
      <c r="AB53" s="1314"/>
      <c r="AC53" s="1314"/>
      <c r="AD53" s="7615"/>
      <c r="AE53" s="7725"/>
      <c r="AF53" s="7644"/>
      <c r="AG53" s="7762"/>
      <c r="AH53" s="7540"/>
      <c r="AI53" s="7725"/>
      <c r="AJ53" s="7644"/>
      <c r="AK53" s="7761"/>
      <c r="AL53" s="7540"/>
      <c r="AM53" s="7639"/>
      <c r="AN53" s="7644"/>
      <c r="AO53" s="7755"/>
      <c r="AP53" s="7757"/>
      <c r="AQ53" s="234"/>
      <c r="AR53" s="345"/>
      <c r="AS53" s="345" t="s">
        <v>677</v>
      </c>
      <c r="AT53" s="1314"/>
      <c r="AU53" s="1411"/>
      <c r="AV53" s="1314"/>
      <c r="AW53" s="1411"/>
      <c r="AX53" s="1314"/>
      <c r="AY53" s="1314"/>
      <c r="AZ53" s="1314"/>
      <c r="BA53" s="1314"/>
      <c r="BB53" s="1318"/>
      <c r="BC53" s="7685"/>
      <c r="BE53" s="424"/>
      <c r="BF53" s="424"/>
      <c r="BG53" s="424"/>
      <c r="BH53" s="424"/>
    </row>
    <row r="54" spans="1:60" ht="11.25" customHeight="1">
      <c r="A54" s="1284" t="s">
        <v>450</v>
      </c>
      <c r="B54" s="1284"/>
      <c r="C54" s="1284"/>
      <c r="D54" s="1284"/>
      <c r="E54" s="7690"/>
      <c r="F54" s="7690"/>
      <c r="G54" s="7690"/>
      <c r="H54" s="7690"/>
      <c r="I54" s="7710"/>
      <c r="J54" s="7710"/>
      <c r="K54" s="7687"/>
      <c r="L54" s="1285"/>
      <c r="P54" s="7688"/>
      <c r="Q54" s="7688"/>
      <c r="R54" s="278"/>
      <c r="S54" s="7740"/>
      <c r="T54" s="7759"/>
      <c r="U54" s="214"/>
      <c r="V54" s="1314"/>
      <c r="W54" s="1411"/>
      <c r="X54" s="1314"/>
      <c r="Y54" s="1411"/>
      <c r="Z54" s="1314"/>
      <c r="AA54" s="1314"/>
      <c r="AB54" s="1314"/>
      <c r="AC54" s="1314"/>
      <c r="AD54" s="7615"/>
      <c r="AE54" s="7725"/>
      <c r="AF54" s="7644"/>
      <c r="AG54" s="7762"/>
      <c r="AH54" s="7540"/>
      <c r="AI54" s="7725"/>
      <c r="AJ54" s="7644"/>
      <c r="AK54" s="7761"/>
      <c r="AL54" s="7540"/>
      <c r="AM54" s="234"/>
      <c r="AN54" s="1415"/>
      <c r="AO54" s="1415" t="s">
        <v>697</v>
      </c>
      <c r="AP54" s="345"/>
      <c r="AQ54" s="345"/>
      <c r="AR54" s="345"/>
      <c r="AS54" s="1314"/>
      <c r="AT54" s="1314"/>
      <c r="AU54" s="1411"/>
      <c r="AV54" s="1314"/>
      <c r="AW54" s="1411"/>
      <c r="AX54" s="1314"/>
      <c r="AY54" s="1314"/>
      <c r="AZ54" s="1314"/>
      <c r="BA54" s="1314"/>
      <c r="BB54" s="1318"/>
      <c r="BC54" s="7685"/>
      <c r="BE54" s="424"/>
      <c r="BF54" s="424"/>
      <c r="BG54" s="424"/>
      <c r="BH54" s="424"/>
    </row>
    <row r="55" spans="1:60" ht="11.25" customHeight="1">
      <c r="A55" s="1284" t="s">
        <v>450</v>
      </c>
      <c r="B55" s="1284"/>
      <c r="C55" s="1284"/>
      <c r="D55" s="1284"/>
      <c r="E55" s="7690"/>
      <c r="F55" s="7690"/>
      <c r="G55" s="7690"/>
      <c r="H55" s="7690"/>
      <c r="I55" s="7710"/>
      <c r="J55" s="7710"/>
      <c r="K55" s="7687"/>
      <c r="L55" s="1285"/>
      <c r="P55" s="7688"/>
      <c r="Q55" s="7688"/>
      <c r="R55" s="278"/>
      <c r="S55" s="7740"/>
      <c r="T55" s="7759"/>
      <c r="U55" s="214"/>
      <c r="V55" s="1314"/>
      <c r="W55" s="1411"/>
      <c r="X55" s="1314"/>
      <c r="Y55" s="1411"/>
      <c r="Z55" s="1314"/>
      <c r="AA55" s="1314"/>
      <c r="AB55" s="1314"/>
      <c r="AC55" s="1314"/>
      <c r="AD55" s="7615"/>
      <c r="AE55" s="7725"/>
      <c r="AF55" s="7644"/>
      <c r="AG55" s="7762"/>
      <c r="AH55" s="7540"/>
      <c r="AI55" s="208"/>
      <c r="AJ55" s="344"/>
      <c r="AK55" s="229" t="s">
        <v>698</v>
      </c>
      <c r="AL55" s="1314"/>
      <c r="AM55" s="1314"/>
      <c r="AN55" s="1314"/>
      <c r="AO55" s="1314"/>
      <c r="AP55" s="1314"/>
      <c r="AQ55" s="1314"/>
      <c r="AR55" s="1314"/>
      <c r="AS55" s="1314"/>
      <c r="AT55" s="1314"/>
      <c r="AU55" s="1411"/>
      <c r="AV55" s="1314"/>
      <c r="AW55" s="1411"/>
      <c r="AX55" s="1314"/>
      <c r="AY55" s="1314"/>
      <c r="AZ55" s="1314"/>
      <c r="BA55" s="1314"/>
      <c r="BB55" s="1318"/>
      <c r="BC55" s="7685"/>
      <c r="BE55" s="424"/>
      <c r="BF55" s="424"/>
      <c r="BG55" s="424"/>
      <c r="BH55" s="424"/>
    </row>
    <row r="56" spans="1:60" ht="11.25" customHeight="1">
      <c r="A56" s="1284" t="s">
        <v>450</v>
      </c>
      <c r="B56" s="1284" t="s">
        <v>451</v>
      </c>
      <c r="C56" s="1284" t="s">
        <v>452</v>
      </c>
      <c r="D56" s="1284" t="s">
        <v>704</v>
      </c>
      <c r="E56" s="7690"/>
      <c r="F56" s="7690"/>
      <c r="G56" s="7690"/>
      <c r="H56" s="7690"/>
      <c r="I56" s="7710"/>
      <c r="J56" s="7710"/>
      <c r="K56" s="7687"/>
      <c r="L56" s="1285"/>
      <c r="P56" s="7688"/>
      <c r="Q56" s="7688"/>
      <c r="R56" s="278"/>
      <c r="S56" s="7741"/>
      <c r="T56" s="7760"/>
      <c r="U56" s="214"/>
      <c r="V56" s="1314"/>
      <c r="W56" s="1315" t="str">
        <f>Z52&amp;"-"&amp;AB52</f>
        <v>-</v>
      </c>
      <c r="X56" s="1314"/>
      <c r="Y56" s="1315" t="str">
        <f>AB52&amp;"-"&amp;AD52</f>
        <v>-да</v>
      </c>
      <c r="Z56" s="1314"/>
      <c r="AA56" s="1314"/>
      <c r="AB56" s="1314"/>
      <c r="AC56" s="1314"/>
      <c r="AD56" s="7545"/>
      <c r="AE56" s="228"/>
      <c r="AF56" s="230"/>
      <c r="AG56" s="345" t="s">
        <v>680</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7685"/>
      <c r="BE56" s="424"/>
      <c r="BF56" s="424" t="str">
        <f t="shared" ref="BF56:BF63" si="4">IF(T56="","",T56)</f>
        <v/>
      </c>
      <c r="BG56" s="424"/>
      <c r="BH56" s="424"/>
    </row>
    <row r="57" spans="1:60" ht="11.25" customHeight="1">
      <c r="A57" s="1284" t="s">
        <v>450</v>
      </c>
      <c r="B57" s="1284" t="s">
        <v>451</v>
      </c>
      <c r="C57" s="1284" t="s">
        <v>452</v>
      </c>
      <c r="D57" s="1284" t="s">
        <v>704</v>
      </c>
      <c r="E57" s="7690"/>
      <c r="F57" s="7690"/>
      <c r="G57" s="7690"/>
      <c r="H57" s="7690"/>
      <c r="I57" s="7710"/>
      <c r="J57" s="7687"/>
      <c r="K57" s="1284"/>
      <c r="L57" s="1285"/>
      <c r="P57" s="7688"/>
      <c r="Q57" s="7688"/>
      <c r="R57" s="277"/>
      <c r="S57" s="1203"/>
      <c r="T57" s="202" t="s">
        <v>640</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7686"/>
      <c r="BE57" s="424"/>
      <c r="BF57" s="424" t="str">
        <f t="shared" si="4"/>
        <v>Добавить строку</v>
      </c>
      <c r="BG57" s="424"/>
      <c r="BH57" s="424"/>
    </row>
    <row r="58" spans="1:60" s="1562" customFormat="1" ht="0" hidden="1" customHeight="1">
      <c r="A58" s="1265" t="s">
        <v>450</v>
      </c>
      <c r="B58" s="1265" t="s">
        <v>451</v>
      </c>
      <c r="C58" s="1265" t="s">
        <v>452</v>
      </c>
      <c r="D58" s="1265" t="s">
        <v>704</v>
      </c>
      <c r="E58" s="7690"/>
      <c r="F58" s="7690"/>
      <c r="G58" s="7690"/>
      <c r="H58" s="7690"/>
      <c r="I58" s="7687"/>
      <c r="J58" s="1265"/>
      <c r="K58" s="1265"/>
      <c r="L58" s="1268"/>
      <c r="M58" s="434"/>
      <c r="N58" s="434"/>
      <c r="O58" s="434"/>
      <c r="P58" s="7688"/>
      <c r="Q58" s="1396"/>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450</v>
      </c>
      <c r="B59" s="1265" t="s">
        <v>451</v>
      </c>
      <c r="C59" s="1265" t="s">
        <v>452</v>
      </c>
      <c r="D59" s="1265" t="s">
        <v>704</v>
      </c>
      <c r="E59" s="7690"/>
      <c r="F59" s="7690"/>
      <c r="G59" s="7690"/>
      <c r="H59" s="7689"/>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450</v>
      </c>
      <c r="B60" s="1265" t="s">
        <v>451</v>
      </c>
      <c r="C60" s="1265" t="s">
        <v>452</v>
      </c>
      <c r="D60" s="1237"/>
      <c r="E60" s="7690"/>
      <c r="F60" s="7690"/>
      <c r="G60" s="7689"/>
      <c r="H60" s="1237"/>
      <c r="I60" s="1237"/>
      <c r="J60" s="1237"/>
      <c r="K60" s="1237"/>
      <c r="L60" s="1409"/>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450</v>
      </c>
      <c r="B61" s="1265" t="s">
        <v>451</v>
      </c>
      <c r="C61" s="1237"/>
      <c r="D61" s="1237"/>
      <c r="E61" s="7690"/>
      <c r="F61" s="7689"/>
      <c r="G61" s="1237"/>
      <c r="H61" s="1237"/>
      <c r="I61" s="1237"/>
      <c r="J61" s="1237"/>
      <c r="K61" s="1237"/>
      <c r="L61" s="1409"/>
      <c r="M61" s="1244"/>
      <c r="N61" s="1244"/>
      <c r="P61" s="1239"/>
      <c r="Q61" s="1240"/>
      <c r="R61" s="1239"/>
      <c r="S61" s="1245"/>
      <c r="T61" s="1248" t="s">
        <v>325</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450</v>
      </c>
      <c r="B62" s="1265"/>
      <c r="C62" s="1265"/>
      <c r="D62" s="1265"/>
      <c r="E62" s="7689"/>
      <c r="F62" s="1265"/>
      <c r="G62" s="1265"/>
      <c r="H62" s="1265"/>
      <c r="I62" s="1265"/>
      <c r="J62" s="1265"/>
      <c r="K62" s="1265"/>
      <c r="L62" s="1268"/>
      <c r="M62" s="1244"/>
      <c r="N62" s="1244"/>
      <c r="O62" s="442"/>
      <c r="P62" s="308"/>
      <c r="Q62" s="1266"/>
      <c r="R62" s="308"/>
      <c r="S62" s="1245"/>
      <c r="T62" s="1248" t="s">
        <v>326</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409"/>
      <c r="M63" s="1244"/>
      <c r="N63" s="1244"/>
      <c r="P63" s="1239"/>
      <c r="Q63" s="1240"/>
      <c r="R63" s="1239"/>
      <c r="S63" s="1245"/>
      <c r="T63" s="1248" t="s">
        <v>402</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4.25" customHeight="1">
      <c r="O65" s="460"/>
      <c r="S65" s="1169"/>
      <c r="T65" s="7709"/>
      <c r="U65" s="7709"/>
      <c r="V65" s="7709"/>
      <c r="W65" s="7709"/>
      <c r="X65" s="7709"/>
      <c r="Y65" s="7709"/>
      <c r="Z65" s="7709"/>
      <c r="AA65" s="7709"/>
      <c r="AB65" s="7709"/>
      <c r="AC65" s="7709"/>
      <c r="AD65" s="7709"/>
      <c r="AE65" s="7709"/>
      <c r="AF65" s="7709"/>
      <c r="AG65" s="7709"/>
      <c r="AH65" s="7709"/>
      <c r="AI65" s="7709"/>
      <c r="AJ65" s="7709"/>
      <c r="AK65" s="7709"/>
      <c r="AL65" s="7709"/>
      <c r="AM65" s="7709"/>
      <c r="AN65" s="7709"/>
      <c r="AO65" s="7709"/>
      <c r="AP65" s="7709"/>
      <c r="AQ65" s="7709"/>
      <c r="AR65" s="7709"/>
      <c r="AS65" s="7709"/>
      <c r="AT65" s="7709"/>
      <c r="AU65" s="7709"/>
      <c r="AV65" s="7709"/>
      <c r="AW65" s="7709"/>
      <c r="AX65" s="7709"/>
      <c r="AY65" s="7709"/>
      <c r="AZ65" s="7709"/>
      <c r="BA65" s="7709"/>
      <c r="BB65" s="7709"/>
      <c r="BC65" s="7709"/>
    </row>
    <row r="66" spans="15:55" ht="14.25" customHeight="1">
      <c r="O66" s="46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row>
    <row r="67" spans="15:55" ht="14.25" customHeight="1">
      <c r="O67" s="460"/>
      <c r="S67" s="1169"/>
      <c r="T67" s="7709"/>
      <c r="U67" s="7709"/>
      <c r="V67" s="7709"/>
      <c r="W67" s="7709"/>
      <c r="X67" s="7709"/>
      <c r="Y67" s="7709"/>
      <c r="Z67" s="7709"/>
      <c r="AA67" s="7709"/>
      <c r="AB67" s="7709"/>
      <c r="AC67" s="7709"/>
      <c r="AD67" s="7709"/>
      <c r="AE67" s="7709"/>
      <c r="AF67" s="7709"/>
      <c r="AG67" s="7709"/>
      <c r="AH67" s="7709"/>
      <c r="AI67" s="7709"/>
      <c r="AJ67" s="7709"/>
      <c r="AK67" s="7709"/>
      <c r="AL67" s="7709"/>
      <c r="AM67" s="7709"/>
      <c r="AN67" s="7709"/>
      <c r="AO67" s="7709"/>
      <c r="AP67" s="7709"/>
      <c r="AQ67" s="7709"/>
      <c r="AR67" s="7709"/>
      <c r="AS67" s="7709"/>
      <c r="AT67" s="7709"/>
      <c r="AU67" s="7709"/>
      <c r="AV67" s="7709"/>
      <c r="AW67" s="7709"/>
      <c r="AX67" s="7709"/>
      <c r="AY67" s="7709"/>
      <c r="AZ67" s="7709"/>
      <c r="BA67" s="7709"/>
      <c r="BB67" s="7709"/>
      <c r="BC67" s="7709"/>
    </row>
    <row r="68" spans="15:55" ht="14.25" customHeight="1">
      <c r="O68" s="460"/>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5" hidden="1" customWidth="1"/>
    <col min="13" max="14" width="12.28515625" style="1696" hidden="1" customWidth="1"/>
    <col min="15" max="15" width="23.42578125" style="1696" hidden="1" customWidth="1"/>
    <col min="16" max="16" width="3.7109375" style="1817" customWidth="1"/>
    <col min="17" max="18" width="3.7109375" style="265" customWidth="1"/>
    <col min="19" max="19" width="12.7109375" style="1820"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7689">
        <v>1</v>
      </c>
      <c r="F2" s="1284"/>
      <c r="G2" s="1284"/>
      <c r="H2" s="1284"/>
      <c r="I2" s="1284"/>
      <c r="J2" s="1284"/>
      <c r="K2" s="1284"/>
      <c r="L2" s="1285"/>
      <c r="M2" s="1286"/>
      <c r="N2" s="1286"/>
      <c r="O2" s="1286"/>
      <c r="P2" s="282"/>
      <c r="Q2" s="281"/>
      <c r="R2" s="276"/>
      <c r="S2" s="1408" t="e">
        <f>INDEX(PT_DIFFERENTIATION_NUM_NTAR,MATCH(A2,PT_DIFFERENTIATION_NTAR_ID,0))</f>
        <v>#N/A</v>
      </c>
      <c r="T2" s="212" t="s">
        <v>237</v>
      </c>
      <c r="U2" s="214"/>
      <c r="V2" s="7675"/>
      <c r="W2" s="7676"/>
      <c r="X2" s="7676"/>
      <c r="Y2" s="7676"/>
      <c r="Z2" s="7676"/>
      <c r="AA2" s="7676"/>
      <c r="AB2" s="7677"/>
      <c r="AC2" s="7675" t="e">
        <f>INDEX(PT_DIFFERENTIATION_NTAR,MATCH(A2,PT_DIFFERENTIATION_NTAR_ID,0))</f>
        <v>#N/A</v>
      </c>
      <c r="AD2" s="7676"/>
      <c r="AE2" s="7676"/>
      <c r="AF2" s="7676"/>
      <c r="AG2" s="7676"/>
      <c r="AH2" s="7676"/>
      <c r="AI2" s="7676"/>
      <c r="AJ2" s="7677"/>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7690"/>
      <c r="F3" s="7689">
        <v>1</v>
      </c>
      <c r="G3" s="1284"/>
      <c r="H3" s="1284"/>
      <c r="I3" s="1284"/>
      <c r="J3" s="1284"/>
      <c r="K3" s="1284"/>
      <c r="L3" s="1285"/>
      <c r="M3" s="1286"/>
      <c r="N3" s="1286"/>
      <c r="O3" s="1286"/>
      <c r="P3" s="1402"/>
      <c r="Q3" s="273"/>
      <c r="R3" s="274"/>
      <c r="S3" s="1408" t="e">
        <f>INDEX(PT_DIFFERENTIATION_NUM_TER,MATCH(B3,PT_DIFFERENTIATION_TER_ID,0))</f>
        <v>#N/A</v>
      </c>
      <c r="T3" s="224" t="s">
        <v>573</v>
      </c>
      <c r="U3" s="214"/>
      <c r="V3" s="7675"/>
      <c r="W3" s="7676"/>
      <c r="X3" s="7676"/>
      <c r="Y3" s="7676"/>
      <c r="Z3" s="7676"/>
      <c r="AA3" s="7676"/>
      <c r="AB3" s="7677"/>
      <c r="AC3" s="7675" t="e">
        <f>INDEX(PT_DIFFERENTIATION_TER,MATCH(B3,PT_DIFFERENTIATION_TER_ID,0))</f>
        <v>#N/A</v>
      </c>
      <c r="AD3" s="7676"/>
      <c r="AE3" s="7676"/>
      <c r="AF3" s="7676"/>
      <c r="AG3" s="7676"/>
      <c r="AH3" s="7676"/>
      <c r="AI3" s="7676"/>
      <c r="AJ3" s="7677"/>
      <c r="AK3" s="1182" t="s">
        <v>574</v>
      </c>
      <c r="AM3" s="424"/>
      <c r="AN3" s="424" t="str">
        <f t="shared" si="0"/>
        <v>Территория действия тарифа</v>
      </c>
      <c r="AO3" s="424"/>
      <c r="AP3" s="424"/>
    </row>
    <row r="4" spans="1:42" ht="23.25" hidden="1" customHeight="1">
      <c r="A4" s="1284"/>
      <c r="B4" s="1284"/>
      <c r="C4" s="1284"/>
      <c r="D4" s="1284"/>
      <c r="E4" s="7690"/>
      <c r="F4" s="7690"/>
      <c r="G4" s="7689">
        <v>1</v>
      </c>
      <c r="H4" s="1284"/>
      <c r="I4" s="1284"/>
      <c r="J4" s="1284"/>
      <c r="K4" s="1284"/>
      <c r="L4" s="1285"/>
      <c r="M4" s="1286"/>
      <c r="N4" s="1286"/>
      <c r="O4" s="1286"/>
      <c r="P4" s="275"/>
      <c r="Q4" s="273"/>
      <c r="R4" s="274"/>
      <c r="S4" s="1408" t="e">
        <f>INDEX(PT_DIFFERENTIATION_NUM_CS,MATCH(C4,PT_DIFFERENTIATION_CS_ID,0))</f>
        <v>#N/A</v>
      </c>
      <c r="T4" s="225" t="s">
        <v>705</v>
      </c>
      <c r="U4" s="214"/>
      <c r="V4" s="7675"/>
      <c r="W4" s="7676"/>
      <c r="X4" s="7676"/>
      <c r="Y4" s="7676"/>
      <c r="Z4" s="7676"/>
      <c r="AA4" s="7676"/>
      <c r="AB4" s="7677"/>
      <c r="AC4" s="7675" t="e">
        <f>INDEX(PT_DIFFERENTIATION_CS,MATCH(C4,PT_DIFFERENTIATION_CS_ID,0))</f>
        <v>#N/A</v>
      </c>
      <c r="AD4" s="7676"/>
      <c r="AE4" s="7676"/>
      <c r="AF4" s="7676"/>
      <c r="AG4" s="7676"/>
      <c r="AH4" s="7676"/>
      <c r="AI4" s="7676"/>
      <c r="AJ4" s="7677"/>
      <c r="AK4" s="1182" t="s">
        <v>706</v>
      </c>
      <c r="AM4" s="424"/>
      <c r="AN4" s="424" t="str">
        <f t="shared" si="0"/>
        <v>Наименование централизованной системы горячего водоснабжения</v>
      </c>
      <c r="AO4" s="424"/>
      <c r="AP4" s="424"/>
    </row>
    <row r="5" spans="1:42" ht="23.25" hidden="1" customHeight="1">
      <c r="A5" s="1284"/>
      <c r="B5" s="1284"/>
      <c r="C5" s="1284"/>
      <c r="D5" s="1284"/>
      <c r="E5" s="7690"/>
      <c r="F5" s="7690"/>
      <c r="G5" s="7690"/>
      <c r="H5" s="7690"/>
      <c r="I5" s="7687" t="e">
        <f>S4&amp;".1"</f>
        <v>#N/A</v>
      </c>
      <c r="J5" s="1284"/>
      <c r="K5" s="1284"/>
      <c r="L5" s="1285"/>
      <c r="P5" s="7688">
        <v>1</v>
      </c>
      <c r="Q5" s="1396"/>
      <c r="R5" s="277"/>
      <c r="S5" s="1408" t="e">
        <f>$I5</f>
        <v>#N/A</v>
      </c>
      <c r="T5" s="200" t="s">
        <v>656</v>
      </c>
      <c r="U5" s="214"/>
      <c r="V5" s="7748"/>
      <c r="W5" s="7749"/>
      <c r="X5" s="7749"/>
      <c r="Y5" s="7749"/>
      <c r="Z5" s="7749"/>
      <c r="AA5" s="7749"/>
      <c r="AB5" s="7750"/>
      <c r="AC5" s="7751"/>
      <c r="AD5" s="7752"/>
      <c r="AE5" s="7752"/>
      <c r="AF5" s="7752"/>
      <c r="AG5" s="7752"/>
      <c r="AH5" s="7752"/>
      <c r="AI5" s="7752"/>
      <c r="AJ5" s="7753"/>
      <c r="AK5" s="1182" t="s">
        <v>657</v>
      </c>
      <c r="AM5" s="424"/>
      <c r="AN5" s="424" t="str">
        <f t="shared" si="0"/>
        <v>Наименование признака дифференциации</v>
      </c>
      <c r="AO5" s="424"/>
      <c r="AP5" s="424"/>
    </row>
    <row r="6" spans="1:42" ht="23.25" hidden="1" customHeight="1">
      <c r="A6" s="1284"/>
      <c r="B6" s="1284"/>
      <c r="C6" s="1284"/>
      <c r="D6" s="1284"/>
      <c r="E6" s="7690"/>
      <c r="F6" s="7690"/>
      <c r="G6" s="7690"/>
      <c r="H6" s="7690"/>
      <c r="I6" s="7710"/>
      <c r="J6" s="7687" t="e">
        <f>I5&amp;".1"</f>
        <v>#N/A</v>
      </c>
      <c r="K6" s="1284"/>
      <c r="L6" s="1285" t="s">
        <v>582</v>
      </c>
      <c r="P6" s="7688"/>
      <c r="Q6" s="7688">
        <v>1</v>
      </c>
      <c r="R6" s="278"/>
      <c r="S6" s="1408" t="e">
        <f>$J6</f>
        <v>#N/A</v>
      </c>
      <c r="T6" s="201" t="s">
        <v>583</v>
      </c>
      <c r="U6" s="214"/>
      <c r="V6" s="7678"/>
      <c r="W6" s="7679"/>
      <c r="X6" s="7679"/>
      <c r="Y6" s="7679"/>
      <c r="Z6" s="7679"/>
      <c r="AA6" s="7679"/>
      <c r="AB6" s="7680"/>
      <c r="AC6" s="7678"/>
      <c r="AD6" s="7679"/>
      <c r="AE6" s="7679"/>
      <c r="AF6" s="7679"/>
      <c r="AG6" s="7679"/>
      <c r="AH6" s="7679"/>
      <c r="AI6" s="7679"/>
      <c r="AJ6" s="7680"/>
      <c r="AK6" s="1231" t="s">
        <v>658</v>
      </c>
      <c r="AM6" s="424"/>
      <c r="AN6" s="424" t="str">
        <f t="shared" si="0"/>
        <v>Группа потребителей</v>
      </c>
      <c r="AO6" s="424"/>
      <c r="AP6" s="424"/>
    </row>
    <row r="7" spans="1:42" ht="23.25" hidden="1" customHeight="1">
      <c r="A7" s="1284"/>
      <c r="B7" s="1284"/>
      <c r="C7" s="1284"/>
      <c r="D7" s="1284"/>
      <c r="E7" s="7690"/>
      <c r="F7" s="7690"/>
      <c r="G7" s="7690"/>
      <c r="H7" s="7690"/>
      <c r="I7" s="7710"/>
      <c r="J7" s="7710"/>
      <c r="K7" s="7687" t="e">
        <f>J6&amp;".1"</f>
        <v>#N/A</v>
      </c>
      <c r="L7" s="1285"/>
      <c r="P7" s="7688"/>
      <c r="Q7" s="7688"/>
      <c r="R7" s="278">
        <v>1</v>
      </c>
      <c r="S7" s="1408" t="e">
        <f>$K7</f>
        <v>#N/A</v>
      </c>
      <c r="T7" s="1357"/>
      <c r="U7" s="214"/>
      <c r="V7" s="666"/>
      <c r="W7" s="666"/>
      <c r="X7" s="1181"/>
      <c r="Y7" s="7692"/>
      <c r="Z7" s="7540" t="s">
        <v>60</v>
      </c>
      <c r="AA7" s="7692"/>
      <c r="AB7" s="7540" t="s">
        <v>60</v>
      </c>
      <c r="AC7" s="666"/>
      <c r="AD7" s="666"/>
      <c r="AE7" s="1181"/>
      <c r="AF7" s="7692"/>
      <c r="AG7" s="7540" t="s">
        <v>60</v>
      </c>
      <c r="AH7" s="7711"/>
      <c r="AI7" s="7540" t="s">
        <v>60</v>
      </c>
      <c r="AJ7" s="1358"/>
      <c r="AK7"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7690"/>
      <c r="F8" s="7690"/>
      <c r="G8" s="7690"/>
      <c r="H8" s="7690"/>
      <c r="I8" s="7710"/>
      <c r="J8" s="7710"/>
      <c r="K8" s="7687"/>
      <c r="L8" s="1285"/>
      <c r="P8" s="7688"/>
      <c r="Q8" s="7688"/>
      <c r="R8" s="278"/>
      <c r="S8" s="1405"/>
      <c r="T8" s="214"/>
      <c r="U8" s="214"/>
      <c r="V8" s="246"/>
      <c r="W8" s="246"/>
      <c r="X8" s="250" t="str">
        <f>Y7&amp;"-"&amp;AA7</f>
        <v>-</v>
      </c>
      <c r="Y8" s="7693"/>
      <c r="Z8" s="7540"/>
      <c r="AA8" s="7693"/>
      <c r="AB8" s="7540"/>
      <c r="AC8" s="246"/>
      <c r="AD8" s="246"/>
      <c r="AE8" s="250" t="str">
        <f>AF7&amp;"-"&amp;AH7</f>
        <v>-</v>
      </c>
      <c r="AF8" s="7693"/>
      <c r="AG8" s="7540"/>
      <c r="AH8" s="7712"/>
      <c r="AI8" s="7540"/>
      <c r="AJ8" s="1359"/>
      <c r="AK8" s="7747"/>
      <c r="AM8" s="424"/>
      <c r="AN8" s="424" t="str">
        <f t="shared" si="0"/>
        <v/>
      </c>
      <c r="AO8" s="424"/>
      <c r="AP8" s="424"/>
    </row>
    <row r="9" spans="1:42" ht="21" hidden="1" customHeight="1">
      <c r="A9" s="1284"/>
      <c r="B9" s="1284"/>
      <c r="C9" s="1284"/>
      <c r="D9" s="1284"/>
      <c r="E9" s="7690"/>
      <c r="F9" s="7690"/>
      <c r="G9" s="7690"/>
      <c r="H9" s="7690"/>
      <c r="I9" s="7710"/>
      <c r="J9" s="7687"/>
      <c r="K9" s="1284"/>
      <c r="L9" s="1285"/>
      <c r="P9" s="7688"/>
      <c r="Q9" s="7688"/>
      <c r="R9" s="277"/>
      <c r="S9" s="1203"/>
      <c r="T9" s="202" t="s">
        <v>659</v>
      </c>
      <c r="U9" s="291"/>
      <c r="V9" s="291"/>
      <c r="W9" s="291"/>
      <c r="X9" s="291"/>
      <c r="Y9" s="291"/>
      <c r="Z9" s="291"/>
      <c r="AA9" s="291"/>
      <c r="AB9" s="291"/>
      <c r="AC9" s="291"/>
      <c r="AD9" s="291"/>
      <c r="AE9" s="291"/>
      <c r="AF9" s="291"/>
      <c r="AG9" s="291"/>
      <c r="AH9" s="291"/>
      <c r="AI9" s="291"/>
      <c r="AJ9" s="291"/>
      <c r="AK9" s="1182" t="s">
        <v>660</v>
      </c>
      <c r="AM9" s="424"/>
      <c r="AN9" s="424" t="str">
        <f t="shared" si="0"/>
        <v>Добавить значение признака дифференциации</v>
      </c>
      <c r="AO9" s="424"/>
      <c r="AP9" s="424"/>
    </row>
    <row r="10" spans="1:42" ht="21" hidden="1" customHeight="1">
      <c r="A10" s="1284"/>
      <c r="B10" s="1284"/>
      <c r="C10" s="1284"/>
      <c r="D10" s="1284"/>
      <c r="E10" s="7690"/>
      <c r="F10" s="7690"/>
      <c r="G10" s="7690"/>
      <c r="H10" s="7690"/>
      <c r="I10" s="7687"/>
      <c r="J10" s="1284"/>
      <c r="K10" s="1284"/>
      <c r="L10" s="1285"/>
      <c r="P10" s="7688"/>
      <c r="Q10" s="1396"/>
      <c r="R10" s="277"/>
      <c r="S10" s="1203"/>
      <c r="T10" s="288" t="s">
        <v>588</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7690"/>
      <c r="F11" s="7690"/>
      <c r="G11" s="7690"/>
      <c r="H11" s="7689"/>
      <c r="I11" s="1284"/>
      <c r="J11" s="1284"/>
      <c r="K11" s="1284"/>
      <c r="L11" s="1285"/>
      <c r="M11" s="1286"/>
      <c r="N11" s="1286"/>
      <c r="O11" s="460"/>
      <c r="P11" s="281"/>
      <c r="Q11" s="299"/>
      <c r="R11" s="276"/>
      <c r="S11" s="1203"/>
      <c r="T11" s="296" t="s">
        <v>661</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7690"/>
      <c r="F12" s="7689"/>
      <c r="G12" s="1237"/>
      <c r="H12" s="1237"/>
      <c r="I12" s="1237"/>
      <c r="J12" s="1237"/>
      <c r="K12" s="1237"/>
      <c r="L12" s="1409"/>
      <c r="M12" s="1244"/>
      <c r="N12" s="1244"/>
      <c r="P12" s="1239"/>
      <c r="Q12" s="1240"/>
      <c r="R12" s="1239"/>
      <c r="S12" s="1245"/>
      <c r="T12" s="1248" t="s">
        <v>325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7689"/>
      <c r="F13" s="1265"/>
      <c r="G13" s="1265"/>
      <c r="H13" s="1265"/>
      <c r="I13" s="1265"/>
      <c r="J13" s="1265"/>
      <c r="K13" s="1265"/>
      <c r="L13" s="1268"/>
      <c r="M13" s="1244"/>
      <c r="N13" s="1244"/>
      <c r="O13" s="442"/>
      <c r="P13" s="308"/>
      <c r="Q13" s="1266"/>
      <c r="R13" s="308"/>
      <c r="S13" s="1245"/>
      <c r="T13" s="1248" t="s">
        <v>326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7694"/>
      <c r="AG15" s="7695" t="s">
        <v>60</v>
      </c>
      <c r="AH15" s="7694"/>
      <c r="AI15" s="7695" t="s">
        <v>60</v>
      </c>
    </row>
    <row r="16" spans="1:42" ht="14.25" hidden="1" customHeight="1">
      <c r="AC16" s="1281"/>
      <c r="AD16" s="1281"/>
      <c r="AE16" s="250" t="str">
        <f>AF15&amp;"-"&amp;AH15</f>
        <v>-</v>
      </c>
      <c r="AF16" s="7695"/>
      <c r="AG16" s="7695"/>
      <c r="AH16" s="7695"/>
      <c r="AI16" s="7695"/>
    </row>
    <row r="17" spans="1:42" ht="14.25" hidden="1" customHeight="1">
      <c r="AI17" s="249"/>
    </row>
    <row r="18" spans="1:42" s="1287" customFormat="1" ht="22.5" hidden="1" customHeight="1">
      <c r="L18" s="1393"/>
      <c r="M18" s="1283"/>
      <c r="N18" s="1283"/>
      <c r="O18" s="1288" t="s">
        <v>591</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592</v>
      </c>
      <c r="P20" s="1283"/>
      <c r="Q20" s="1361"/>
      <c r="R20" s="1361"/>
      <c r="S20" s="646"/>
      <c r="T20" s="1065" t="s">
        <v>593</v>
      </c>
      <c r="Z20" s="104" t="s">
        <v>594</v>
      </c>
      <c r="AB20" s="104" t="s">
        <v>595</v>
      </c>
      <c r="AC20" s="1065" t="s">
        <v>593</v>
      </c>
      <c r="AG20" s="104" t="s">
        <v>596</v>
      </c>
      <c r="AI20" s="104" t="s">
        <v>595</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29.25" customHeight="1">
      <c r="Q24" s="300"/>
      <c r="R24" s="300"/>
      <c r="S24" s="767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7673"/>
      <c r="U24" s="7673"/>
      <c r="V24" s="7673"/>
      <c r="W24" s="7673"/>
      <c r="X24" s="7673"/>
      <c r="Y24" s="7673"/>
      <c r="Z24" s="7673"/>
      <c r="AA24" s="7673"/>
      <c r="AB24" s="7673"/>
      <c r="AC24" s="7673"/>
      <c r="AD24" s="7673"/>
      <c r="AE24" s="7673"/>
      <c r="AF24" s="7673"/>
      <c r="AG24" s="7673"/>
      <c r="AH24" s="7673"/>
      <c r="AI24" s="1157"/>
    </row>
    <row r="25" spans="1:42" ht="14.25" customHeight="1">
      <c r="Q25" s="300"/>
      <c r="R25" s="300"/>
      <c r="S25" s="7620" t="str">
        <f>IF(org=0,"Не определено",org)</f>
        <v>ГУП СК "Ставрополькрайводоканал"</v>
      </c>
      <c r="T25" s="7620"/>
      <c r="U25" s="7620"/>
      <c r="V25" s="7620"/>
      <c r="W25" s="7620"/>
      <c r="X25" s="7620"/>
      <c r="Y25" s="7620"/>
      <c r="Z25" s="7620"/>
      <c r="AA25" s="7620"/>
      <c r="AB25" s="7620"/>
      <c r="AC25" s="7620"/>
      <c r="AD25" s="7620"/>
      <c r="AE25" s="7620"/>
      <c r="AF25" s="7620"/>
      <c r="AG25" s="7620"/>
      <c r="AH25" s="7620"/>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7681" t="s">
        <v>38</v>
      </c>
      <c r="T27" s="7681"/>
      <c r="U27" s="1293"/>
      <c r="V27" s="7682" t="str">
        <f>IF(TITLE_NAME_OR_PR_CHANGE="",IF(TITLE_NAME_OR_PR="","",TITLE_NAME_OR_PR),TITLE_NAME_OR_PR_CHANGE)</f>
        <v>Региональная тарифная комиссия Ставропольского края</v>
      </c>
      <c r="W27" s="7682"/>
      <c r="X27" s="7682"/>
      <c r="Y27" s="7682"/>
      <c r="Z27" s="7682"/>
      <c r="AA27" s="7682"/>
      <c r="AB27" s="248"/>
      <c r="AC27" s="7682" t="str">
        <f>IF(TITLE_NAME_OR_PR_CHANGE="",IF(TITLE_NAME_OR_PR="","",TITLE_NAME_OR_PR),TITLE_NAME_OR_PR_CHANGE)</f>
        <v>Региональная тарифная комиссия Ставропольского края</v>
      </c>
      <c r="AD27" s="7682"/>
      <c r="AE27" s="7682"/>
      <c r="AF27" s="7682"/>
      <c r="AG27" s="7682"/>
      <c r="AH27" s="7682"/>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7681" t="s">
        <v>597</v>
      </c>
      <c r="T28" s="7681"/>
      <c r="U28" s="1293"/>
      <c r="V28" s="7691">
        <f>IF(TITLE_DATE_PR_CHANGE="",IF(TITLE_DATE_PR="","",TITLE_DATE_PR),TITLE_DATE_PR_CHANGE)</f>
        <v>45278</v>
      </c>
      <c r="W28" s="7691"/>
      <c r="X28" s="7691"/>
      <c r="Y28" s="7691"/>
      <c r="Z28" s="7691"/>
      <c r="AA28" s="7691"/>
      <c r="AB28" s="248"/>
      <c r="AC28" s="7691">
        <f>IF(TITLE_DATE_PR_CHANGE="",IF(TITLE_DATE_PR="","",TITLE_DATE_PR),TITLE_DATE_PR_CHANGE)</f>
        <v>45278</v>
      </c>
      <c r="AD28" s="7691"/>
      <c r="AE28" s="7691"/>
      <c r="AF28" s="7691"/>
      <c r="AG28" s="7691"/>
      <c r="AH28" s="7691"/>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7681" t="s">
        <v>598</v>
      </c>
      <c r="T29" s="7681"/>
      <c r="U29" s="1293"/>
      <c r="V29" s="7682" t="str">
        <f>IF(TITLE_NUMBER_PR_CHANGE="",IF(TITLE_NUMBER_PR="","",TITLE_NUMBER_PR),TITLE_NUMBER_PR_CHANGE)</f>
        <v>79/2</v>
      </c>
      <c r="W29" s="7682"/>
      <c r="X29" s="7682"/>
      <c r="Y29" s="7682"/>
      <c r="Z29" s="7682"/>
      <c r="AA29" s="7682"/>
      <c r="AB29" s="248"/>
      <c r="AC29" s="7682" t="str">
        <f>IF(TITLE_NUMBER_PR_CHANGE="",IF(TITLE_NUMBER_PR="","",TITLE_NUMBER_PR),TITLE_NUMBER_PR_CHANGE)</f>
        <v>79/2</v>
      </c>
      <c r="AD29" s="7682"/>
      <c r="AE29" s="7682"/>
      <c r="AF29" s="7682"/>
      <c r="AG29" s="7682"/>
      <c r="AH29" s="7682"/>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7681" t="s">
        <v>40</v>
      </c>
      <c r="T30" s="7681"/>
      <c r="U30" s="1293"/>
      <c r="V30" s="7682" t="str">
        <f>IF(TITLE_IST_PUB_CHANGE="",IF(TITLE_IST_PUB="","",TITLE_IST_PUB),TITLE_IST_PUB_CHANGE)</f>
        <v>http://pravo.stavregion.ru/</v>
      </c>
      <c r="W30" s="7682"/>
      <c r="X30" s="7682"/>
      <c r="Y30" s="7682"/>
      <c r="Z30" s="7682"/>
      <c r="AA30" s="7682"/>
      <c r="AB30" s="248"/>
      <c r="AC30" s="7682" t="str">
        <f>IF(TITLE_IST_PUB_CHANGE="",IF(TITLE_IST_PUB="","",TITLE_IST_PUB),TITLE_IST_PUB_CHANGE)</f>
        <v>http://pravo.stavregion.ru/</v>
      </c>
      <c r="AD30" s="7682"/>
      <c r="AE30" s="7682"/>
      <c r="AF30" s="7682"/>
      <c r="AG30" s="7682"/>
      <c r="AH30" s="7682"/>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7681" t="s">
        <v>599</v>
      </c>
      <c r="T32" s="7681"/>
      <c r="U32" s="1293"/>
      <c r="V32" s="7691">
        <f>IF(TITLE_DATE_PR_CHANGE="",IF(TITLE_DATE_PR="","",TITLE_DATE_PR),TITLE_DATE_PR_CHANGE)</f>
        <v>45278</v>
      </c>
      <c r="W32" s="7691"/>
      <c r="X32" s="7691"/>
      <c r="Y32" s="7691"/>
      <c r="Z32" s="7691"/>
      <c r="AA32" s="7691"/>
      <c r="AB32" s="248"/>
      <c r="AC32" s="7691">
        <f>IF(TITLE_DATE_PR_CHANGE="",IF(TITLE_DATE_PR="","",TITLE_DATE_PR),TITLE_DATE_PR_CHANGE)</f>
        <v>45278</v>
      </c>
      <c r="AD32" s="7691"/>
      <c r="AE32" s="7691"/>
      <c r="AF32" s="7691"/>
      <c r="AG32" s="7691"/>
      <c r="AH32" s="7691"/>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7681" t="s">
        <v>600</v>
      </c>
      <c r="T33" s="7681"/>
      <c r="U33" s="1293"/>
      <c r="V33" s="7682" t="str">
        <f>IF(TITLE_NUMBER_PR_CHANGE="",IF(TITLE_NUMBER_PR="","",TITLE_NUMBER_PR),TITLE_NUMBER_PR_CHANGE)</f>
        <v>79/2</v>
      </c>
      <c r="W33" s="7682"/>
      <c r="X33" s="7682"/>
      <c r="Y33" s="7682"/>
      <c r="Z33" s="7682"/>
      <c r="AA33" s="7682"/>
      <c r="AB33" s="248"/>
      <c r="AC33" s="7682" t="str">
        <f>IF(TITLE_NUMBER_PR_CHANGE="",IF(TITLE_NUMBER_PR="","",TITLE_NUMBER_PR),TITLE_NUMBER_PR_CHANGE)</f>
        <v>79/2</v>
      </c>
      <c r="AD33" s="7682"/>
      <c r="AE33" s="7682"/>
      <c r="AF33" s="7682"/>
      <c r="AG33" s="7682"/>
      <c r="AH33" s="7682"/>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601</v>
      </c>
      <c r="AC34" s="248"/>
      <c r="AD34" s="248"/>
      <c r="AE34" s="248"/>
      <c r="AF34" s="248"/>
      <c r="AG34" s="248"/>
      <c r="AH34" s="248"/>
      <c r="AI34" s="194" t="s">
        <v>601</v>
      </c>
      <c r="AL34" s="292"/>
      <c r="AM34" s="292"/>
      <c r="AN34" s="292"/>
      <c r="AO34" s="292"/>
      <c r="AP34" s="292"/>
    </row>
    <row r="35" spans="1:42" ht="14.25" customHeight="1">
      <c r="Q35" s="300"/>
      <c r="R35" s="300"/>
      <c r="S35" s="1200"/>
      <c r="T35" s="286"/>
      <c r="U35" s="1158"/>
      <c r="V35" s="7683"/>
      <c r="W35" s="7683"/>
      <c r="X35" s="7683"/>
      <c r="Y35" s="7683"/>
      <c r="Z35" s="7683"/>
      <c r="AA35" s="7683"/>
      <c r="AB35" s="7683"/>
      <c r="AC35" s="7683"/>
      <c r="AD35" s="7683"/>
      <c r="AE35" s="7683"/>
      <c r="AF35" s="7683"/>
      <c r="AG35" s="7683"/>
      <c r="AH35" s="7683"/>
      <c r="AI35" s="7683"/>
    </row>
    <row r="36" spans="1:42" ht="14.25" customHeight="1">
      <c r="Q36" s="300"/>
      <c r="R36" s="300"/>
      <c r="S36" s="7559" t="s">
        <v>474</v>
      </c>
      <c r="T36" s="7559"/>
      <c r="U36" s="7559"/>
      <c r="V36" s="7559"/>
      <c r="W36" s="7559"/>
      <c r="X36" s="7559"/>
      <c r="Y36" s="7559"/>
      <c r="Z36" s="7559"/>
      <c r="AA36" s="7559"/>
      <c r="AB36" s="7559"/>
      <c r="AC36" s="7559"/>
      <c r="AD36" s="7559"/>
      <c r="AE36" s="7559"/>
      <c r="AF36" s="7559"/>
      <c r="AG36" s="7559"/>
      <c r="AH36" s="7559"/>
      <c r="AI36" s="7559"/>
      <c r="AJ36" s="7559"/>
      <c r="AK36" s="7559" t="s">
        <v>475</v>
      </c>
    </row>
    <row r="37" spans="1:42" ht="14.25" customHeight="1">
      <c r="Q37" s="300"/>
      <c r="R37" s="300"/>
      <c r="S37" s="7697" t="s">
        <v>86</v>
      </c>
      <c r="T37" s="7649" t="s">
        <v>602</v>
      </c>
      <c r="U37" s="215"/>
      <c r="V37" s="7698" t="s">
        <v>603</v>
      </c>
      <c r="W37" s="7699"/>
      <c r="X37" s="7699"/>
      <c r="Y37" s="7699"/>
      <c r="Z37" s="7699"/>
      <c r="AA37" s="7700"/>
      <c r="AB37" s="7701" t="s">
        <v>604</v>
      </c>
      <c r="AC37" s="7698" t="s">
        <v>603</v>
      </c>
      <c r="AD37" s="7699"/>
      <c r="AE37" s="7699"/>
      <c r="AF37" s="7699"/>
      <c r="AG37" s="7699"/>
      <c r="AH37" s="7700"/>
      <c r="AI37" s="7701" t="s">
        <v>605</v>
      </c>
      <c r="AJ37" s="7704" t="s">
        <v>606</v>
      </c>
      <c r="AK37" s="7559"/>
    </row>
    <row r="38" spans="1:42" ht="33.75" customHeight="1">
      <c r="Q38" s="300"/>
      <c r="R38" s="300"/>
      <c r="S38" s="7697"/>
      <c r="T38" s="7649"/>
      <c r="U38" s="942"/>
      <c r="V38" s="1398" t="s">
        <v>707</v>
      </c>
      <c r="W38" s="7530" t="s">
        <v>708</v>
      </c>
      <c r="X38" s="7529"/>
      <c r="Y38" s="7530" t="s">
        <v>610</v>
      </c>
      <c r="Z38" s="7536"/>
      <c r="AA38" s="7529"/>
      <c r="AB38" s="7702"/>
      <c r="AC38" s="1398" t="s">
        <v>707</v>
      </c>
      <c r="AD38" s="7530" t="s">
        <v>708</v>
      </c>
      <c r="AE38" s="7529"/>
      <c r="AF38" s="7530" t="s">
        <v>610</v>
      </c>
      <c r="AG38" s="7536"/>
      <c r="AH38" s="7529"/>
      <c r="AI38" s="7702"/>
      <c r="AJ38" s="7705"/>
      <c r="AK38" s="7559"/>
    </row>
    <row r="39" spans="1:42" ht="86.25" customHeight="1">
      <c r="A39" s="1291"/>
      <c r="B39" s="1291" t="s">
        <v>249</v>
      </c>
      <c r="C39" s="1291" t="s">
        <v>250</v>
      </c>
      <c r="D39" s="1291" t="s">
        <v>251</v>
      </c>
      <c r="E39" s="1285" t="s">
        <v>611</v>
      </c>
      <c r="F39" s="1285" t="s">
        <v>612</v>
      </c>
      <c r="G39" s="1285" t="s">
        <v>613</v>
      </c>
      <c r="H39" s="1285"/>
      <c r="I39" s="1285" t="s">
        <v>663</v>
      </c>
      <c r="J39" s="1285" t="s">
        <v>616</v>
      </c>
      <c r="K39" s="1285" t="s">
        <v>664</v>
      </c>
      <c r="L39" s="1285" t="s">
        <v>592</v>
      </c>
      <c r="Q39" s="300"/>
      <c r="R39" s="300"/>
      <c r="S39" s="7697"/>
      <c r="T39" s="7649"/>
      <c r="U39" s="216"/>
      <c r="V39" s="1398" t="s">
        <v>709</v>
      </c>
      <c r="W39" s="1133" t="s">
        <v>710</v>
      </c>
      <c r="X39" s="1133" t="s">
        <v>711</v>
      </c>
      <c r="Y39" s="1404" t="s">
        <v>620</v>
      </c>
      <c r="Z39" s="7657" t="s">
        <v>621</v>
      </c>
      <c r="AA39" s="7659"/>
      <c r="AB39" s="7703"/>
      <c r="AC39" s="1398" t="s">
        <v>709</v>
      </c>
      <c r="AD39" s="1133" t="s">
        <v>710</v>
      </c>
      <c r="AE39" s="1133" t="s">
        <v>711</v>
      </c>
      <c r="AF39" s="1404" t="s">
        <v>620</v>
      </c>
      <c r="AG39" s="7657" t="s">
        <v>621</v>
      </c>
      <c r="AH39" s="7659"/>
      <c r="AI39" s="7703"/>
      <c r="AJ39" s="7706"/>
      <c r="AK39" s="7559"/>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100</v>
      </c>
      <c r="U40" s="1159" t="str">
        <f ca="1">OFFSET(U40,0,-1)</f>
        <v>2</v>
      </c>
      <c r="V40" s="1397">
        <f ca="1">OFFSET(V40,0,-1)+1</f>
        <v>3</v>
      </c>
      <c r="W40" s="1397">
        <f ca="1">OFFSET(W40,0,-1)+1</f>
        <v>4</v>
      </c>
      <c r="X40" s="1397">
        <f ca="1">OFFSET(X40,0,-1)+1</f>
        <v>5</v>
      </c>
      <c r="Y40" s="1397">
        <f ca="1">OFFSET(Y40,0,-1)+1</f>
        <v>6</v>
      </c>
      <c r="Z40" s="7696">
        <f ca="1">OFFSET(Z40,0,-1)+1</f>
        <v>7</v>
      </c>
      <c r="AA40" s="7696"/>
      <c r="AB40" s="1397">
        <f ca="1">OFFSET(AB40,0,-2)+1</f>
        <v>8</v>
      </c>
      <c r="AC40" s="1397">
        <f ca="1">OFFSET(AC40,0,-1)+1</f>
        <v>9</v>
      </c>
      <c r="AD40" s="1397">
        <f ca="1">OFFSET(AD40,0,-1)+1</f>
        <v>10</v>
      </c>
      <c r="AE40" s="1397">
        <f ca="1">OFFSET(AE40,0,-1)+1</f>
        <v>11</v>
      </c>
      <c r="AF40" s="1397">
        <f ca="1">OFFSET(AF40,0,-1)+1</f>
        <v>12</v>
      </c>
      <c r="AG40" s="7696">
        <f ca="1">OFFSET(AG40,0,-1)+1</f>
        <v>13</v>
      </c>
      <c r="AH40" s="7696"/>
      <c r="AI40" s="1397">
        <f ca="1">OFFSET(AI40,0,-2)+1</f>
        <v>14</v>
      </c>
      <c r="AJ40" s="1159">
        <f ca="1">OFFSET(AJ40,0,-1)</f>
        <v>14</v>
      </c>
      <c r="AK40" s="1397">
        <f ca="1">OFFSET(AK40,0,-1)+1</f>
        <v>15</v>
      </c>
      <c r="AL40" s="435"/>
      <c r="AM40" s="435"/>
      <c r="AN40" s="435"/>
      <c r="AO40" s="435"/>
      <c r="AP40" s="435"/>
    </row>
    <row r="41" spans="1:42" ht="23.25" customHeight="1">
      <c r="A41" s="1284" t="s">
        <v>425</v>
      </c>
      <c r="B41" s="1284"/>
      <c r="C41" s="1284"/>
      <c r="D41" s="1284"/>
      <c r="E41" s="7689">
        <v>1</v>
      </c>
      <c r="F41" s="1284"/>
      <c r="G41" s="1284"/>
      <c r="H41" s="1284"/>
      <c r="I41" s="1284"/>
      <c r="J41" s="1284"/>
      <c r="K41" s="1284"/>
      <c r="L41" s="1285"/>
      <c r="M41" s="1286"/>
      <c r="N41" s="1286"/>
      <c r="O41" s="1286"/>
      <c r="P41" s="282"/>
      <c r="Q41" s="281"/>
      <c r="R41" s="276"/>
      <c r="S41" s="1408">
        <f>INDEX(PT_DIFFERENTIATION_NUM_NTAR,MATCH(A41,PT_DIFFERENTIATION_NTAR_ID,0))</f>
        <v>0</v>
      </c>
      <c r="T41" s="212" t="s">
        <v>237</v>
      </c>
      <c r="U41" s="214"/>
      <c r="V41" s="7675"/>
      <c r="W41" s="7676"/>
      <c r="X41" s="7676"/>
      <c r="Y41" s="7676"/>
      <c r="Z41" s="7676"/>
      <c r="AA41" s="7676"/>
      <c r="AB41" s="7677"/>
      <c r="AC41" s="7675" t="str">
        <f>INDEX(PT_DIFFERENTIATION_NTAR,MATCH(A41,PT_DIFFERENTIATION_NTAR_ID,0))</f>
        <v/>
      </c>
      <c r="AD41" s="7676"/>
      <c r="AE41" s="7676"/>
      <c r="AF41" s="7676"/>
      <c r="AG41" s="7676"/>
      <c r="AH41" s="7676"/>
      <c r="AI41" s="7676"/>
      <c r="AJ41" s="7677"/>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425</v>
      </c>
      <c r="B42" s="1284" t="s">
        <v>426</v>
      </c>
      <c r="C42" s="1284"/>
      <c r="D42" s="1284"/>
      <c r="E42" s="7690"/>
      <c r="F42" s="7689">
        <v>1</v>
      </c>
      <c r="G42" s="1284"/>
      <c r="H42" s="1284"/>
      <c r="I42" s="1284"/>
      <c r="J42" s="1284"/>
      <c r="K42" s="1284"/>
      <c r="L42" s="1285"/>
      <c r="M42" s="1286"/>
      <c r="N42" s="1286"/>
      <c r="O42" s="1286"/>
      <c r="P42" s="1402"/>
      <c r="Q42" s="273"/>
      <c r="R42" s="274"/>
      <c r="S42" s="1408" t="str">
        <f>INDEX(PT_DIFFERENTIATION_NUM_TER,MATCH(B42,PT_DIFFERENTIATION_TER_ID,0))</f>
        <v>.</v>
      </c>
      <c r="T42" s="224" t="s">
        <v>573</v>
      </c>
      <c r="U42" s="214"/>
      <c r="V42" s="7675"/>
      <c r="W42" s="7676"/>
      <c r="X42" s="7676"/>
      <c r="Y42" s="7676"/>
      <c r="Z42" s="7676"/>
      <c r="AA42" s="7676"/>
      <c r="AB42" s="7677"/>
      <c r="AC42" s="7675" t="str">
        <f>INDEX(PT_DIFFERENTIATION_TER,MATCH(B42,PT_DIFFERENTIATION_TER_ID,0))</f>
        <v/>
      </c>
      <c r="AD42" s="7676"/>
      <c r="AE42" s="7676"/>
      <c r="AF42" s="7676"/>
      <c r="AG42" s="7676"/>
      <c r="AH42" s="7676"/>
      <c r="AI42" s="7676"/>
      <c r="AJ42" s="7677"/>
      <c r="AK42" s="1182" t="s">
        <v>574</v>
      </c>
      <c r="AM42" s="424"/>
      <c r="AN42" s="424" t="str">
        <f t="shared" si="1"/>
        <v>Территория действия тарифа</v>
      </c>
      <c r="AO42" s="424"/>
      <c r="AP42" s="424"/>
    </row>
    <row r="43" spans="1:42" ht="23.25" customHeight="1">
      <c r="A43" s="1284" t="s">
        <v>425</v>
      </c>
      <c r="B43" s="1284" t="s">
        <v>426</v>
      </c>
      <c r="C43" s="1284" t="s">
        <v>427</v>
      </c>
      <c r="D43" s="1284"/>
      <c r="E43" s="7690"/>
      <c r="F43" s="7690"/>
      <c r="G43" s="7689">
        <v>1</v>
      </c>
      <c r="H43" s="1284"/>
      <c r="I43" s="1284"/>
      <c r="J43" s="1284"/>
      <c r="K43" s="1284"/>
      <c r="L43" s="1285"/>
      <c r="M43" s="1286"/>
      <c r="N43" s="1286"/>
      <c r="O43" s="1286"/>
      <c r="P43" s="275"/>
      <c r="Q43" s="273"/>
      <c r="R43" s="274"/>
      <c r="S43" s="1408" t="str">
        <f>INDEX(PT_DIFFERENTIATION_NUM_CS,MATCH(C43,PT_DIFFERENTIATION_CS_ID,0))</f>
        <v>..</v>
      </c>
      <c r="T43" s="225" t="s">
        <v>705</v>
      </c>
      <c r="U43" s="214"/>
      <c r="V43" s="7675"/>
      <c r="W43" s="7676"/>
      <c r="X43" s="7676"/>
      <c r="Y43" s="7676"/>
      <c r="Z43" s="7676"/>
      <c r="AA43" s="7676"/>
      <c r="AB43" s="7677"/>
      <c r="AC43" s="7675" t="str">
        <f>INDEX(PT_DIFFERENTIATION_CS,MATCH(C43,PT_DIFFERENTIATION_CS_ID,0))</f>
        <v/>
      </c>
      <c r="AD43" s="7676"/>
      <c r="AE43" s="7676"/>
      <c r="AF43" s="7676"/>
      <c r="AG43" s="7676"/>
      <c r="AH43" s="7676"/>
      <c r="AI43" s="7676"/>
      <c r="AJ43" s="7677"/>
      <c r="AK43" s="1182" t="s">
        <v>706</v>
      </c>
      <c r="AM43" s="424"/>
      <c r="AN43" s="424" t="str">
        <f t="shared" si="1"/>
        <v>Наименование централизованной системы горячего водоснабжения</v>
      </c>
      <c r="AO43" s="424"/>
      <c r="AP43" s="424"/>
    </row>
    <row r="44" spans="1:42" ht="23.25" customHeight="1">
      <c r="A44" s="1284" t="s">
        <v>425</v>
      </c>
      <c r="B44" s="1284" t="s">
        <v>426</v>
      </c>
      <c r="C44" s="1284" t="s">
        <v>427</v>
      </c>
      <c r="D44" s="1284" t="s">
        <v>712</v>
      </c>
      <c r="E44" s="7690"/>
      <c r="F44" s="7690"/>
      <c r="G44" s="7690"/>
      <c r="H44" s="7690"/>
      <c r="I44" s="7687" t="str">
        <f>S43&amp;".1"</f>
        <v>...1</v>
      </c>
      <c r="J44" s="1284"/>
      <c r="K44" s="1284"/>
      <c r="L44" s="1285"/>
      <c r="P44" s="7688">
        <v>1</v>
      </c>
      <c r="Q44" s="1396"/>
      <c r="R44" s="277"/>
      <c r="S44" s="1408" t="str">
        <f>$I44</f>
        <v>...1</v>
      </c>
      <c r="T44" s="200" t="s">
        <v>656</v>
      </c>
      <c r="U44" s="214"/>
      <c r="V44" s="7748"/>
      <c r="W44" s="7749"/>
      <c r="X44" s="7749"/>
      <c r="Y44" s="7749"/>
      <c r="Z44" s="7749"/>
      <c r="AA44" s="7749"/>
      <c r="AB44" s="7750"/>
      <c r="AC44" s="7751"/>
      <c r="AD44" s="7752"/>
      <c r="AE44" s="7752"/>
      <c r="AF44" s="7752"/>
      <c r="AG44" s="7752"/>
      <c r="AH44" s="7752"/>
      <c r="AI44" s="7752"/>
      <c r="AJ44" s="7753"/>
      <c r="AK44" s="1182" t="s">
        <v>657</v>
      </c>
      <c r="AM44" s="424"/>
      <c r="AN44" s="424" t="str">
        <f t="shared" si="1"/>
        <v>Наименование признака дифференциации</v>
      </c>
      <c r="AO44" s="424"/>
      <c r="AP44" s="424"/>
    </row>
    <row r="45" spans="1:42" ht="23.25" customHeight="1">
      <c r="A45" s="1284" t="s">
        <v>425</v>
      </c>
      <c r="B45" s="1284" t="s">
        <v>426</v>
      </c>
      <c r="C45" s="1284" t="s">
        <v>427</v>
      </c>
      <c r="D45" s="1284" t="s">
        <v>712</v>
      </c>
      <c r="E45" s="7690"/>
      <c r="F45" s="7690"/>
      <c r="G45" s="7690"/>
      <c r="H45" s="7690"/>
      <c r="I45" s="7710"/>
      <c r="J45" s="7687" t="str">
        <f>I44&amp;".1"</f>
        <v>...1.1</v>
      </c>
      <c r="K45" s="1284"/>
      <c r="L45" s="1285" t="s">
        <v>582</v>
      </c>
      <c r="P45" s="7688"/>
      <c r="Q45" s="7688">
        <v>1</v>
      </c>
      <c r="R45" s="278"/>
      <c r="S45" s="1408" t="str">
        <f>$J45</f>
        <v>...1.1</v>
      </c>
      <c r="T45" s="201" t="s">
        <v>583</v>
      </c>
      <c r="U45" s="214"/>
      <c r="V45" s="7678"/>
      <c r="W45" s="7679"/>
      <c r="X45" s="7679"/>
      <c r="Y45" s="7679"/>
      <c r="Z45" s="7679"/>
      <c r="AA45" s="7679"/>
      <c r="AB45" s="7680"/>
      <c r="AC45" s="7678"/>
      <c r="AD45" s="7679"/>
      <c r="AE45" s="7679"/>
      <c r="AF45" s="7679"/>
      <c r="AG45" s="7679"/>
      <c r="AH45" s="7679"/>
      <c r="AI45" s="7679"/>
      <c r="AJ45" s="7680"/>
      <c r="AK45" s="1231" t="s">
        <v>658</v>
      </c>
      <c r="AM45" s="424"/>
      <c r="AN45" s="424" t="str">
        <f t="shared" si="1"/>
        <v>Группа потребителей</v>
      </c>
      <c r="AO45" s="424"/>
      <c r="AP45" s="424"/>
    </row>
    <row r="46" spans="1:42" ht="23.25" customHeight="1">
      <c r="A46" s="1284" t="s">
        <v>425</v>
      </c>
      <c r="B46" s="1284" t="s">
        <v>426</v>
      </c>
      <c r="C46" s="1284" t="s">
        <v>427</v>
      </c>
      <c r="D46" s="1284" t="s">
        <v>712</v>
      </c>
      <c r="E46" s="7690"/>
      <c r="F46" s="7690"/>
      <c r="G46" s="7690"/>
      <c r="H46" s="7690"/>
      <c r="I46" s="7710"/>
      <c r="J46" s="7710"/>
      <c r="K46" s="7687" t="str">
        <f>J45&amp;".1"</f>
        <v>...1.1.1</v>
      </c>
      <c r="L46" s="1285"/>
      <c r="P46" s="7688"/>
      <c r="Q46" s="7688"/>
      <c r="R46" s="278">
        <v>1</v>
      </c>
      <c r="S46" s="1408" t="str">
        <f>$K46</f>
        <v>...1.1.1</v>
      </c>
      <c r="T46" s="1357"/>
      <c r="U46" s="214"/>
      <c r="V46" s="1281"/>
      <c r="W46" s="1281"/>
      <c r="X46" s="1282"/>
      <c r="Y46" s="7694"/>
      <c r="Z46" s="7695" t="s">
        <v>60</v>
      </c>
      <c r="AA46" s="7694"/>
      <c r="AB46" s="7695" t="s">
        <v>60</v>
      </c>
      <c r="AC46" s="666"/>
      <c r="AD46" s="666"/>
      <c r="AE46" s="1181"/>
      <c r="AF46" s="7692"/>
      <c r="AG46" s="7540" t="s">
        <v>60</v>
      </c>
      <c r="AH46" s="7711"/>
      <c r="AI46" s="7540" t="s">
        <v>55</v>
      </c>
      <c r="AJ46" s="1358"/>
      <c r="AK4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425</v>
      </c>
      <c r="B47" s="1284" t="s">
        <v>426</v>
      </c>
      <c r="C47" s="1284" t="s">
        <v>427</v>
      </c>
      <c r="D47" s="1284" t="s">
        <v>712</v>
      </c>
      <c r="E47" s="7690"/>
      <c r="F47" s="7690"/>
      <c r="G47" s="7690"/>
      <c r="H47" s="7690"/>
      <c r="I47" s="7710"/>
      <c r="J47" s="7710"/>
      <c r="K47" s="7687"/>
      <c r="L47" s="1285"/>
      <c r="P47" s="7688"/>
      <c r="Q47" s="7688"/>
      <c r="R47" s="278"/>
      <c r="S47" s="1405"/>
      <c r="T47" s="214"/>
      <c r="U47" s="214"/>
      <c r="V47" s="1281"/>
      <c r="W47" s="1281"/>
      <c r="X47" s="250" t="str">
        <f>Y46&amp;"-"&amp;AA46</f>
        <v>-</v>
      </c>
      <c r="Y47" s="7695"/>
      <c r="Z47" s="7695"/>
      <c r="AA47" s="7695"/>
      <c r="AB47" s="7695"/>
      <c r="AC47" s="246"/>
      <c r="AD47" s="246"/>
      <c r="AE47" s="250" t="str">
        <f>AF46&amp;"-"&amp;AH46</f>
        <v>-</v>
      </c>
      <c r="AF47" s="7693"/>
      <c r="AG47" s="7540"/>
      <c r="AH47" s="7712"/>
      <c r="AI47" s="7540"/>
      <c r="AJ47" s="1359"/>
      <c r="AK47" s="7747"/>
      <c r="AM47" s="424"/>
      <c r="AN47" s="424" t="str">
        <f t="shared" si="1"/>
        <v/>
      </c>
      <c r="AO47" s="424"/>
      <c r="AP47" s="424"/>
    </row>
    <row r="48" spans="1:42" ht="21" customHeight="1">
      <c r="A48" s="1284" t="s">
        <v>425</v>
      </c>
      <c r="B48" s="1284" t="s">
        <v>426</v>
      </c>
      <c r="C48" s="1284" t="s">
        <v>427</v>
      </c>
      <c r="D48" s="1284" t="s">
        <v>712</v>
      </c>
      <c r="E48" s="7690"/>
      <c r="F48" s="7690"/>
      <c r="G48" s="7690"/>
      <c r="H48" s="7690"/>
      <c r="I48" s="7710"/>
      <c r="J48" s="7687"/>
      <c r="K48" s="1284"/>
      <c r="L48" s="1285"/>
      <c r="P48" s="7688"/>
      <c r="Q48" s="7688"/>
      <c r="R48" s="277"/>
      <c r="S48" s="1203"/>
      <c r="T48" s="202" t="s">
        <v>659</v>
      </c>
      <c r="U48" s="291"/>
      <c r="V48" s="291"/>
      <c r="W48" s="291"/>
      <c r="X48" s="291"/>
      <c r="Y48" s="291"/>
      <c r="Z48" s="291"/>
      <c r="AA48" s="291"/>
      <c r="AB48" s="291"/>
      <c r="AC48" s="291"/>
      <c r="AD48" s="291"/>
      <c r="AE48" s="291"/>
      <c r="AF48" s="291"/>
      <c r="AG48" s="291"/>
      <c r="AH48" s="291"/>
      <c r="AI48" s="291"/>
      <c r="AJ48" s="291"/>
      <c r="AK48" s="1182" t="s">
        <v>660</v>
      </c>
      <c r="AM48" s="424"/>
      <c r="AN48" s="424" t="str">
        <f t="shared" si="1"/>
        <v>Добавить значение признака дифференциации</v>
      </c>
      <c r="AO48" s="424"/>
      <c r="AP48" s="424"/>
    </row>
    <row r="49" spans="1:42" ht="21" customHeight="1">
      <c r="A49" s="1284" t="s">
        <v>425</v>
      </c>
      <c r="B49" s="1284" t="s">
        <v>426</v>
      </c>
      <c r="C49" s="1284" t="s">
        <v>427</v>
      </c>
      <c r="D49" s="1284" t="s">
        <v>712</v>
      </c>
      <c r="E49" s="7690"/>
      <c r="F49" s="7690"/>
      <c r="G49" s="7690"/>
      <c r="H49" s="7690"/>
      <c r="I49" s="7687"/>
      <c r="J49" s="1284"/>
      <c r="K49" s="1284"/>
      <c r="L49" s="1285"/>
      <c r="P49" s="7688"/>
      <c r="Q49" s="1396"/>
      <c r="R49" s="277"/>
      <c r="S49" s="1203"/>
      <c r="T49" s="288" t="s">
        <v>588</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425</v>
      </c>
      <c r="B50" s="1284" t="s">
        <v>426</v>
      </c>
      <c r="C50" s="1284" t="s">
        <v>427</v>
      </c>
      <c r="D50" s="1284" t="s">
        <v>712</v>
      </c>
      <c r="E50" s="7690"/>
      <c r="F50" s="7690"/>
      <c r="G50" s="7690"/>
      <c r="H50" s="7689"/>
      <c r="I50" s="1284"/>
      <c r="J50" s="1284"/>
      <c r="K50" s="1284"/>
      <c r="L50" s="1285"/>
      <c r="M50" s="1286"/>
      <c r="N50" s="1286"/>
      <c r="O50" s="460"/>
      <c r="P50" s="281"/>
      <c r="Q50" s="299"/>
      <c r="R50" s="276"/>
      <c r="S50" s="1203"/>
      <c r="T50" s="296" t="s">
        <v>661</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425</v>
      </c>
      <c r="B51" s="1265" t="s">
        <v>426</v>
      </c>
      <c r="C51" s="1237"/>
      <c r="D51" s="1237"/>
      <c r="E51" s="7690"/>
      <c r="F51" s="7689"/>
      <c r="G51" s="1237"/>
      <c r="H51" s="1237"/>
      <c r="I51" s="1237"/>
      <c r="J51" s="1237"/>
      <c r="K51" s="1237"/>
      <c r="L51" s="1409"/>
      <c r="M51" s="1244"/>
      <c r="N51" s="1244"/>
      <c r="P51" s="1239"/>
      <c r="Q51" s="1240"/>
      <c r="R51" s="1239"/>
      <c r="S51" s="1245"/>
      <c r="T51" s="1248" t="s">
        <v>325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425</v>
      </c>
      <c r="B52" s="1265"/>
      <c r="C52" s="1265"/>
      <c r="D52" s="1265"/>
      <c r="E52" s="7689"/>
      <c r="F52" s="1265"/>
      <c r="G52" s="1265"/>
      <c r="H52" s="1265"/>
      <c r="I52" s="1265"/>
      <c r="J52" s="1265"/>
      <c r="K52" s="1265"/>
      <c r="L52" s="1268"/>
      <c r="M52" s="1244"/>
      <c r="N52" s="1244"/>
      <c r="O52" s="442"/>
      <c r="P52" s="308"/>
      <c r="Q52" s="1266"/>
      <c r="R52" s="308"/>
      <c r="S52" s="1245"/>
      <c r="T52" s="1248" t="s">
        <v>326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402</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7709"/>
      <c r="U55" s="7709"/>
      <c r="V55" s="7709"/>
      <c r="W55" s="7709"/>
      <c r="X55" s="7709"/>
      <c r="Y55" s="7709"/>
      <c r="Z55" s="7709"/>
      <c r="AA55" s="7709"/>
      <c r="AB55" s="7709"/>
      <c r="AC55" s="7709"/>
      <c r="AD55" s="7709"/>
      <c r="AE55" s="7709"/>
      <c r="AF55" s="7709"/>
      <c r="AG55" s="7709"/>
      <c r="AH55" s="7709"/>
      <c r="AI55" s="7709"/>
      <c r="AJ55" s="7709"/>
      <c r="AK55" s="7709"/>
    </row>
    <row r="56" spans="1:42" ht="14.25" customHeight="1">
      <c r="O56" s="460"/>
    </row>
    <row r="57" spans="1:42" ht="14.25" customHeight="1">
      <c r="O57" s="460"/>
      <c r="S57" s="1169"/>
      <c r="T57" s="7709"/>
      <c r="U57" s="7709"/>
      <c r="V57" s="7709"/>
      <c r="W57" s="7709"/>
      <c r="X57" s="7709"/>
      <c r="Y57" s="7709"/>
      <c r="Z57" s="7709"/>
      <c r="AA57" s="7709"/>
      <c r="AB57" s="7709"/>
      <c r="AC57" s="7709"/>
      <c r="AD57" s="7709"/>
      <c r="AE57" s="7709"/>
      <c r="AF57" s="7709"/>
      <c r="AG57" s="7709"/>
      <c r="AH57" s="7709"/>
      <c r="AI57" s="7709"/>
      <c r="AJ57" s="7709"/>
      <c r="AK57" s="770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5" hidden="1" customWidth="1"/>
    <col min="13" max="14" width="12.28515625" style="1696" hidden="1" customWidth="1"/>
    <col min="15" max="15" width="23.42578125" style="1696" hidden="1" customWidth="1"/>
    <col min="16" max="16" width="3.7109375" style="1817" customWidth="1"/>
    <col min="17" max="18" width="3.7109375" style="265" customWidth="1"/>
    <col min="19" max="19" width="12.7109375" style="1820"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7689">
        <v>1</v>
      </c>
      <c r="F2" s="1284"/>
      <c r="G2" s="1284"/>
      <c r="H2" s="1284"/>
      <c r="I2" s="1284"/>
      <c r="J2" s="1284"/>
      <c r="K2" s="1284"/>
      <c r="L2" s="1285"/>
      <c r="M2" s="1286"/>
      <c r="N2" s="1286"/>
      <c r="O2" s="1286"/>
      <c r="P2" s="282"/>
      <c r="Q2" s="281"/>
      <c r="R2" s="276"/>
      <c r="S2" s="1408" t="e">
        <f>INDEX(PT_DIFFERENTIATION_NUM_NTAR,MATCH(A2,PT_DIFFERENTIATION_NTAR_ID,0))</f>
        <v>#N/A</v>
      </c>
      <c r="T2" s="212" t="s">
        <v>237</v>
      </c>
      <c r="U2" s="214"/>
      <c r="V2" s="7675"/>
      <c r="W2" s="7676"/>
      <c r="X2" s="7676"/>
      <c r="Y2" s="7676"/>
      <c r="Z2" s="7676"/>
      <c r="AA2" s="7676"/>
      <c r="AB2" s="7677"/>
      <c r="AC2" s="7675" t="e">
        <f>INDEX(PT_DIFFERENTIATION_NTAR,MATCH(A2,PT_DIFFERENTIATION_NTAR_ID,0))</f>
        <v>#N/A</v>
      </c>
      <c r="AD2" s="7676"/>
      <c r="AE2" s="7676"/>
      <c r="AF2" s="7676"/>
      <c r="AG2" s="7676"/>
      <c r="AH2" s="7676"/>
      <c r="AI2" s="7676"/>
      <c r="AJ2" s="7677"/>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7690"/>
      <c r="F3" s="7689">
        <v>1</v>
      </c>
      <c r="G3" s="1284"/>
      <c r="H3" s="1284"/>
      <c r="I3" s="1284"/>
      <c r="J3" s="1284"/>
      <c r="K3" s="1284"/>
      <c r="L3" s="1285"/>
      <c r="M3" s="1286"/>
      <c r="N3" s="1286"/>
      <c r="O3" s="1286"/>
      <c r="P3" s="1402"/>
      <c r="Q3" s="273"/>
      <c r="R3" s="274"/>
      <c r="S3" s="1408" t="e">
        <f>INDEX(PT_DIFFERENTIATION_NUM_TER,MATCH(B3,PT_DIFFERENTIATION_TER_ID,0))</f>
        <v>#N/A</v>
      </c>
      <c r="T3" s="224" t="s">
        <v>573</v>
      </c>
      <c r="U3" s="214"/>
      <c r="V3" s="7675"/>
      <c r="W3" s="7676"/>
      <c r="X3" s="7676"/>
      <c r="Y3" s="7676"/>
      <c r="Z3" s="7676"/>
      <c r="AA3" s="7676"/>
      <c r="AB3" s="7677"/>
      <c r="AC3" s="7675" t="e">
        <f>INDEX(PT_DIFFERENTIATION_TER,MATCH(B3,PT_DIFFERENTIATION_TER_ID,0))</f>
        <v>#N/A</v>
      </c>
      <c r="AD3" s="7676"/>
      <c r="AE3" s="7676"/>
      <c r="AF3" s="7676"/>
      <c r="AG3" s="7676"/>
      <c r="AH3" s="7676"/>
      <c r="AI3" s="7676"/>
      <c r="AJ3" s="7677"/>
      <c r="AK3" s="1182" t="s">
        <v>574</v>
      </c>
      <c r="AM3" s="424"/>
      <c r="AN3" s="424" t="str">
        <f t="shared" si="0"/>
        <v>Территория действия тарифа</v>
      </c>
      <c r="AO3" s="424"/>
      <c r="AP3" s="424"/>
    </row>
    <row r="4" spans="1:42" ht="23.25" hidden="1" customHeight="1">
      <c r="A4" s="1284"/>
      <c r="B4" s="1284"/>
      <c r="C4" s="1284"/>
      <c r="D4" s="1284"/>
      <c r="E4" s="7690"/>
      <c r="F4" s="7690"/>
      <c r="G4" s="7689">
        <v>1</v>
      </c>
      <c r="H4" s="1284"/>
      <c r="I4" s="1284"/>
      <c r="J4" s="1284"/>
      <c r="K4" s="1284"/>
      <c r="L4" s="1285"/>
      <c r="M4" s="1286"/>
      <c r="N4" s="1286"/>
      <c r="O4" s="1286"/>
      <c r="P4" s="275"/>
      <c r="Q4" s="273"/>
      <c r="R4" s="274"/>
      <c r="S4" s="1408" t="e">
        <f>INDEX(PT_DIFFERENTIATION_NUM_CS,MATCH(C4,PT_DIFFERENTIATION_CS_ID,0))</f>
        <v>#N/A</v>
      </c>
      <c r="T4" s="225" t="s">
        <v>705</v>
      </c>
      <c r="U4" s="214"/>
      <c r="V4" s="7675"/>
      <c r="W4" s="7676"/>
      <c r="X4" s="7676"/>
      <c r="Y4" s="7676"/>
      <c r="Z4" s="7676"/>
      <c r="AA4" s="7676"/>
      <c r="AB4" s="7677"/>
      <c r="AC4" s="7675" t="e">
        <f>INDEX(PT_DIFFERENTIATION_CS,MATCH(C4,PT_DIFFERENTIATION_CS_ID,0))</f>
        <v>#N/A</v>
      </c>
      <c r="AD4" s="7676"/>
      <c r="AE4" s="7676"/>
      <c r="AF4" s="7676"/>
      <c r="AG4" s="7676"/>
      <c r="AH4" s="7676"/>
      <c r="AI4" s="7676"/>
      <c r="AJ4" s="7677"/>
      <c r="AK4" s="1182" t="s">
        <v>706</v>
      </c>
      <c r="AM4" s="424"/>
      <c r="AN4" s="424" t="str">
        <f t="shared" si="0"/>
        <v>Наименование централизованной системы горячего водоснабжения</v>
      </c>
      <c r="AO4" s="424"/>
      <c r="AP4" s="424"/>
    </row>
    <row r="5" spans="1:42" ht="23.25" hidden="1" customHeight="1">
      <c r="A5" s="1284"/>
      <c r="B5" s="1284"/>
      <c r="C5" s="1284"/>
      <c r="D5" s="1284"/>
      <c r="E5" s="7690"/>
      <c r="F5" s="7690"/>
      <c r="G5" s="7690"/>
      <c r="H5" s="7690"/>
      <c r="I5" s="7687" t="e">
        <f>S4&amp;".1"</f>
        <v>#N/A</v>
      </c>
      <c r="J5" s="1284"/>
      <c r="K5" s="1284"/>
      <c r="L5" s="1285"/>
      <c r="P5" s="7688">
        <v>1</v>
      </c>
      <c r="Q5" s="1396"/>
      <c r="R5" s="277"/>
      <c r="S5" s="1408" t="e">
        <f>$I5</f>
        <v>#N/A</v>
      </c>
      <c r="T5" s="200" t="s">
        <v>656</v>
      </c>
      <c r="U5" s="214"/>
      <c r="V5" s="7748"/>
      <c r="W5" s="7749"/>
      <c r="X5" s="7749"/>
      <c r="Y5" s="7749"/>
      <c r="Z5" s="7749"/>
      <c r="AA5" s="7749"/>
      <c r="AB5" s="7750"/>
      <c r="AC5" s="7751"/>
      <c r="AD5" s="7752"/>
      <c r="AE5" s="7752"/>
      <c r="AF5" s="7752"/>
      <c r="AG5" s="7752"/>
      <c r="AH5" s="7752"/>
      <c r="AI5" s="7752"/>
      <c r="AJ5" s="7753"/>
      <c r="AK5" s="1182" t="s">
        <v>657</v>
      </c>
      <c r="AM5" s="424"/>
      <c r="AN5" s="424" t="str">
        <f t="shared" si="0"/>
        <v>Наименование признака дифференциации</v>
      </c>
      <c r="AO5" s="424"/>
      <c r="AP5" s="424"/>
    </row>
    <row r="6" spans="1:42" ht="23.25" hidden="1" customHeight="1">
      <c r="A6" s="1284"/>
      <c r="B6" s="1284"/>
      <c r="C6" s="1284"/>
      <c r="D6" s="1284"/>
      <c r="E6" s="7690"/>
      <c r="F6" s="7690"/>
      <c r="G6" s="7690"/>
      <c r="H6" s="7690"/>
      <c r="I6" s="7710"/>
      <c r="J6" s="7687" t="e">
        <f>I5&amp;".1"</f>
        <v>#N/A</v>
      </c>
      <c r="K6" s="1284"/>
      <c r="L6" s="1285" t="s">
        <v>582</v>
      </c>
      <c r="P6" s="7688"/>
      <c r="Q6" s="7688">
        <v>1</v>
      </c>
      <c r="R6" s="278"/>
      <c r="S6" s="1408" t="e">
        <f>$J6</f>
        <v>#N/A</v>
      </c>
      <c r="T6" s="201" t="s">
        <v>583</v>
      </c>
      <c r="U6" s="214"/>
      <c r="V6" s="7678"/>
      <c r="W6" s="7679"/>
      <c r="X6" s="7679"/>
      <c r="Y6" s="7679"/>
      <c r="Z6" s="7679"/>
      <c r="AA6" s="7679"/>
      <c r="AB6" s="7680"/>
      <c r="AC6" s="7678"/>
      <c r="AD6" s="7679"/>
      <c r="AE6" s="7679"/>
      <c r="AF6" s="7679"/>
      <c r="AG6" s="7679"/>
      <c r="AH6" s="7679"/>
      <c r="AI6" s="7679"/>
      <c r="AJ6" s="7680"/>
      <c r="AK6" s="1231" t="s">
        <v>658</v>
      </c>
      <c r="AM6" s="424"/>
      <c r="AN6" s="424" t="str">
        <f t="shared" si="0"/>
        <v>Группа потребителей</v>
      </c>
      <c r="AO6" s="424"/>
      <c r="AP6" s="424"/>
    </row>
    <row r="7" spans="1:42" ht="23.25" hidden="1" customHeight="1">
      <c r="A7" s="1284"/>
      <c r="B7" s="1284"/>
      <c r="C7" s="1284"/>
      <c r="D7" s="1284"/>
      <c r="E7" s="7690"/>
      <c r="F7" s="7690"/>
      <c r="G7" s="7690"/>
      <c r="H7" s="7690"/>
      <c r="I7" s="7710"/>
      <c r="J7" s="7710"/>
      <c r="K7" s="7687" t="e">
        <f>J6&amp;".1"</f>
        <v>#N/A</v>
      </c>
      <c r="L7" s="1285"/>
      <c r="P7" s="7688"/>
      <c r="Q7" s="7688"/>
      <c r="R7" s="278">
        <v>1</v>
      </c>
      <c r="S7" s="1408" t="e">
        <f>$K7</f>
        <v>#N/A</v>
      </c>
      <c r="T7" s="1357"/>
      <c r="U7" s="214"/>
      <c r="V7" s="666"/>
      <c r="W7" s="666"/>
      <c r="X7" s="1181"/>
      <c r="Y7" s="7692"/>
      <c r="Z7" s="7540" t="s">
        <v>60</v>
      </c>
      <c r="AA7" s="7692"/>
      <c r="AB7" s="7540" t="s">
        <v>60</v>
      </c>
      <c r="AC7" s="666"/>
      <c r="AD7" s="666"/>
      <c r="AE7" s="1181"/>
      <c r="AF7" s="7692"/>
      <c r="AG7" s="7540" t="s">
        <v>60</v>
      </c>
      <c r="AH7" s="7711"/>
      <c r="AI7" s="7540" t="s">
        <v>60</v>
      </c>
      <c r="AJ7" s="1358"/>
      <c r="AK7"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7690"/>
      <c r="F8" s="7690"/>
      <c r="G8" s="7690"/>
      <c r="H8" s="7690"/>
      <c r="I8" s="7710"/>
      <c r="J8" s="7710"/>
      <c r="K8" s="7687"/>
      <c r="L8" s="1285"/>
      <c r="P8" s="7688"/>
      <c r="Q8" s="7688"/>
      <c r="R8" s="278"/>
      <c r="S8" s="1405"/>
      <c r="T8" s="214"/>
      <c r="U8" s="214"/>
      <c r="V8" s="246"/>
      <c r="W8" s="246"/>
      <c r="X8" s="250" t="str">
        <f>Y7&amp;"-"&amp;AA7</f>
        <v>-</v>
      </c>
      <c r="Y8" s="7693"/>
      <c r="Z8" s="7540"/>
      <c r="AA8" s="7693"/>
      <c r="AB8" s="7540"/>
      <c r="AC8" s="246"/>
      <c r="AD8" s="246"/>
      <c r="AE8" s="250" t="str">
        <f>AF7&amp;"-"&amp;AH7</f>
        <v>-</v>
      </c>
      <c r="AF8" s="7693"/>
      <c r="AG8" s="7540"/>
      <c r="AH8" s="7712"/>
      <c r="AI8" s="7540"/>
      <c r="AJ8" s="1359"/>
      <c r="AK8" s="7747"/>
      <c r="AM8" s="424"/>
      <c r="AN8" s="424" t="str">
        <f t="shared" si="0"/>
        <v/>
      </c>
      <c r="AO8" s="424"/>
      <c r="AP8" s="424"/>
    </row>
    <row r="9" spans="1:42" ht="21" hidden="1" customHeight="1">
      <c r="A9" s="1284"/>
      <c r="B9" s="1284"/>
      <c r="C9" s="1284"/>
      <c r="D9" s="1284"/>
      <c r="E9" s="7690"/>
      <c r="F9" s="7690"/>
      <c r="G9" s="7690"/>
      <c r="H9" s="7690"/>
      <c r="I9" s="7710"/>
      <c r="J9" s="7687"/>
      <c r="K9" s="1284"/>
      <c r="L9" s="1285"/>
      <c r="P9" s="7688"/>
      <c r="Q9" s="7688"/>
      <c r="R9" s="277"/>
      <c r="S9" s="1203"/>
      <c r="T9" s="202" t="s">
        <v>659</v>
      </c>
      <c r="U9" s="291"/>
      <c r="V9" s="291"/>
      <c r="W9" s="291"/>
      <c r="X9" s="291"/>
      <c r="Y9" s="291"/>
      <c r="Z9" s="291"/>
      <c r="AA9" s="291"/>
      <c r="AB9" s="291"/>
      <c r="AC9" s="291"/>
      <c r="AD9" s="291"/>
      <c r="AE9" s="291"/>
      <c r="AF9" s="291"/>
      <c r="AG9" s="291"/>
      <c r="AH9" s="291"/>
      <c r="AI9" s="291"/>
      <c r="AJ9" s="291"/>
      <c r="AK9" s="1182" t="s">
        <v>660</v>
      </c>
      <c r="AM9" s="424"/>
      <c r="AN9" s="424" t="str">
        <f t="shared" si="0"/>
        <v>Добавить значение признака дифференциации</v>
      </c>
      <c r="AO9" s="424"/>
      <c r="AP9" s="424"/>
    </row>
    <row r="10" spans="1:42" ht="21" hidden="1" customHeight="1">
      <c r="A10" s="1284"/>
      <c r="B10" s="1284"/>
      <c r="C10" s="1284"/>
      <c r="D10" s="1284"/>
      <c r="E10" s="7690"/>
      <c r="F10" s="7690"/>
      <c r="G10" s="7690"/>
      <c r="H10" s="7690"/>
      <c r="I10" s="7687"/>
      <c r="J10" s="1284"/>
      <c r="K10" s="1284"/>
      <c r="L10" s="1285"/>
      <c r="P10" s="7688"/>
      <c r="Q10" s="1396"/>
      <c r="R10" s="277"/>
      <c r="S10" s="1203"/>
      <c r="T10" s="288" t="s">
        <v>588</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7690"/>
      <c r="F11" s="7690"/>
      <c r="G11" s="7690"/>
      <c r="H11" s="7689"/>
      <c r="I11" s="1284"/>
      <c r="J11" s="1284"/>
      <c r="K11" s="1284"/>
      <c r="L11" s="1285"/>
      <c r="M11" s="1286"/>
      <c r="N11" s="1286"/>
      <c r="O11" s="460"/>
      <c r="P11" s="281"/>
      <c r="Q11" s="299"/>
      <c r="R11" s="276"/>
      <c r="S11" s="1203"/>
      <c r="T11" s="296" t="s">
        <v>661</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7690"/>
      <c r="F12" s="7689"/>
      <c r="G12" s="1237"/>
      <c r="H12" s="1237"/>
      <c r="I12" s="1237"/>
      <c r="J12" s="1237"/>
      <c r="K12" s="1237"/>
      <c r="L12" s="1409"/>
      <c r="M12" s="1244"/>
      <c r="N12" s="1244"/>
      <c r="P12" s="1239"/>
      <c r="Q12" s="1240"/>
      <c r="R12" s="1239"/>
      <c r="S12" s="1245"/>
      <c r="T12" s="1248" t="s">
        <v>325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7689"/>
      <c r="F13" s="1265"/>
      <c r="G13" s="1265"/>
      <c r="H13" s="1265"/>
      <c r="I13" s="1265"/>
      <c r="J13" s="1265"/>
      <c r="K13" s="1265"/>
      <c r="L13" s="1268"/>
      <c r="M13" s="1244"/>
      <c r="N13" s="1244"/>
      <c r="O13" s="442"/>
      <c r="P13" s="308"/>
      <c r="Q13" s="1266"/>
      <c r="R13" s="308"/>
      <c r="S13" s="1245"/>
      <c r="T13" s="1248" t="s">
        <v>326</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7694"/>
      <c r="AG15" s="7695" t="s">
        <v>60</v>
      </c>
      <c r="AH15" s="7694"/>
      <c r="AI15" s="7695" t="s">
        <v>60</v>
      </c>
    </row>
    <row r="16" spans="1:42" ht="14.25" hidden="1" customHeight="1">
      <c r="AC16" s="1281"/>
      <c r="AD16" s="1281"/>
      <c r="AE16" s="250" t="str">
        <f>AF15&amp;"-"&amp;AH15</f>
        <v>-</v>
      </c>
      <c r="AF16" s="7695"/>
      <c r="AG16" s="7695"/>
      <c r="AH16" s="7695"/>
      <c r="AI16" s="7695"/>
    </row>
    <row r="17" spans="1:42" ht="14.25" hidden="1" customHeight="1">
      <c r="AI17" s="249"/>
    </row>
    <row r="18" spans="1:42" s="1287" customFormat="1" ht="22.5" hidden="1" customHeight="1">
      <c r="L18" s="1393"/>
      <c r="M18" s="1283"/>
      <c r="N18" s="1283"/>
      <c r="O18" s="1288" t="s">
        <v>591</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592</v>
      </c>
      <c r="P20" s="1283"/>
      <c r="Q20" s="1361"/>
      <c r="R20" s="1361"/>
      <c r="S20" s="646"/>
      <c r="T20" s="1065" t="s">
        <v>593</v>
      </c>
      <c r="Z20" s="104" t="s">
        <v>594</v>
      </c>
      <c r="AB20" s="104" t="s">
        <v>595</v>
      </c>
      <c r="AC20" s="1065" t="s">
        <v>593</v>
      </c>
      <c r="AG20" s="104" t="s">
        <v>596</v>
      </c>
      <c r="AI20" s="104" t="s">
        <v>595</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26.25" customHeight="1">
      <c r="Q24" s="300"/>
      <c r="R24" s="300"/>
      <c r="S24" s="767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7673"/>
      <c r="U24" s="7673"/>
      <c r="V24" s="7673"/>
      <c r="W24" s="7673"/>
      <c r="X24" s="7673"/>
      <c r="Y24" s="7673"/>
      <c r="Z24" s="7673"/>
      <c r="AA24" s="7673"/>
      <c r="AB24" s="7673"/>
      <c r="AC24" s="7673"/>
      <c r="AD24" s="7673"/>
      <c r="AE24" s="7673"/>
      <c r="AF24" s="7673"/>
      <c r="AG24" s="7673"/>
      <c r="AH24" s="7673"/>
      <c r="AI24" s="1157"/>
    </row>
    <row r="25" spans="1:42" ht="14.25" customHeight="1">
      <c r="Q25" s="300"/>
      <c r="R25" s="300"/>
      <c r="S25" s="7620" t="str">
        <f>IF(org=0,"Не определено",org)</f>
        <v>ГУП СК "Ставрополькрайводоканал"</v>
      </c>
      <c r="T25" s="7620"/>
      <c r="U25" s="7620"/>
      <c r="V25" s="7620"/>
      <c r="W25" s="7620"/>
      <c r="X25" s="7620"/>
      <c r="Y25" s="7620"/>
      <c r="Z25" s="7620"/>
      <c r="AA25" s="7620"/>
      <c r="AB25" s="7620"/>
      <c r="AC25" s="7620"/>
      <c r="AD25" s="7620"/>
      <c r="AE25" s="7620"/>
      <c r="AF25" s="7620"/>
      <c r="AG25" s="7620"/>
      <c r="AH25" s="7620"/>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7681" t="s">
        <v>38</v>
      </c>
      <c r="T27" s="7681"/>
      <c r="U27" s="1293"/>
      <c r="V27" s="7682" t="str">
        <f>IF(TITLE_NAME_OR_PR_CHANGE="",IF(TITLE_NAME_OR_PR="","",TITLE_NAME_OR_PR),TITLE_NAME_OR_PR_CHANGE)</f>
        <v>Региональная тарифная комиссия Ставропольского края</v>
      </c>
      <c r="W27" s="7682"/>
      <c r="X27" s="7682"/>
      <c r="Y27" s="7682"/>
      <c r="Z27" s="7682"/>
      <c r="AA27" s="7682"/>
      <c r="AB27" s="248"/>
      <c r="AC27" s="7682" t="str">
        <f>IF(TITLE_NAME_OR_PR_CHANGE="",IF(TITLE_NAME_OR_PR="","",TITLE_NAME_OR_PR),TITLE_NAME_OR_PR_CHANGE)</f>
        <v>Региональная тарифная комиссия Ставропольского края</v>
      </c>
      <c r="AD27" s="7682"/>
      <c r="AE27" s="7682"/>
      <c r="AF27" s="7682"/>
      <c r="AG27" s="7682"/>
      <c r="AH27" s="7682"/>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7681" t="s">
        <v>597</v>
      </c>
      <c r="T28" s="7681"/>
      <c r="U28" s="1293"/>
      <c r="V28" s="7691">
        <f>IF(TITLE_DATE_PR_CHANGE="",IF(TITLE_DATE_PR="","",TITLE_DATE_PR),TITLE_DATE_PR_CHANGE)</f>
        <v>45278</v>
      </c>
      <c r="W28" s="7691"/>
      <c r="X28" s="7691"/>
      <c r="Y28" s="7691"/>
      <c r="Z28" s="7691"/>
      <c r="AA28" s="7691"/>
      <c r="AB28" s="248"/>
      <c r="AC28" s="7691">
        <f>IF(TITLE_DATE_PR_CHANGE="",IF(TITLE_DATE_PR="","",TITLE_DATE_PR),TITLE_DATE_PR_CHANGE)</f>
        <v>45278</v>
      </c>
      <c r="AD28" s="7691"/>
      <c r="AE28" s="7691"/>
      <c r="AF28" s="7691"/>
      <c r="AG28" s="7691"/>
      <c r="AH28" s="7691"/>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7681" t="s">
        <v>598</v>
      </c>
      <c r="T29" s="7681"/>
      <c r="U29" s="1293"/>
      <c r="V29" s="7682" t="str">
        <f>IF(TITLE_NUMBER_PR_CHANGE="",IF(TITLE_NUMBER_PR="","",TITLE_NUMBER_PR),TITLE_NUMBER_PR_CHANGE)</f>
        <v>79/2</v>
      </c>
      <c r="W29" s="7682"/>
      <c r="X29" s="7682"/>
      <c r="Y29" s="7682"/>
      <c r="Z29" s="7682"/>
      <c r="AA29" s="7682"/>
      <c r="AB29" s="248"/>
      <c r="AC29" s="7682" t="str">
        <f>IF(TITLE_NUMBER_PR_CHANGE="",IF(TITLE_NUMBER_PR="","",TITLE_NUMBER_PR),TITLE_NUMBER_PR_CHANGE)</f>
        <v>79/2</v>
      </c>
      <c r="AD29" s="7682"/>
      <c r="AE29" s="7682"/>
      <c r="AF29" s="7682"/>
      <c r="AG29" s="7682"/>
      <c r="AH29" s="7682"/>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7681" t="s">
        <v>40</v>
      </c>
      <c r="T30" s="7681"/>
      <c r="U30" s="1293"/>
      <c r="V30" s="7682" t="str">
        <f>IF(TITLE_IST_PUB_CHANGE="",IF(TITLE_IST_PUB="","",TITLE_IST_PUB),TITLE_IST_PUB_CHANGE)</f>
        <v>http://pravo.stavregion.ru/</v>
      </c>
      <c r="W30" s="7682"/>
      <c r="X30" s="7682"/>
      <c r="Y30" s="7682"/>
      <c r="Z30" s="7682"/>
      <c r="AA30" s="7682"/>
      <c r="AB30" s="248"/>
      <c r="AC30" s="7682" t="str">
        <f>IF(TITLE_IST_PUB_CHANGE="",IF(TITLE_IST_PUB="","",TITLE_IST_PUB),TITLE_IST_PUB_CHANGE)</f>
        <v>http://pravo.stavregion.ru/</v>
      </c>
      <c r="AD30" s="7682"/>
      <c r="AE30" s="7682"/>
      <c r="AF30" s="7682"/>
      <c r="AG30" s="7682"/>
      <c r="AH30" s="7682"/>
      <c r="AI30" s="248"/>
      <c r="AJ30" s="248"/>
      <c r="AK30" s="196"/>
      <c r="AL30" s="292"/>
      <c r="AM30" s="292"/>
      <c r="AN30" s="292"/>
      <c r="AO30" s="292"/>
      <c r="AP30" s="292"/>
    </row>
    <row r="31" spans="1:42" ht="14.25"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customHeight="1">
      <c r="A32" s="1289"/>
      <c r="B32" s="1289"/>
      <c r="C32" s="1289"/>
      <c r="D32" s="1289"/>
      <c r="E32" s="1289"/>
      <c r="F32" s="1289"/>
      <c r="G32" s="1289"/>
      <c r="H32" s="1289"/>
      <c r="I32" s="1289"/>
      <c r="J32" s="1289"/>
      <c r="K32" s="1289"/>
      <c r="L32" s="1290"/>
      <c r="M32" s="1289"/>
      <c r="N32" s="1289"/>
      <c r="O32" s="1289"/>
      <c r="S32" s="7681" t="s">
        <v>599</v>
      </c>
      <c r="T32" s="7681"/>
      <c r="U32" s="1293"/>
      <c r="V32" s="7691">
        <f>IF(TITLE_DATE_PR_CHANGE="",IF(TITLE_DATE_PR="","",TITLE_DATE_PR),TITLE_DATE_PR_CHANGE)</f>
        <v>45278</v>
      </c>
      <c r="W32" s="7691"/>
      <c r="X32" s="7691"/>
      <c r="Y32" s="7691"/>
      <c r="Z32" s="7691"/>
      <c r="AA32" s="7691"/>
      <c r="AB32" s="248"/>
      <c r="AC32" s="7691">
        <f>IF(TITLE_DATE_PR_CHANGE="",IF(TITLE_DATE_PR="","",TITLE_DATE_PR),TITLE_DATE_PR_CHANGE)</f>
        <v>45278</v>
      </c>
      <c r="AD32" s="7691"/>
      <c r="AE32" s="7691"/>
      <c r="AF32" s="7691"/>
      <c r="AG32" s="7691"/>
      <c r="AH32" s="7691"/>
      <c r="AI32" s="248"/>
      <c r="AJ32" s="248"/>
      <c r="AK32" s="196"/>
      <c r="AL32" s="292"/>
      <c r="AM32" s="292"/>
      <c r="AN32" s="292"/>
      <c r="AO32" s="292"/>
      <c r="AP32" s="292"/>
    </row>
    <row r="33" spans="1:42" s="1771" customFormat="1" ht="18.75" customHeight="1">
      <c r="A33" s="1289"/>
      <c r="B33" s="1289"/>
      <c r="C33" s="1289"/>
      <c r="D33" s="1289"/>
      <c r="E33" s="1289"/>
      <c r="F33" s="1289"/>
      <c r="G33" s="1289"/>
      <c r="H33" s="1289"/>
      <c r="I33" s="1289"/>
      <c r="J33" s="1289"/>
      <c r="K33" s="1289"/>
      <c r="L33" s="1290"/>
      <c r="M33" s="1289"/>
      <c r="N33" s="1289"/>
      <c r="O33" s="1289"/>
      <c r="S33" s="7681" t="s">
        <v>600</v>
      </c>
      <c r="T33" s="7681"/>
      <c r="U33" s="1293"/>
      <c r="V33" s="7682" t="str">
        <f>IF(TITLE_NUMBER_PR_CHANGE="",IF(TITLE_NUMBER_PR="","",TITLE_NUMBER_PR),TITLE_NUMBER_PR_CHANGE)</f>
        <v>79/2</v>
      </c>
      <c r="W33" s="7682"/>
      <c r="X33" s="7682"/>
      <c r="Y33" s="7682"/>
      <c r="Z33" s="7682"/>
      <c r="AA33" s="7682"/>
      <c r="AB33" s="248"/>
      <c r="AC33" s="7682" t="str">
        <f>IF(TITLE_NUMBER_PR_CHANGE="",IF(TITLE_NUMBER_PR="","",TITLE_NUMBER_PR),TITLE_NUMBER_PR_CHANGE)</f>
        <v>79/2</v>
      </c>
      <c r="AD33" s="7682"/>
      <c r="AE33" s="7682"/>
      <c r="AF33" s="7682"/>
      <c r="AG33" s="7682"/>
      <c r="AH33" s="7682"/>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601</v>
      </c>
      <c r="AC34" s="248"/>
      <c r="AD34" s="248"/>
      <c r="AE34" s="248"/>
      <c r="AF34" s="248"/>
      <c r="AG34" s="248"/>
      <c r="AH34" s="248"/>
      <c r="AI34" s="194" t="s">
        <v>601</v>
      </c>
      <c r="AL34" s="292"/>
      <c r="AM34" s="292"/>
      <c r="AN34" s="292"/>
      <c r="AO34" s="292"/>
      <c r="AP34" s="292"/>
    </row>
    <row r="35" spans="1:42" ht="14.25" customHeight="1">
      <c r="Q35" s="300"/>
      <c r="R35" s="300"/>
      <c r="S35" s="1200"/>
      <c r="T35" s="286"/>
      <c r="U35" s="1158"/>
      <c r="V35" s="7683"/>
      <c r="W35" s="7683"/>
      <c r="X35" s="7683"/>
      <c r="Y35" s="7683"/>
      <c r="Z35" s="7683"/>
      <c r="AA35" s="7683"/>
      <c r="AB35" s="7683"/>
      <c r="AC35" s="7683"/>
      <c r="AD35" s="7683"/>
      <c r="AE35" s="7683"/>
      <c r="AF35" s="7683"/>
      <c r="AG35" s="7683"/>
      <c r="AH35" s="7683"/>
      <c r="AI35" s="7683"/>
    </row>
    <row r="36" spans="1:42" ht="14.25" customHeight="1">
      <c r="Q36" s="300"/>
      <c r="R36" s="300"/>
      <c r="S36" s="7559" t="s">
        <v>474</v>
      </c>
      <c r="T36" s="7559"/>
      <c r="U36" s="7559"/>
      <c r="V36" s="7559"/>
      <c r="W36" s="7559"/>
      <c r="X36" s="7559"/>
      <c r="Y36" s="7559"/>
      <c r="Z36" s="7559"/>
      <c r="AA36" s="7559"/>
      <c r="AB36" s="7559"/>
      <c r="AC36" s="7559"/>
      <c r="AD36" s="7559"/>
      <c r="AE36" s="7559"/>
      <c r="AF36" s="7559"/>
      <c r="AG36" s="7559"/>
      <c r="AH36" s="7559"/>
      <c r="AI36" s="7559"/>
      <c r="AJ36" s="7559"/>
      <c r="AK36" s="7559" t="s">
        <v>475</v>
      </c>
    </row>
    <row r="37" spans="1:42" ht="14.25" customHeight="1">
      <c r="Q37" s="300"/>
      <c r="R37" s="300"/>
      <c r="S37" s="7697" t="s">
        <v>86</v>
      </c>
      <c r="T37" s="7649" t="s">
        <v>602</v>
      </c>
      <c r="U37" s="215"/>
      <c r="V37" s="7698" t="s">
        <v>603</v>
      </c>
      <c r="W37" s="7699"/>
      <c r="X37" s="7699"/>
      <c r="Y37" s="7699"/>
      <c r="Z37" s="7699"/>
      <c r="AA37" s="7700"/>
      <c r="AB37" s="7701" t="s">
        <v>604</v>
      </c>
      <c r="AC37" s="7698" t="s">
        <v>603</v>
      </c>
      <c r="AD37" s="7699"/>
      <c r="AE37" s="7699"/>
      <c r="AF37" s="7699"/>
      <c r="AG37" s="7699"/>
      <c r="AH37" s="7700"/>
      <c r="AI37" s="7701" t="s">
        <v>605</v>
      </c>
      <c r="AJ37" s="7704" t="s">
        <v>606</v>
      </c>
      <c r="AK37" s="7559"/>
    </row>
    <row r="38" spans="1:42" ht="33.75" customHeight="1">
      <c r="Q38" s="300"/>
      <c r="R38" s="300"/>
      <c r="S38" s="7697"/>
      <c r="T38" s="7649"/>
      <c r="U38" s="942"/>
      <c r="V38" s="1398" t="s">
        <v>707</v>
      </c>
      <c r="W38" s="7530" t="s">
        <v>708</v>
      </c>
      <c r="X38" s="7529"/>
      <c r="Y38" s="7530" t="s">
        <v>610</v>
      </c>
      <c r="Z38" s="7536"/>
      <c r="AA38" s="7529"/>
      <c r="AB38" s="7702"/>
      <c r="AC38" s="1398" t="s">
        <v>707</v>
      </c>
      <c r="AD38" s="7530" t="s">
        <v>708</v>
      </c>
      <c r="AE38" s="7529"/>
      <c r="AF38" s="7530" t="s">
        <v>610</v>
      </c>
      <c r="AG38" s="7536"/>
      <c r="AH38" s="7529"/>
      <c r="AI38" s="7702"/>
      <c r="AJ38" s="7705"/>
      <c r="AK38" s="7559"/>
    </row>
    <row r="39" spans="1:42" ht="86.25" customHeight="1">
      <c r="A39" s="1291"/>
      <c r="B39" s="1291" t="s">
        <v>249</v>
      </c>
      <c r="C39" s="1291" t="s">
        <v>250</v>
      </c>
      <c r="D39" s="1291" t="s">
        <v>251</v>
      </c>
      <c r="E39" s="1285" t="s">
        <v>611</v>
      </c>
      <c r="F39" s="1285" t="s">
        <v>612</v>
      </c>
      <c r="G39" s="1285" t="s">
        <v>613</v>
      </c>
      <c r="H39" s="1285"/>
      <c r="I39" s="1285" t="s">
        <v>663</v>
      </c>
      <c r="J39" s="1285" t="s">
        <v>616</v>
      </c>
      <c r="K39" s="1285" t="s">
        <v>664</v>
      </c>
      <c r="L39" s="1285" t="s">
        <v>592</v>
      </c>
      <c r="Q39" s="300"/>
      <c r="R39" s="300"/>
      <c r="S39" s="7697"/>
      <c r="T39" s="7649"/>
      <c r="U39" s="216"/>
      <c r="V39" s="1398" t="s">
        <v>709</v>
      </c>
      <c r="W39" s="1133" t="s">
        <v>710</v>
      </c>
      <c r="X39" s="1133" t="s">
        <v>711</v>
      </c>
      <c r="Y39" s="1404" t="s">
        <v>620</v>
      </c>
      <c r="Z39" s="7657" t="s">
        <v>621</v>
      </c>
      <c r="AA39" s="7659"/>
      <c r="AB39" s="7703"/>
      <c r="AC39" s="1398" t="s">
        <v>709</v>
      </c>
      <c r="AD39" s="1133" t="s">
        <v>710</v>
      </c>
      <c r="AE39" s="1133" t="s">
        <v>711</v>
      </c>
      <c r="AF39" s="1404" t="s">
        <v>620</v>
      </c>
      <c r="AG39" s="7657" t="s">
        <v>621</v>
      </c>
      <c r="AH39" s="7659"/>
      <c r="AI39" s="7703"/>
      <c r="AJ39" s="7706"/>
      <c r="AK39" s="7559"/>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100</v>
      </c>
      <c r="U40" s="1159" t="str">
        <f ca="1">OFFSET(U40,0,-1)</f>
        <v>2</v>
      </c>
      <c r="V40" s="1397">
        <f ca="1">OFFSET(V40,0,-1)+1</f>
        <v>3</v>
      </c>
      <c r="W40" s="1397">
        <f ca="1">OFFSET(W40,0,-1)+1</f>
        <v>4</v>
      </c>
      <c r="X40" s="1397">
        <f ca="1">OFFSET(X40,0,-1)+1</f>
        <v>5</v>
      </c>
      <c r="Y40" s="1397">
        <f ca="1">OFFSET(Y40,0,-1)+1</f>
        <v>6</v>
      </c>
      <c r="Z40" s="7696">
        <f ca="1">OFFSET(Z40,0,-1)+1</f>
        <v>7</v>
      </c>
      <c r="AA40" s="7696"/>
      <c r="AB40" s="1397">
        <f ca="1">OFFSET(AB40,0,-2)+1</f>
        <v>8</v>
      </c>
      <c r="AC40" s="1397">
        <f ca="1">OFFSET(AC40,0,-1)+1</f>
        <v>9</v>
      </c>
      <c r="AD40" s="1397">
        <f ca="1">OFFSET(AD40,0,-1)+1</f>
        <v>10</v>
      </c>
      <c r="AE40" s="1397">
        <f ca="1">OFFSET(AE40,0,-1)+1</f>
        <v>11</v>
      </c>
      <c r="AF40" s="1397">
        <f ca="1">OFFSET(AF40,0,-1)+1</f>
        <v>12</v>
      </c>
      <c r="AG40" s="7696">
        <f ca="1">OFFSET(AG40,0,-1)+1</f>
        <v>13</v>
      </c>
      <c r="AH40" s="7696"/>
      <c r="AI40" s="1397">
        <f ca="1">OFFSET(AI40,0,-2)+1</f>
        <v>14</v>
      </c>
      <c r="AJ40" s="1159">
        <f ca="1">OFFSET(AJ40,0,-1)</f>
        <v>14</v>
      </c>
      <c r="AK40" s="1397">
        <f ca="1">OFFSET(AK40,0,-1)+1</f>
        <v>15</v>
      </c>
      <c r="AL40" s="435"/>
      <c r="AM40" s="435"/>
      <c r="AN40" s="435"/>
      <c r="AO40" s="435"/>
      <c r="AP40" s="435"/>
    </row>
    <row r="41" spans="1:42" ht="23.25" customHeight="1">
      <c r="A41" s="1284" t="s">
        <v>425</v>
      </c>
      <c r="B41" s="1284"/>
      <c r="C41" s="1284"/>
      <c r="D41" s="1284"/>
      <c r="E41" s="7689">
        <v>1</v>
      </c>
      <c r="F41" s="1284"/>
      <c r="G41" s="1284"/>
      <c r="H41" s="1284"/>
      <c r="I41" s="1284"/>
      <c r="J41" s="1284"/>
      <c r="K41" s="1284"/>
      <c r="L41" s="1285"/>
      <c r="M41" s="1286"/>
      <c r="N41" s="1286"/>
      <c r="O41" s="1286"/>
      <c r="P41" s="282"/>
      <c r="Q41" s="281"/>
      <c r="R41" s="276"/>
      <c r="S41" s="1408">
        <f>INDEX(PT_DIFFERENTIATION_NUM_NTAR,MATCH(A41,PT_DIFFERENTIATION_NTAR_ID,0))</f>
        <v>0</v>
      </c>
      <c r="T41" s="212" t="s">
        <v>237</v>
      </c>
      <c r="U41" s="214"/>
      <c r="V41" s="7675"/>
      <c r="W41" s="7676"/>
      <c r="X41" s="7676"/>
      <c r="Y41" s="7676"/>
      <c r="Z41" s="7676"/>
      <c r="AA41" s="7676"/>
      <c r="AB41" s="7677"/>
      <c r="AC41" s="7675" t="str">
        <f>INDEX(PT_DIFFERENTIATION_NTAR,MATCH(A41,PT_DIFFERENTIATION_NTAR_ID,0))</f>
        <v/>
      </c>
      <c r="AD41" s="7676"/>
      <c r="AE41" s="7676"/>
      <c r="AF41" s="7676"/>
      <c r="AG41" s="7676"/>
      <c r="AH41" s="7676"/>
      <c r="AI41" s="7676"/>
      <c r="AJ41" s="7677"/>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425</v>
      </c>
      <c r="B42" s="1284" t="s">
        <v>426</v>
      </c>
      <c r="C42" s="1284"/>
      <c r="D42" s="1284"/>
      <c r="E42" s="7690"/>
      <c r="F42" s="7689">
        <v>1</v>
      </c>
      <c r="G42" s="1284"/>
      <c r="H42" s="1284"/>
      <c r="I42" s="1284"/>
      <c r="J42" s="1284"/>
      <c r="K42" s="1284"/>
      <c r="L42" s="1285"/>
      <c r="M42" s="1286"/>
      <c r="N42" s="1286"/>
      <c r="O42" s="1286"/>
      <c r="P42" s="1402"/>
      <c r="Q42" s="273"/>
      <c r="R42" s="274"/>
      <c r="S42" s="1408" t="str">
        <f>INDEX(PT_DIFFERENTIATION_NUM_TER,MATCH(B42,PT_DIFFERENTIATION_TER_ID,0))</f>
        <v>.</v>
      </c>
      <c r="T42" s="224" t="s">
        <v>573</v>
      </c>
      <c r="U42" s="214"/>
      <c r="V42" s="7675"/>
      <c r="W42" s="7676"/>
      <c r="X42" s="7676"/>
      <c r="Y42" s="7676"/>
      <c r="Z42" s="7676"/>
      <c r="AA42" s="7676"/>
      <c r="AB42" s="7677"/>
      <c r="AC42" s="7675" t="str">
        <f>INDEX(PT_DIFFERENTIATION_TER,MATCH(B42,PT_DIFFERENTIATION_TER_ID,0))</f>
        <v/>
      </c>
      <c r="AD42" s="7676"/>
      <c r="AE42" s="7676"/>
      <c r="AF42" s="7676"/>
      <c r="AG42" s="7676"/>
      <c r="AH42" s="7676"/>
      <c r="AI42" s="7676"/>
      <c r="AJ42" s="7677"/>
      <c r="AK42" s="1182" t="s">
        <v>574</v>
      </c>
      <c r="AM42" s="424"/>
      <c r="AN42" s="424" t="str">
        <f t="shared" si="1"/>
        <v>Территория действия тарифа</v>
      </c>
      <c r="AO42" s="424"/>
      <c r="AP42" s="424"/>
    </row>
    <row r="43" spans="1:42" ht="23.25" customHeight="1">
      <c r="A43" s="1284" t="s">
        <v>425</v>
      </c>
      <c r="B43" s="1284" t="s">
        <v>426</v>
      </c>
      <c r="C43" s="1284" t="s">
        <v>427</v>
      </c>
      <c r="D43" s="1284"/>
      <c r="E43" s="7690"/>
      <c r="F43" s="7690"/>
      <c r="G43" s="7689">
        <v>1</v>
      </c>
      <c r="H43" s="1284"/>
      <c r="I43" s="1284"/>
      <c r="J43" s="1284"/>
      <c r="K43" s="1284"/>
      <c r="L43" s="1285"/>
      <c r="M43" s="1286"/>
      <c r="N43" s="1286"/>
      <c r="O43" s="1286"/>
      <c r="P43" s="275"/>
      <c r="Q43" s="273"/>
      <c r="R43" s="274"/>
      <c r="S43" s="1408" t="str">
        <f>INDEX(PT_DIFFERENTIATION_NUM_CS,MATCH(C43,PT_DIFFERENTIATION_CS_ID,0))</f>
        <v>..</v>
      </c>
      <c r="T43" s="225" t="s">
        <v>705</v>
      </c>
      <c r="U43" s="214"/>
      <c r="V43" s="7675"/>
      <c r="W43" s="7676"/>
      <c r="X43" s="7676"/>
      <c r="Y43" s="7676"/>
      <c r="Z43" s="7676"/>
      <c r="AA43" s="7676"/>
      <c r="AB43" s="7677"/>
      <c r="AC43" s="7675" t="str">
        <f>INDEX(PT_DIFFERENTIATION_CS,MATCH(C43,PT_DIFFERENTIATION_CS_ID,0))</f>
        <v/>
      </c>
      <c r="AD43" s="7676"/>
      <c r="AE43" s="7676"/>
      <c r="AF43" s="7676"/>
      <c r="AG43" s="7676"/>
      <c r="AH43" s="7676"/>
      <c r="AI43" s="7676"/>
      <c r="AJ43" s="7677"/>
      <c r="AK43" s="1182" t="s">
        <v>706</v>
      </c>
      <c r="AM43" s="424"/>
      <c r="AN43" s="424" t="str">
        <f t="shared" si="1"/>
        <v>Наименование централизованной системы горячего водоснабжения</v>
      </c>
      <c r="AO43" s="424"/>
      <c r="AP43" s="424"/>
    </row>
    <row r="44" spans="1:42" ht="23.25" customHeight="1">
      <c r="A44" s="1284" t="s">
        <v>425</v>
      </c>
      <c r="B44" s="1284" t="s">
        <v>426</v>
      </c>
      <c r="C44" s="1284" t="s">
        <v>427</v>
      </c>
      <c r="D44" s="1284" t="s">
        <v>712</v>
      </c>
      <c r="E44" s="7690"/>
      <c r="F44" s="7690"/>
      <c r="G44" s="7690"/>
      <c r="H44" s="7690"/>
      <c r="I44" s="7687" t="str">
        <f>S43&amp;".1"</f>
        <v>...1</v>
      </c>
      <c r="J44" s="1284"/>
      <c r="K44" s="1284"/>
      <c r="L44" s="1285"/>
      <c r="P44" s="7688">
        <v>1</v>
      </c>
      <c r="Q44" s="1396"/>
      <c r="R44" s="277"/>
      <c r="S44" s="1408" t="str">
        <f>$I44</f>
        <v>...1</v>
      </c>
      <c r="T44" s="200" t="s">
        <v>656</v>
      </c>
      <c r="U44" s="214"/>
      <c r="V44" s="7748"/>
      <c r="W44" s="7749"/>
      <c r="X44" s="7749"/>
      <c r="Y44" s="7749"/>
      <c r="Z44" s="7749"/>
      <c r="AA44" s="7749"/>
      <c r="AB44" s="7750"/>
      <c r="AC44" s="7751"/>
      <c r="AD44" s="7752"/>
      <c r="AE44" s="7752"/>
      <c r="AF44" s="7752"/>
      <c r="AG44" s="7752"/>
      <c r="AH44" s="7752"/>
      <c r="AI44" s="7752"/>
      <c r="AJ44" s="7753"/>
      <c r="AK44" s="1182" t="s">
        <v>657</v>
      </c>
      <c r="AM44" s="424"/>
      <c r="AN44" s="424" t="str">
        <f t="shared" si="1"/>
        <v>Наименование признака дифференциации</v>
      </c>
      <c r="AO44" s="424"/>
      <c r="AP44" s="424"/>
    </row>
    <row r="45" spans="1:42" ht="23.25" customHeight="1">
      <c r="A45" s="1284" t="s">
        <v>425</v>
      </c>
      <c r="B45" s="1284" t="s">
        <v>426</v>
      </c>
      <c r="C45" s="1284" t="s">
        <v>427</v>
      </c>
      <c r="D45" s="1284" t="s">
        <v>712</v>
      </c>
      <c r="E45" s="7690"/>
      <c r="F45" s="7690"/>
      <c r="G45" s="7690"/>
      <c r="H45" s="7690"/>
      <c r="I45" s="7710"/>
      <c r="J45" s="7687" t="str">
        <f>I44&amp;".1"</f>
        <v>...1.1</v>
      </c>
      <c r="K45" s="1284"/>
      <c r="L45" s="1285" t="s">
        <v>582</v>
      </c>
      <c r="P45" s="7688"/>
      <c r="Q45" s="7688">
        <v>1</v>
      </c>
      <c r="R45" s="278"/>
      <c r="S45" s="1408" t="str">
        <f>$J45</f>
        <v>...1.1</v>
      </c>
      <c r="T45" s="201" t="s">
        <v>583</v>
      </c>
      <c r="U45" s="214"/>
      <c r="V45" s="7678"/>
      <c r="W45" s="7679"/>
      <c r="X45" s="7679"/>
      <c r="Y45" s="7679"/>
      <c r="Z45" s="7679"/>
      <c r="AA45" s="7679"/>
      <c r="AB45" s="7680"/>
      <c r="AC45" s="7678"/>
      <c r="AD45" s="7679"/>
      <c r="AE45" s="7679"/>
      <c r="AF45" s="7679"/>
      <c r="AG45" s="7679"/>
      <c r="AH45" s="7679"/>
      <c r="AI45" s="7679"/>
      <c r="AJ45" s="7680"/>
      <c r="AK45" s="1231" t="s">
        <v>658</v>
      </c>
      <c r="AM45" s="424"/>
      <c r="AN45" s="424" t="str">
        <f t="shared" si="1"/>
        <v>Группа потребителей</v>
      </c>
      <c r="AO45" s="424"/>
      <c r="AP45" s="424"/>
    </row>
    <row r="46" spans="1:42" ht="23.25" customHeight="1">
      <c r="A46" s="1284" t="s">
        <v>425</v>
      </c>
      <c r="B46" s="1284" t="s">
        <v>426</v>
      </c>
      <c r="C46" s="1284" t="s">
        <v>427</v>
      </c>
      <c r="D46" s="1284" t="s">
        <v>712</v>
      </c>
      <c r="E46" s="7690"/>
      <c r="F46" s="7690"/>
      <c r="G46" s="7690"/>
      <c r="H46" s="7690"/>
      <c r="I46" s="7710"/>
      <c r="J46" s="7710"/>
      <c r="K46" s="7687" t="str">
        <f>J45&amp;".1"</f>
        <v>...1.1.1</v>
      </c>
      <c r="L46" s="1285"/>
      <c r="P46" s="7688"/>
      <c r="Q46" s="7688"/>
      <c r="R46" s="278">
        <v>1</v>
      </c>
      <c r="S46" s="1408" t="str">
        <f>$K46</f>
        <v>...1.1.1</v>
      </c>
      <c r="T46" s="1357"/>
      <c r="U46" s="214"/>
      <c r="V46" s="1281"/>
      <c r="W46" s="1281"/>
      <c r="X46" s="1282"/>
      <c r="Y46" s="7694"/>
      <c r="Z46" s="7695" t="s">
        <v>60</v>
      </c>
      <c r="AA46" s="7694"/>
      <c r="AB46" s="7695" t="s">
        <v>60</v>
      </c>
      <c r="AC46" s="666"/>
      <c r="AD46" s="666"/>
      <c r="AE46" s="1181"/>
      <c r="AF46" s="7692"/>
      <c r="AG46" s="7540" t="s">
        <v>60</v>
      </c>
      <c r="AH46" s="7711"/>
      <c r="AI46" s="7540" t="s">
        <v>55</v>
      </c>
      <c r="AJ46" s="1358"/>
      <c r="AK46" s="7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425</v>
      </c>
      <c r="B47" s="1284" t="s">
        <v>426</v>
      </c>
      <c r="C47" s="1284" t="s">
        <v>427</v>
      </c>
      <c r="D47" s="1284" t="s">
        <v>712</v>
      </c>
      <c r="E47" s="7690"/>
      <c r="F47" s="7690"/>
      <c r="G47" s="7690"/>
      <c r="H47" s="7690"/>
      <c r="I47" s="7710"/>
      <c r="J47" s="7710"/>
      <c r="K47" s="7687"/>
      <c r="L47" s="1285"/>
      <c r="P47" s="7688"/>
      <c r="Q47" s="7688"/>
      <c r="R47" s="278"/>
      <c r="S47" s="1405"/>
      <c r="T47" s="214"/>
      <c r="U47" s="214"/>
      <c r="V47" s="1281"/>
      <c r="W47" s="1281"/>
      <c r="X47" s="250" t="str">
        <f>Y46&amp;"-"&amp;AA46</f>
        <v>-</v>
      </c>
      <c r="Y47" s="7695"/>
      <c r="Z47" s="7695"/>
      <c r="AA47" s="7695"/>
      <c r="AB47" s="7695"/>
      <c r="AC47" s="246"/>
      <c r="AD47" s="246"/>
      <c r="AE47" s="250" t="str">
        <f>AF46&amp;"-"&amp;AH46</f>
        <v>-</v>
      </c>
      <c r="AF47" s="7693"/>
      <c r="AG47" s="7540"/>
      <c r="AH47" s="7712"/>
      <c r="AI47" s="7540"/>
      <c r="AJ47" s="1359"/>
      <c r="AK47" s="7747"/>
      <c r="AM47" s="424"/>
      <c r="AN47" s="424" t="str">
        <f t="shared" si="1"/>
        <v/>
      </c>
      <c r="AO47" s="424"/>
      <c r="AP47" s="424"/>
    </row>
    <row r="48" spans="1:42" ht="21" customHeight="1">
      <c r="A48" s="1284" t="s">
        <v>425</v>
      </c>
      <c r="B48" s="1284" t="s">
        <v>426</v>
      </c>
      <c r="C48" s="1284" t="s">
        <v>427</v>
      </c>
      <c r="D48" s="1284" t="s">
        <v>712</v>
      </c>
      <c r="E48" s="7690"/>
      <c r="F48" s="7690"/>
      <c r="G48" s="7690"/>
      <c r="H48" s="7690"/>
      <c r="I48" s="7710"/>
      <c r="J48" s="7687"/>
      <c r="K48" s="1284"/>
      <c r="L48" s="1285"/>
      <c r="P48" s="7688"/>
      <c r="Q48" s="7688"/>
      <c r="R48" s="277"/>
      <c r="S48" s="1203"/>
      <c r="T48" s="202" t="s">
        <v>659</v>
      </c>
      <c r="U48" s="291"/>
      <c r="V48" s="291"/>
      <c r="W48" s="291"/>
      <c r="X48" s="291"/>
      <c r="Y48" s="291"/>
      <c r="Z48" s="291"/>
      <c r="AA48" s="291"/>
      <c r="AB48" s="291"/>
      <c r="AC48" s="291"/>
      <c r="AD48" s="291"/>
      <c r="AE48" s="291"/>
      <c r="AF48" s="291"/>
      <c r="AG48" s="291"/>
      <c r="AH48" s="291"/>
      <c r="AI48" s="291"/>
      <c r="AJ48" s="291"/>
      <c r="AK48" s="1182" t="s">
        <v>660</v>
      </c>
      <c r="AM48" s="424"/>
      <c r="AN48" s="424" t="str">
        <f t="shared" si="1"/>
        <v>Добавить значение признака дифференциации</v>
      </c>
      <c r="AO48" s="424"/>
      <c r="AP48" s="424"/>
    </row>
    <row r="49" spans="1:42" ht="21" customHeight="1">
      <c r="A49" s="1284" t="s">
        <v>425</v>
      </c>
      <c r="B49" s="1284" t="s">
        <v>426</v>
      </c>
      <c r="C49" s="1284" t="s">
        <v>427</v>
      </c>
      <c r="D49" s="1284" t="s">
        <v>712</v>
      </c>
      <c r="E49" s="7690"/>
      <c r="F49" s="7690"/>
      <c r="G49" s="7690"/>
      <c r="H49" s="7690"/>
      <c r="I49" s="7687"/>
      <c r="J49" s="1284"/>
      <c r="K49" s="1284"/>
      <c r="L49" s="1285"/>
      <c r="P49" s="7688"/>
      <c r="Q49" s="1396"/>
      <c r="R49" s="277"/>
      <c r="S49" s="1203"/>
      <c r="T49" s="288" t="s">
        <v>588</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425</v>
      </c>
      <c r="B50" s="1284" t="s">
        <v>426</v>
      </c>
      <c r="C50" s="1284" t="s">
        <v>427</v>
      </c>
      <c r="D50" s="1284" t="s">
        <v>712</v>
      </c>
      <c r="E50" s="7690"/>
      <c r="F50" s="7690"/>
      <c r="G50" s="7690"/>
      <c r="H50" s="7689"/>
      <c r="I50" s="1284"/>
      <c r="J50" s="1284"/>
      <c r="K50" s="1284"/>
      <c r="L50" s="1285"/>
      <c r="M50" s="1286"/>
      <c r="N50" s="1286"/>
      <c r="O50" s="460"/>
      <c r="P50" s="281"/>
      <c r="Q50" s="299"/>
      <c r="R50" s="276"/>
      <c r="S50" s="1203"/>
      <c r="T50" s="296" t="s">
        <v>661</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425</v>
      </c>
      <c r="B51" s="1265" t="s">
        <v>426</v>
      </c>
      <c r="C51" s="1237"/>
      <c r="D51" s="1237"/>
      <c r="E51" s="7690"/>
      <c r="F51" s="7689"/>
      <c r="G51" s="1237"/>
      <c r="H51" s="1237"/>
      <c r="I51" s="1237"/>
      <c r="J51" s="1237"/>
      <c r="K51" s="1237"/>
      <c r="L51" s="1409"/>
      <c r="M51" s="1244"/>
      <c r="N51" s="1244"/>
      <c r="P51" s="1239"/>
      <c r="Q51" s="1240"/>
      <c r="R51" s="1239"/>
      <c r="S51" s="1245"/>
      <c r="T51" s="1248" t="s">
        <v>325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425</v>
      </c>
      <c r="B52" s="1265"/>
      <c r="C52" s="1265"/>
      <c r="D52" s="1265"/>
      <c r="E52" s="7689"/>
      <c r="F52" s="1265"/>
      <c r="G52" s="1265"/>
      <c r="H52" s="1265"/>
      <c r="I52" s="1265"/>
      <c r="J52" s="1265"/>
      <c r="K52" s="1265"/>
      <c r="L52" s="1268"/>
      <c r="M52" s="1244"/>
      <c r="N52" s="1244"/>
      <c r="O52" s="442"/>
      <c r="P52" s="308"/>
      <c r="Q52" s="1266"/>
      <c r="R52" s="308"/>
      <c r="S52" s="1245"/>
      <c r="T52" s="1248" t="s">
        <v>326</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402</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7709"/>
      <c r="U55" s="7709"/>
      <c r="V55" s="7709"/>
      <c r="W55" s="7709"/>
      <c r="X55" s="7709"/>
      <c r="Y55" s="7709"/>
      <c r="Z55" s="7709"/>
      <c r="AA55" s="7709"/>
      <c r="AB55" s="7709"/>
      <c r="AC55" s="7709"/>
      <c r="AD55" s="7709"/>
      <c r="AE55" s="7709"/>
      <c r="AF55" s="7709"/>
      <c r="AG55" s="7709"/>
      <c r="AH55" s="7709"/>
      <c r="AI55" s="7709"/>
      <c r="AJ55" s="7709"/>
      <c r="AK55" s="7709"/>
    </row>
    <row r="56" spans="1:42" ht="14.25" customHeight="1">
      <c r="O56" s="460"/>
    </row>
    <row r="57" spans="1:42" ht="14.25" customHeight="1">
      <c r="O57" s="460"/>
      <c r="S57" s="1169"/>
      <c r="T57" s="7709"/>
      <c r="U57" s="7709"/>
      <c r="V57" s="7709"/>
      <c r="W57" s="7709"/>
      <c r="X57" s="7709"/>
      <c r="Y57" s="7709"/>
      <c r="Z57" s="7709"/>
      <c r="AA57" s="7709"/>
      <c r="AB57" s="7709"/>
      <c r="AC57" s="7709"/>
      <c r="AD57" s="7709"/>
      <c r="AE57" s="7709"/>
      <c r="AF57" s="7709"/>
      <c r="AG57" s="7709"/>
      <c r="AH57" s="7709"/>
      <c r="AI57" s="7709"/>
      <c r="AJ57" s="7709"/>
      <c r="AK57" s="7709"/>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5"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20"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7689">
        <v>1</v>
      </c>
      <c r="F2" s="1284"/>
      <c r="G2" s="1284"/>
      <c r="H2" s="1284"/>
      <c r="I2" s="1284"/>
      <c r="J2" s="1284"/>
      <c r="K2" s="1284"/>
      <c r="L2" s="1285"/>
      <c r="M2" s="1286"/>
      <c r="N2" s="1286"/>
      <c r="O2" s="1286"/>
      <c r="P2" s="1330"/>
      <c r="Q2" s="787"/>
      <c r="R2" s="276"/>
      <c r="S2" s="1408" t="e">
        <f>INDEX(PT_DIFFERENTIATION_NUM_NTAR,MATCH(A2,PT_DIFFERENTIATION_NTAR_ID,0))</f>
        <v>#N/A</v>
      </c>
      <c r="T2" s="212" t="s">
        <v>237</v>
      </c>
      <c r="U2" s="214"/>
      <c r="V2" s="7676"/>
      <c r="W2" s="7676"/>
      <c r="X2" s="7676"/>
      <c r="Y2" s="7676"/>
      <c r="Z2" s="7676"/>
      <c r="AA2" s="7676"/>
      <c r="AB2" s="7676"/>
      <c r="AC2" s="7677"/>
      <c r="AD2" s="7675" t="e">
        <f>INDEX(PT_DIFFERENTIATION_NTAR,MATCH(A2,PT_DIFFERENTIATION_NTAR_ID,0))</f>
        <v>#N/A</v>
      </c>
      <c r="AE2" s="7676"/>
      <c r="AF2" s="7676"/>
      <c r="AG2" s="7676"/>
      <c r="AH2" s="7676"/>
      <c r="AI2" s="7676"/>
      <c r="AJ2" s="7676"/>
      <c r="AK2" s="7676"/>
      <c r="AL2" s="7676"/>
      <c r="AM2" s="7676"/>
      <c r="AN2" s="7676"/>
      <c r="AO2" s="7676"/>
      <c r="AP2" s="7676"/>
      <c r="AQ2" s="7676"/>
      <c r="AR2" s="7676"/>
      <c r="AS2" s="7676"/>
      <c r="AT2" s="7676"/>
      <c r="AU2" s="7676"/>
      <c r="AV2" s="7676"/>
      <c r="AW2" s="7676"/>
      <c r="AX2" s="7676"/>
      <c r="AY2" s="7676"/>
      <c r="AZ2" s="7676"/>
      <c r="BA2" s="7676"/>
      <c r="BB2" s="7677"/>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7690"/>
      <c r="F3" s="7689">
        <v>1</v>
      </c>
      <c r="G3" s="1284"/>
      <c r="H3" s="1284"/>
      <c r="I3" s="1284"/>
      <c r="J3" s="1284"/>
      <c r="K3" s="1284"/>
      <c r="L3" s="1285"/>
      <c r="M3" s="1286"/>
      <c r="N3" s="1286"/>
      <c r="O3" s="1286"/>
      <c r="P3" s="1331"/>
      <c r="Q3" s="1332"/>
      <c r="R3" s="274"/>
      <c r="S3" s="1408" t="e">
        <f>INDEX(PT_DIFFERENTIATION_NUM_TER,MATCH(B3,PT_DIFFERENTIATION_TER_ID,0))</f>
        <v>#N/A</v>
      </c>
      <c r="T3" s="224" t="s">
        <v>573</v>
      </c>
      <c r="U3" s="214"/>
      <c r="V3" s="7676"/>
      <c r="W3" s="7676"/>
      <c r="X3" s="7676"/>
      <c r="Y3" s="7676"/>
      <c r="Z3" s="7676"/>
      <c r="AA3" s="7676"/>
      <c r="AB3" s="7676"/>
      <c r="AC3" s="7677"/>
      <c r="AD3" s="7675" t="e">
        <f>INDEX(PT_DIFFERENTIATION_TER,MATCH(B3,PT_DIFFERENTIATION_TER_ID,0))</f>
        <v>#N/A</v>
      </c>
      <c r="AE3" s="7676"/>
      <c r="AF3" s="7676"/>
      <c r="AG3" s="7676"/>
      <c r="AH3" s="7676"/>
      <c r="AI3" s="7676"/>
      <c r="AJ3" s="7676"/>
      <c r="AK3" s="7676"/>
      <c r="AL3" s="7676"/>
      <c r="AM3" s="7676"/>
      <c r="AN3" s="7676"/>
      <c r="AO3" s="7676"/>
      <c r="AP3" s="7676"/>
      <c r="AQ3" s="7676"/>
      <c r="AR3" s="7676"/>
      <c r="AS3" s="7676"/>
      <c r="AT3" s="7676"/>
      <c r="AU3" s="7676"/>
      <c r="AV3" s="7676"/>
      <c r="AW3" s="7676"/>
      <c r="AX3" s="7676"/>
      <c r="AY3" s="7676"/>
      <c r="AZ3" s="7676"/>
      <c r="BA3" s="7676"/>
      <c r="BB3" s="7677"/>
      <c r="BC3" s="1182" t="s">
        <v>574</v>
      </c>
      <c r="BE3" s="424"/>
      <c r="BF3" s="424" t="str">
        <f t="shared" si="0"/>
        <v>Территория действия тарифа</v>
      </c>
      <c r="BG3" s="424"/>
      <c r="BH3" s="424"/>
    </row>
    <row r="4" spans="1:60" ht="33.75" hidden="1" customHeight="1">
      <c r="A4" s="1284"/>
      <c r="B4" s="1284"/>
      <c r="C4" s="1284"/>
      <c r="D4" s="1284"/>
      <c r="E4" s="7690"/>
      <c r="F4" s="7690"/>
      <c r="G4" s="7689">
        <v>1</v>
      </c>
      <c r="H4" s="1284"/>
      <c r="I4" s="1284"/>
      <c r="J4" s="1284"/>
      <c r="K4" s="1284"/>
      <c r="L4" s="1285"/>
      <c r="M4" s="1286"/>
      <c r="N4" s="1286"/>
      <c r="O4" s="1286"/>
      <c r="P4" s="1333"/>
      <c r="Q4" s="1332"/>
      <c r="R4" s="274"/>
      <c r="S4" s="1408" t="e">
        <f>INDEX(PT_DIFFERENTIATION_NUM_CS,MATCH(C4,PT_DIFFERENTIATION_CS_ID,0))</f>
        <v>#N/A</v>
      </c>
      <c r="T4" s="225" t="s">
        <v>705</v>
      </c>
      <c r="U4" s="214"/>
      <c r="V4" s="7676"/>
      <c r="W4" s="7676"/>
      <c r="X4" s="7676"/>
      <c r="Y4" s="7676"/>
      <c r="Z4" s="7676"/>
      <c r="AA4" s="7676"/>
      <c r="AB4" s="7676"/>
      <c r="AC4" s="7677"/>
      <c r="AD4" s="7675" t="e">
        <f>INDEX(PT_DIFFERENTIATION_CS,MATCH(C4,PT_DIFFERENTIATION_CS_ID,0))</f>
        <v>#N/A</v>
      </c>
      <c r="AE4" s="7676"/>
      <c r="AF4" s="7676"/>
      <c r="AG4" s="7676"/>
      <c r="AH4" s="7676"/>
      <c r="AI4" s="7676"/>
      <c r="AJ4" s="7676"/>
      <c r="AK4" s="7676"/>
      <c r="AL4" s="7676"/>
      <c r="AM4" s="7676"/>
      <c r="AN4" s="7676"/>
      <c r="AO4" s="7676"/>
      <c r="AP4" s="7676"/>
      <c r="AQ4" s="7676"/>
      <c r="AR4" s="7676"/>
      <c r="AS4" s="7676"/>
      <c r="AT4" s="7676"/>
      <c r="AU4" s="7676"/>
      <c r="AV4" s="7676"/>
      <c r="AW4" s="7676"/>
      <c r="AX4" s="7676"/>
      <c r="AY4" s="7676"/>
      <c r="AZ4" s="7676"/>
      <c r="BA4" s="7676"/>
      <c r="BB4" s="7677"/>
      <c r="BC4" s="1182" t="s">
        <v>706</v>
      </c>
      <c r="BE4" s="424"/>
      <c r="BF4" s="424" t="str">
        <f t="shared" si="0"/>
        <v>Наименование централизованной системы горячего водоснабжения</v>
      </c>
      <c r="BG4" s="424"/>
      <c r="BH4" s="424"/>
    </row>
    <row r="5" spans="1:60" s="1562" customFormat="1" ht="14.25" hidden="1" customHeight="1">
      <c r="A5" s="1265"/>
      <c r="B5" s="1265"/>
      <c r="C5" s="1265"/>
      <c r="D5" s="1265"/>
      <c r="E5" s="7690"/>
      <c r="F5" s="7690"/>
      <c r="G5" s="7690"/>
      <c r="H5" s="7689">
        <v>1</v>
      </c>
      <c r="I5" s="1265"/>
      <c r="J5" s="1265"/>
      <c r="K5" s="1265"/>
      <c r="L5" s="1268"/>
      <c r="M5" s="1238"/>
      <c r="N5" s="1238"/>
      <c r="O5" s="1238"/>
      <c r="P5" s="1412"/>
      <c r="Q5" s="1413"/>
      <c r="R5" s="278"/>
      <c r="S5" s="953"/>
      <c r="T5" s="1414"/>
      <c r="U5" s="1305"/>
      <c r="V5" s="7717"/>
      <c r="W5" s="7717"/>
      <c r="X5" s="7717"/>
      <c r="Y5" s="7717"/>
      <c r="Z5" s="7717"/>
      <c r="AA5" s="7717"/>
      <c r="AB5" s="7717"/>
      <c r="AC5" s="7718"/>
      <c r="AD5" s="7716"/>
      <c r="AE5" s="7717"/>
      <c r="AF5" s="7717"/>
      <c r="AG5" s="7717"/>
      <c r="AH5" s="7717"/>
      <c r="AI5" s="7717"/>
      <c r="AJ5" s="7717"/>
      <c r="AK5" s="7717"/>
      <c r="AL5" s="7717"/>
      <c r="AM5" s="7717"/>
      <c r="AN5" s="7717"/>
      <c r="AO5" s="7717"/>
      <c r="AP5" s="7717"/>
      <c r="AQ5" s="7717"/>
      <c r="AR5" s="7717"/>
      <c r="AS5" s="7717"/>
      <c r="AT5" s="7717"/>
      <c r="AU5" s="7717"/>
      <c r="AV5" s="7717"/>
      <c r="AW5" s="7717"/>
      <c r="AX5" s="7717"/>
      <c r="AY5" s="7717"/>
      <c r="AZ5" s="7717"/>
      <c r="BA5" s="7717"/>
      <c r="BB5" s="7718"/>
      <c r="BC5" s="1306" t="s">
        <v>578</v>
      </c>
      <c r="BE5" s="424"/>
      <c r="BF5" s="424" t="str">
        <f t="shared" si="0"/>
        <v/>
      </c>
      <c r="BG5" s="424"/>
      <c r="BH5" s="424"/>
    </row>
    <row r="6" spans="1:60" s="1562" customFormat="1" ht="14.25" hidden="1" customHeight="1">
      <c r="A6" s="1265"/>
      <c r="B6" s="1265"/>
      <c r="C6" s="1265"/>
      <c r="D6" s="1265"/>
      <c r="E6" s="7690"/>
      <c r="F6" s="7690"/>
      <c r="G6" s="7690"/>
      <c r="H6" s="7690"/>
      <c r="I6" s="7687" t="str">
        <f>S5&amp;".1"</f>
        <v>.1</v>
      </c>
      <c r="J6" s="1265"/>
      <c r="K6" s="1265"/>
      <c r="L6" s="1268" t="s">
        <v>579</v>
      </c>
      <c r="M6" s="434"/>
      <c r="N6" s="434"/>
      <c r="O6" s="434"/>
      <c r="P6" s="7688">
        <v>1</v>
      </c>
      <c r="Q6" s="1396"/>
      <c r="R6" s="277"/>
      <c r="S6" s="953"/>
      <c r="T6" s="1304"/>
      <c r="U6" s="1305"/>
      <c r="V6" s="7717"/>
      <c r="W6" s="7717"/>
      <c r="X6" s="7717"/>
      <c r="Y6" s="7717"/>
      <c r="Z6" s="7717"/>
      <c r="AA6" s="7717"/>
      <c r="AB6" s="7717"/>
      <c r="AC6" s="7718"/>
      <c r="AD6" s="7716"/>
      <c r="AE6" s="7717"/>
      <c r="AF6" s="7717"/>
      <c r="AG6" s="7717"/>
      <c r="AH6" s="7717"/>
      <c r="AI6" s="7717"/>
      <c r="AJ6" s="7717"/>
      <c r="AK6" s="7717"/>
      <c r="AL6" s="7717"/>
      <c r="AM6" s="7717"/>
      <c r="AN6" s="7717"/>
      <c r="AO6" s="7717"/>
      <c r="AP6" s="7717"/>
      <c r="AQ6" s="7717"/>
      <c r="AR6" s="7717"/>
      <c r="AS6" s="7717"/>
      <c r="AT6" s="7717"/>
      <c r="AU6" s="7717"/>
      <c r="AV6" s="7717"/>
      <c r="AW6" s="7717"/>
      <c r="AX6" s="7717"/>
      <c r="AY6" s="7717"/>
      <c r="AZ6" s="7717"/>
      <c r="BA6" s="7717"/>
      <c r="BB6" s="7718"/>
      <c r="BC6" s="1306"/>
      <c r="BE6" s="424"/>
      <c r="BF6" s="424" t="str">
        <f t="shared" si="0"/>
        <v/>
      </c>
      <c r="BG6" s="424"/>
      <c r="BH6" s="424"/>
    </row>
    <row r="7" spans="1:60" s="1562" customFormat="1" ht="14.25" hidden="1" customHeight="1">
      <c r="A7" s="1265"/>
      <c r="B7" s="1265"/>
      <c r="C7" s="1265"/>
      <c r="D7" s="1265"/>
      <c r="E7" s="7690"/>
      <c r="F7" s="7690"/>
      <c r="G7" s="7690"/>
      <c r="H7" s="7690"/>
      <c r="I7" s="7710"/>
      <c r="J7" s="7687" t="str">
        <f>S5&amp;".1"</f>
        <v>.1</v>
      </c>
      <c r="K7" s="1265"/>
      <c r="L7" s="1268"/>
      <c r="M7" s="434"/>
      <c r="N7" s="434"/>
      <c r="O7" s="434"/>
      <c r="P7" s="7688"/>
      <c r="Q7" s="7688">
        <v>1</v>
      </c>
      <c r="R7" s="278"/>
      <c r="S7" s="953"/>
      <c r="T7" s="1320"/>
      <c r="U7" s="1305"/>
      <c r="V7" s="7717"/>
      <c r="W7" s="7717"/>
      <c r="X7" s="7717"/>
      <c r="Y7" s="7717"/>
      <c r="Z7" s="7717"/>
      <c r="AA7" s="7717"/>
      <c r="AB7" s="7717"/>
      <c r="AC7" s="7718"/>
      <c r="AD7" s="7716"/>
      <c r="AE7" s="7717"/>
      <c r="AF7" s="7717"/>
      <c r="AG7" s="7717"/>
      <c r="AH7" s="7717"/>
      <c r="AI7" s="7717"/>
      <c r="AJ7" s="7717"/>
      <c r="AK7" s="7717"/>
      <c r="AL7" s="7717"/>
      <c r="AM7" s="7717"/>
      <c r="AN7" s="7717"/>
      <c r="AO7" s="7717"/>
      <c r="AP7" s="7717"/>
      <c r="AQ7" s="7717"/>
      <c r="AR7" s="7717"/>
      <c r="AS7" s="7717"/>
      <c r="AT7" s="7717"/>
      <c r="AU7" s="7717"/>
      <c r="AV7" s="7717"/>
      <c r="AW7" s="7717"/>
      <c r="AX7" s="7717"/>
      <c r="AY7" s="7717"/>
      <c r="AZ7" s="7717"/>
      <c r="BA7" s="7717"/>
      <c r="BB7" s="7718"/>
      <c r="BC7" s="1306"/>
      <c r="BE7" s="424"/>
      <c r="BF7" s="424" t="str">
        <f t="shared" si="0"/>
        <v/>
      </c>
      <c r="BG7" s="424"/>
      <c r="BH7" s="424"/>
    </row>
    <row r="8" spans="1:60" ht="11.25" hidden="1" customHeight="1">
      <c r="A8" s="1284"/>
      <c r="B8" s="1284"/>
      <c r="C8" s="1284"/>
      <c r="D8" s="1284"/>
      <c r="E8" s="7690"/>
      <c r="F8" s="7690"/>
      <c r="G8" s="7690"/>
      <c r="H8" s="7690"/>
      <c r="I8" s="7710"/>
      <c r="J8" s="7710"/>
      <c r="K8" s="7687" t="e">
        <f>S4&amp;".1"</f>
        <v>#N/A</v>
      </c>
      <c r="L8" s="1285"/>
      <c r="P8" s="7688"/>
      <c r="Q8" s="7688"/>
      <c r="R8" s="7745">
        <v>1</v>
      </c>
      <c r="S8" s="7739" t="e">
        <f>$K8</f>
        <v>#N/A</v>
      </c>
      <c r="T8" s="7758"/>
      <c r="U8" s="214"/>
      <c r="V8" s="666"/>
      <c r="W8" s="1181"/>
      <c r="X8" s="666"/>
      <c r="Y8" s="1181"/>
      <c r="Z8" s="1653"/>
      <c r="AA8" s="1385" t="s">
        <v>60</v>
      </c>
      <c r="AB8" s="1653"/>
      <c r="AC8" s="1385" t="s">
        <v>60</v>
      </c>
      <c r="AD8" s="7614" t="s">
        <v>60</v>
      </c>
      <c r="AE8" s="7725"/>
      <c r="AF8" s="7644">
        <v>1</v>
      </c>
      <c r="AG8" s="7762"/>
      <c r="AH8" s="7540" t="s">
        <v>60</v>
      </c>
      <c r="AI8" s="7725"/>
      <c r="AJ8" s="7644">
        <v>1</v>
      </c>
      <c r="AK8" s="7761" t="s">
        <v>24</v>
      </c>
      <c r="AL8" s="7540" t="s">
        <v>60</v>
      </c>
      <c r="AM8" s="7634"/>
      <c r="AN8" s="7644">
        <v>1</v>
      </c>
      <c r="AO8" s="7755"/>
      <c r="AP8" s="7756" t="s">
        <v>60</v>
      </c>
      <c r="AQ8" s="227"/>
      <c r="AR8" s="1401">
        <v>1</v>
      </c>
      <c r="AS8" s="1407" t="s">
        <v>24</v>
      </c>
      <c r="AT8" s="666"/>
      <c r="AU8" s="1181"/>
      <c r="AV8" s="666"/>
      <c r="AW8" s="1181"/>
      <c r="AX8" s="1653"/>
      <c r="AY8" s="1385" t="s">
        <v>60</v>
      </c>
      <c r="AZ8" s="1653"/>
      <c r="BA8" s="1385" t="s">
        <v>60</v>
      </c>
      <c r="BB8" s="1270"/>
      <c r="BC8" s="7684" t="s">
        <v>676</v>
      </c>
      <c r="BE8" s="424"/>
      <c r="BF8" s="424" t="str">
        <f t="shared" si="0"/>
        <v/>
      </c>
      <c r="BG8" s="424"/>
      <c r="BH8" s="424"/>
    </row>
    <row r="9" spans="1:60" ht="11.25" hidden="1" customHeight="1">
      <c r="A9" s="1284"/>
      <c r="B9" s="1284"/>
      <c r="C9" s="1284"/>
      <c r="D9" s="1284"/>
      <c r="E9" s="7690"/>
      <c r="F9" s="7690"/>
      <c r="G9" s="7690"/>
      <c r="H9" s="7690"/>
      <c r="I9" s="7710"/>
      <c r="J9" s="7710"/>
      <c r="K9" s="7687"/>
      <c r="L9" s="1285"/>
      <c r="P9" s="7688"/>
      <c r="Q9" s="7688"/>
      <c r="R9" s="7745"/>
      <c r="S9" s="7740"/>
      <c r="T9" s="7759"/>
      <c r="U9" s="214"/>
      <c r="V9" s="1314"/>
      <c r="W9" s="1411"/>
      <c r="X9" s="1314"/>
      <c r="Y9" s="1411"/>
      <c r="Z9" s="1314"/>
      <c r="AA9" s="1314"/>
      <c r="AB9" s="1314"/>
      <c r="AC9" s="1314"/>
      <c r="AD9" s="7615"/>
      <c r="AE9" s="7725"/>
      <c r="AF9" s="7644"/>
      <c r="AG9" s="7762"/>
      <c r="AH9" s="7540"/>
      <c r="AI9" s="7725"/>
      <c r="AJ9" s="7644"/>
      <c r="AK9" s="7761"/>
      <c r="AL9" s="7540"/>
      <c r="AM9" s="7639"/>
      <c r="AN9" s="7644"/>
      <c r="AO9" s="7755"/>
      <c r="AP9" s="7757"/>
      <c r="AQ9" s="234"/>
      <c r="AR9" s="345"/>
      <c r="AS9" s="345" t="s">
        <v>677</v>
      </c>
      <c r="AT9" s="1314"/>
      <c r="AU9" s="1411"/>
      <c r="AV9" s="1314"/>
      <c r="AW9" s="1411"/>
      <c r="AX9" s="1314"/>
      <c r="AY9" s="1314"/>
      <c r="AZ9" s="1314"/>
      <c r="BA9" s="1314"/>
      <c r="BB9" s="1318"/>
      <c r="BC9" s="7685"/>
      <c r="BE9" s="424"/>
      <c r="BF9" s="424"/>
      <c r="BG9" s="424"/>
      <c r="BH9" s="424"/>
    </row>
    <row r="10" spans="1:60" ht="11.25" hidden="1" customHeight="1">
      <c r="A10" s="1284"/>
      <c r="B10" s="1284"/>
      <c r="C10" s="1284"/>
      <c r="D10" s="1284"/>
      <c r="E10" s="7690"/>
      <c r="F10" s="7690"/>
      <c r="G10" s="7690"/>
      <c r="H10" s="7690"/>
      <c r="I10" s="7710"/>
      <c r="J10" s="7710"/>
      <c r="K10" s="7687"/>
      <c r="L10" s="1285"/>
      <c r="P10" s="7688"/>
      <c r="Q10" s="7688"/>
      <c r="R10" s="7745"/>
      <c r="S10" s="7740"/>
      <c r="T10" s="7759"/>
      <c r="U10" s="214"/>
      <c r="V10" s="1314"/>
      <c r="W10" s="1411"/>
      <c r="X10" s="1314"/>
      <c r="Y10" s="1411"/>
      <c r="Z10" s="1314"/>
      <c r="AA10" s="1314"/>
      <c r="AB10" s="1314"/>
      <c r="AC10" s="1314"/>
      <c r="AD10" s="7615"/>
      <c r="AE10" s="7725"/>
      <c r="AF10" s="7644"/>
      <c r="AG10" s="7762"/>
      <c r="AH10" s="7540"/>
      <c r="AI10" s="7725"/>
      <c r="AJ10" s="7644"/>
      <c r="AK10" s="7761"/>
      <c r="AL10" s="7540"/>
      <c r="AM10" s="234"/>
      <c r="AN10" s="1415"/>
      <c r="AO10" s="1415" t="s">
        <v>678</v>
      </c>
      <c r="AP10" s="345"/>
      <c r="AQ10" s="345"/>
      <c r="AR10" s="345"/>
      <c r="AS10" s="1314"/>
      <c r="AT10" s="1314"/>
      <c r="AU10" s="1411"/>
      <c r="AV10" s="1314"/>
      <c r="AW10" s="1411"/>
      <c r="AX10" s="1314"/>
      <c r="AY10" s="1314"/>
      <c r="AZ10" s="1314"/>
      <c r="BA10" s="1314"/>
      <c r="BB10" s="1318"/>
      <c r="BC10" s="7685"/>
      <c r="BE10" s="424"/>
      <c r="BF10" s="424"/>
      <c r="BG10" s="424"/>
      <c r="BH10" s="424"/>
    </row>
    <row r="11" spans="1:60" ht="11.25" hidden="1" customHeight="1">
      <c r="A11" s="1284"/>
      <c r="B11" s="1284"/>
      <c r="C11" s="1284"/>
      <c r="D11" s="1284"/>
      <c r="E11" s="7690"/>
      <c r="F11" s="7690"/>
      <c r="G11" s="7690"/>
      <c r="H11" s="7690"/>
      <c r="I11" s="7710"/>
      <c r="J11" s="7710"/>
      <c r="K11" s="7687"/>
      <c r="L11" s="1285"/>
      <c r="P11" s="7688"/>
      <c r="Q11" s="7688"/>
      <c r="R11" s="7745"/>
      <c r="S11" s="7740"/>
      <c r="T11" s="7759"/>
      <c r="U11" s="214"/>
      <c r="V11" s="1314"/>
      <c r="W11" s="1411"/>
      <c r="X11" s="1314"/>
      <c r="Y11" s="1411"/>
      <c r="Z11" s="1314"/>
      <c r="AA11" s="1314"/>
      <c r="AB11" s="1314"/>
      <c r="AC11" s="1314"/>
      <c r="AD11" s="7615"/>
      <c r="AE11" s="7725"/>
      <c r="AF11" s="7644"/>
      <c r="AG11" s="7762"/>
      <c r="AH11" s="7540"/>
      <c r="AI11" s="208"/>
      <c r="AJ11" s="344"/>
      <c r="AK11" s="229" t="s">
        <v>679</v>
      </c>
      <c r="AL11" s="1314"/>
      <c r="AM11" s="1314"/>
      <c r="AN11" s="1314"/>
      <c r="AO11" s="1314"/>
      <c r="AP11" s="1314"/>
      <c r="AQ11" s="1314"/>
      <c r="AR11" s="1314"/>
      <c r="AS11" s="1314"/>
      <c r="AT11" s="1314"/>
      <c r="AU11" s="1411"/>
      <c r="AV11" s="1314"/>
      <c r="AW11" s="1411"/>
      <c r="AX11" s="1314"/>
      <c r="AY11" s="1314"/>
      <c r="AZ11" s="1314"/>
      <c r="BA11" s="1314"/>
      <c r="BB11" s="1318"/>
      <c r="BC11" s="7685"/>
      <c r="BE11" s="424"/>
      <c r="BF11" s="424"/>
      <c r="BG11" s="424"/>
      <c r="BH11" s="424"/>
    </row>
    <row r="12" spans="1:60" ht="11.25" hidden="1" customHeight="1">
      <c r="A12" s="1284"/>
      <c r="B12" s="1284"/>
      <c r="C12" s="1284"/>
      <c r="D12" s="1284"/>
      <c r="E12" s="7690"/>
      <c r="F12" s="7690"/>
      <c r="G12" s="7690"/>
      <c r="H12" s="7690"/>
      <c r="I12" s="7710"/>
      <c r="J12" s="7710"/>
      <c r="K12" s="7687"/>
      <c r="L12" s="1285"/>
      <c r="P12" s="7688"/>
      <c r="Q12" s="7688"/>
      <c r="R12" s="7745"/>
      <c r="S12" s="7741"/>
      <c r="T12" s="7760"/>
      <c r="U12" s="214"/>
      <c r="V12" s="1314"/>
      <c r="W12" s="1315" t="str">
        <f>Z8&amp;"-"&amp;AB8</f>
        <v>-</v>
      </c>
      <c r="X12" s="1314"/>
      <c r="Y12" s="1315" t="str">
        <f>AB8&amp;"-"&amp;AD8</f>
        <v>-да</v>
      </c>
      <c r="Z12" s="1314"/>
      <c r="AA12" s="1314"/>
      <c r="AB12" s="1314"/>
      <c r="AC12" s="1314"/>
      <c r="AD12" s="7545"/>
      <c r="AE12" s="228"/>
      <c r="AF12" s="230"/>
      <c r="AG12" s="345" t="s">
        <v>680</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7685"/>
      <c r="BE12" s="424"/>
      <c r="BF12" s="424" t="str">
        <f t="shared" ref="BF12:BF18" si="1">IF(T12="","",T12)</f>
        <v/>
      </c>
      <c r="BG12" s="424"/>
      <c r="BH12" s="424"/>
    </row>
    <row r="13" spans="1:60" ht="11.25" hidden="1" customHeight="1">
      <c r="A13" s="1284"/>
      <c r="B13" s="1284"/>
      <c r="C13" s="1284"/>
      <c r="D13" s="1284"/>
      <c r="E13" s="7690"/>
      <c r="F13" s="7690"/>
      <c r="G13" s="7690"/>
      <c r="H13" s="7690"/>
      <c r="I13" s="7710"/>
      <c r="J13" s="7687"/>
      <c r="K13" s="1284"/>
      <c r="L13" s="1285"/>
      <c r="P13" s="7688"/>
      <c r="Q13" s="7688"/>
      <c r="R13" s="277"/>
      <c r="S13" s="1203"/>
      <c r="T13" s="202" t="s">
        <v>640</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7686"/>
      <c r="BE13" s="424"/>
      <c r="BF13" s="424" t="str">
        <f t="shared" si="1"/>
        <v>Добавить строку</v>
      </c>
      <c r="BG13" s="424"/>
      <c r="BH13" s="424"/>
    </row>
    <row r="14" spans="1:60" s="1562" customFormat="1" ht="14.25" hidden="1" customHeight="1">
      <c r="A14" s="1265"/>
      <c r="B14" s="1265"/>
      <c r="C14" s="1265"/>
      <c r="D14" s="1265"/>
      <c r="E14" s="7690"/>
      <c r="F14" s="7690"/>
      <c r="G14" s="7690"/>
      <c r="H14" s="7690"/>
      <c r="I14" s="7687"/>
      <c r="J14" s="1265"/>
      <c r="K14" s="1265"/>
      <c r="L14" s="1268"/>
      <c r="M14" s="434"/>
      <c r="N14" s="434"/>
      <c r="O14" s="434"/>
      <c r="P14" s="7688"/>
      <c r="Q14" s="1396"/>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7690"/>
      <c r="F15" s="7690"/>
      <c r="G15" s="7690"/>
      <c r="H15" s="7689"/>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7690"/>
      <c r="F16" s="7690"/>
      <c r="G16" s="7689"/>
      <c r="H16" s="1237"/>
      <c r="I16" s="1237"/>
      <c r="J16" s="1237"/>
      <c r="K16" s="1237"/>
      <c r="L16" s="1409"/>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7690"/>
      <c r="F17" s="7689"/>
      <c r="G17" s="1237"/>
      <c r="H17" s="1237"/>
      <c r="I17" s="1237"/>
      <c r="J17" s="1237"/>
      <c r="K17" s="1237"/>
      <c r="L17" s="1409"/>
      <c r="M17" s="1244"/>
      <c r="N17" s="1244"/>
      <c r="P17" s="1239"/>
      <c r="Q17" s="1240"/>
      <c r="R17" s="1239"/>
      <c r="S17" s="1245"/>
      <c r="T17" s="1248" t="s">
        <v>325</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7689"/>
      <c r="F18" s="1265"/>
      <c r="G18" s="1265"/>
      <c r="H18" s="1265"/>
      <c r="I18" s="1265"/>
      <c r="J18" s="1265"/>
      <c r="K18" s="1265"/>
      <c r="L18" s="1268"/>
      <c r="M18" s="1244"/>
      <c r="N18" s="1244"/>
      <c r="O18" s="442"/>
      <c r="P18" s="308"/>
      <c r="Q18" s="1266"/>
      <c r="R18" s="308"/>
      <c r="S18" s="1245"/>
      <c r="T18" s="1248" t="s">
        <v>326</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55</v>
      </c>
      <c r="AE20" s="1416"/>
      <c r="AF20" s="471">
        <v>1</v>
      </c>
      <c r="AG20" s="1417"/>
      <c r="AH20" s="1247" t="s">
        <v>55</v>
      </c>
      <c r="AI20" s="1416"/>
      <c r="AJ20" s="471">
        <v>1</v>
      </c>
      <c r="AK20" s="1417"/>
      <c r="AL20" s="1247" t="s">
        <v>55</v>
      </c>
      <c r="AM20" s="1418"/>
      <c r="AN20" s="471">
        <v>1</v>
      </c>
      <c r="AO20" s="1419"/>
      <c r="AP20" s="1247" t="s">
        <v>55</v>
      </c>
      <c r="AQ20" s="1418"/>
      <c r="AR20" s="471">
        <v>1</v>
      </c>
      <c r="AS20" s="1419"/>
      <c r="AT20" s="246"/>
      <c r="AU20" s="313"/>
      <c r="AV20" s="246"/>
      <c r="AW20" s="313"/>
      <c r="AX20" s="1655"/>
      <c r="AY20" s="1400" t="s">
        <v>60</v>
      </c>
      <c r="AZ20" s="1655"/>
      <c r="BA20" s="1400" t="s">
        <v>60</v>
      </c>
    </row>
    <row r="21" spans="1:60" ht="14.25" hidden="1" customHeight="1">
      <c r="BD21" s="420"/>
      <c r="BE21" s="420"/>
      <c r="BF21" s="420"/>
      <c r="BG21" s="420"/>
      <c r="BH21" s="420"/>
    </row>
    <row r="22" spans="1:60" ht="14.25" hidden="1" customHeight="1">
      <c r="O22" s="1288" t="s">
        <v>591</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592</v>
      </c>
      <c r="P24" s="1423"/>
      <c r="Q24" s="1425"/>
      <c r="R24" s="1425"/>
      <c r="AA24" s="1422" t="s">
        <v>594</v>
      </c>
      <c r="AC24" s="1422" t="s">
        <v>595</v>
      </c>
      <c r="AD24" s="1422" t="s">
        <v>641</v>
      </c>
      <c r="AH24" s="1422" t="s">
        <v>641</v>
      </c>
      <c r="AK24" s="1422" t="s">
        <v>681</v>
      </c>
      <c r="AL24" s="1422" t="s">
        <v>641</v>
      </c>
      <c r="AP24" s="1422" t="s">
        <v>641</v>
      </c>
      <c r="AY24" s="1422" t="s">
        <v>594</v>
      </c>
      <c r="BA24" s="1422" t="s">
        <v>595</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767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7673"/>
      <c r="U28" s="7673"/>
      <c r="V28" s="7673"/>
      <c r="W28" s="7673"/>
      <c r="X28" s="7673"/>
      <c r="Y28" s="7673"/>
      <c r="Z28" s="7673"/>
      <c r="AA28" s="7673"/>
      <c r="AB28" s="7673"/>
      <c r="AC28" s="7673"/>
      <c r="AD28" s="7673"/>
      <c r="AE28" s="7673"/>
      <c r="AF28" s="7673"/>
      <c r="AG28" s="7673"/>
      <c r="AH28" s="7673"/>
      <c r="AI28" s="7673"/>
      <c r="AJ28" s="7673"/>
      <c r="AK28" s="7673"/>
      <c r="AL28" s="7673"/>
      <c r="AM28" s="7673"/>
      <c r="AN28" s="7673"/>
      <c r="AO28" s="7673"/>
      <c r="AP28" s="7673"/>
      <c r="AQ28" s="7673"/>
      <c r="AR28" s="7673"/>
      <c r="AS28" s="7673"/>
      <c r="AT28" s="7673"/>
      <c r="AU28" s="7673"/>
      <c r="AV28" s="7673"/>
      <c r="AW28" s="7673"/>
      <c r="AX28" s="7673"/>
      <c r="AY28" s="7673"/>
      <c r="AZ28" s="7673"/>
      <c r="BA28" s="1157"/>
    </row>
    <row r="29" spans="1:60" ht="14.25" customHeight="1">
      <c r="Q29" s="206"/>
      <c r="R29" s="300"/>
      <c r="S29" s="7620" t="str">
        <f>IF(org=0,"Не определено",org)</f>
        <v>ГУП СК "Ставрополькрайводоканал"</v>
      </c>
      <c r="T29" s="7620"/>
      <c r="U29" s="7620"/>
      <c r="V29" s="7620"/>
      <c r="W29" s="7620"/>
      <c r="X29" s="7620"/>
      <c r="Y29" s="7620"/>
      <c r="Z29" s="7620"/>
      <c r="AA29" s="7620"/>
      <c r="AB29" s="7620"/>
      <c r="AC29" s="7620"/>
      <c r="AD29" s="7620"/>
      <c r="AE29" s="7620"/>
      <c r="AF29" s="7620"/>
      <c r="AG29" s="7620"/>
      <c r="AH29" s="7620"/>
      <c r="AI29" s="7620"/>
      <c r="AJ29" s="7620"/>
      <c r="AK29" s="7620"/>
      <c r="AL29" s="7620"/>
      <c r="AM29" s="7620"/>
      <c r="AN29" s="7620"/>
      <c r="AO29" s="7620"/>
      <c r="AP29" s="7620"/>
      <c r="AQ29" s="7620"/>
      <c r="AR29" s="7620"/>
      <c r="AS29" s="7620"/>
      <c r="AT29" s="7620"/>
      <c r="AU29" s="7620"/>
      <c r="AV29" s="7620"/>
      <c r="AW29" s="7620"/>
      <c r="AX29" s="7620"/>
      <c r="AY29" s="7620"/>
      <c r="AZ29" s="7620"/>
      <c r="BA29" s="1157"/>
    </row>
    <row r="30" spans="1:60" ht="14.25"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customHeight="1">
      <c r="A31" s="1289"/>
      <c r="B31" s="1289"/>
      <c r="C31" s="1289"/>
      <c r="D31" s="1289"/>
      <c r="E31" s="1289"/>
      <c r="F31" s="1289"/>
      <c r="G31" s="1289"/>
      <c r="H31" s="1289"/>
      <c r="I31" s="1289"/>
      <c r="J31" s="1289"/>
      <c r="K31" s="1289"/>
      <c r="L31" s="1290"/>
      <c r="M31" s="1289"/>
      <c r="N31" s="1289"/>
      <c r="O31" s="1289"/>
      <c r="P31" s="1289"/>
      <c r="Q31" s="1289"/>
      <c r="S31" s="7681" t="s">
        <v>38</v>
      </c>
      <c r="T31" s="7681"/>
      <c r="U31" s="1293"/>
      <c r="V31" s="7682" t="str">
        <f>IF(TITLE_NAME_OR_PR_CHANGE="",IF(TITLE_NAME_OR_PR="","",TITLE_NAME_OR_PR),TITLE_NAME_OR_PR_CHANGE)</f>
        <v>Региональная тарифная комиссия Ставропольского края</v>
      </c>
      <c r="W31" s="7682"/>
      <c r="X31" s="7682"/>
      <c r="Y31" s="7682"/>
      <c r="Z31" s="7682"/>
      <c r="AA31" s="7682"/>
      <c r="AB31" s="7682"/>
      <c r="AC31" s="248"/>
      <c r="AD31" s="7682" t="str">
        <f>IF(TITLE_NAME_OR_PR_CHANGE="",IF(TITLE_NAME_OR_PR="","",TITLE_NAME_OR_PR),TITLE_NAME_OR_PR_CHANGE)</f>
        <v>Региональная тарифная комиссия Ставропольского края</v>
      </c>
      <c r="AE31" s="7682"/>
      <c r="AF31" s="7682"/>
      <c r="AG31" s="7682"/>
      <c r="AH31" s="7682"/>
      <c r="AI31" s="7682"/>
      <c r="AJ31" s="7682"/>
      <c r="AK31" s="7682"/>
      <c r="AL31" s="7682"/>
      <c r="AM31" s="7682"/>
      <c r="AN31" s="7682"/>
      <c r="AO31" s="7682"/>
      <c r="AP31" s="7682"/>
      <c r="AQ31" s="7682"/>
      <c r="AR31" s="7682"/>
      <c r="AS31" s="7682"/>
      <c r="AT31" s="7682"/>
      <c r="AU31" s="7682"/>
      <c r="AV31" s="7682"/>
      <c r="AW31" s="7682"/>
      <c r="AX31" s="7682"/>
      <c r="AY31" s="7682"/>
      <c r="AZ31" s="7682"/>
      <c r="BA31" s="248"/>
      <c r="BB31" s="248"/>
      <c r="BC31" s="196"/>
      <c r="BD31" s="292"/>
      <c r="BE31" s="292"/>
      <c r="BF31" s="292"/>
      <c r="BG31" s="292"/>
      <c r="BH31" s="292"/>
    </row>
    <row r="32" spans="1:60" s="1771" customFormat="1" ht="18.75" customHeight="1">
      <c r="A32" s="1289"/>
      <c r="B32" s="1289"/>
      <c r="C32" s="1289"/>
      <c r="D32" s="1289"/>
      <c r="E32" s="1289"/>
      <c r="F32" s="1289"/>
      <c r="G32" s="1289"/>
      <c r="H32" s="1289"/>
      <c r="I32" s="1289"/>
      <c r="J32" s="1289"/>
      <c r="K32" s="1289"/>
      <c r="L32" s="1290"/>
      <c r="M32" s="1289"/>
      <c r="N32" s="1289"/>
      <c r="O32" s="1289"/>
      <c r="P32" s="1289"/>
      <c r="Q32" s="1289"/>
      <c r="S32" s="7681" t="s">
        <v>597</v>
      </c>
      <c r="T32" s="7681"/>
      <c r="U32" s="1293"/>
      <c r="V32" s="7691">
        <f>IF(TITLE_DATE_PR_CHANGE="",IF(TITLE_DATE_PR="","",TITLE_DATE_PR),TITLE_DATE_PR_CHANGE)</f>
        <v>45278</v>
      </c>
      <c r="W32" s="7691"/>
      <c r="X32" s="7691"/>
      <c r="Y32" s="7691"/>
      <c r="Z32" s="7691"/>
      <c r="AA32" s="7691"/>
      <c r="AB32" s="7691"/>
      <c r="AC32" s="248"/>
      <c r="AD32" s="7691">
        <f>IF(TITLE_DATE_PR_CHANGE="",IF(TITLE_DATE_PR="","",TITLE_DATE_PR),TITLE_DATE_PR_CHANGE)</f>
        <v>45278</v>
      </c>
      <c r="AE32" s="7691"/>
      <c r="AF32" s="7691"/>
      <c r="AG32" s="7691"/>
      <c r="AH32" s="7691"/>
      <c r="AI32" s="7691"/>
      <c r="AJ32" s="7691"/>
      <c r="AK32" s="7691"/>
      <c r="AL32" s="7691"/>
      <c r="AM32" s="7691"/>
      <c r="AN32" s="7691"/>
      <c r="AO32" s="7691"/>
      <c r="AP32" s="7691"/>
      <c r="AQ32" s="7691"/>
      <c r="AR32" s="7691"/>
      <c r="AS32" s="7691"/>
      <c r="AT32" s="7691"/>
      <c r="AU32" s="7691"/>
      <c r="AV32" s="7691"/>
      <c r="AW32" s="7691"/>
      <c r="AX32" s="7691"/>
      <c r="AY32" s="7691"/>
      <c r="AZ32" s="7691"/>
      <c r="BA32" s="248"/>
      <c r="BB32" s="248"/>
      <c r="BC32" s="196"/>
      <c r="BD32" s="292"/>
      <c r="BE32" s="292"/>
      <c r="BF32" s="292"/>
      <c r="BG32" s="292"/>
      <c r="BH32" s="292"/>
    </row>
    <row r="33" spans="1:60" s="1771" customFormat="1" ht="18.75" customHeight="1">
      <c r="A33" s="1289"/>
      <c r="B33" s="1289"/>
      <c r="C33" s="1289"/>
      <c r="D33" s="1289"/>
      <c r="E33" s="1289"/>
      <c r="F33" s="1289"/>
      <c r="G33" s="1289"/>
      <c r="H33" s="1289"/>
      <c r="I33" s="1289"/>
      <c r="J33" s="1289"/>
      <c r="K33" s="1289"/>
      <c r="L33" s="1290"/>
      <c r="M33" s="1289"/>
      <c r="N33" s="1289"/>
      <c r="O33" s="1289"/>
      <c r="P33" s="1289"/>
      <c r="Q33" s="1289"/>
      <c r="S33" s="7681" t="s">
        <v>598</v>
      </c>
      <c r="T33" s="7681"/>
      <c r="U33" s="1293"/>
      <c r="V33" s="7682" t="str">
        <f>IF(TITLE_NUMBER_PR_CHANGE="",IF(TITLE_NUMBER_PR="","",TITLE_NUMBER_PR),TITLE_NUMBER_PR_CHANGE)</f>
        <v>79/2</v>
      </c>
      <c r="W33" s="7682"/>
      <c r="X33" s="7682"/>
      <c r="Y33" s="7682"/>
      <c r="Z33" s="7682"/>
      <c r="AA33" s="7682"/>
      <c r="AB33" s="7682"/>
      <c r="AC33" s="248"/>
      <c r="AD33" s="7682" t="str">
        <f>IF(TITLE_NUMBER_PR_CHANGE="",IF(TITLE_NUMBER_PR="","",TITLE_NUMBER_PR),TITLE_NUMBER_PR_CHANGE)</f>
        <v>79/2</v>
      </c>
      <c r="AE33" s="7682"/>
      <c r="AF33" s="7682"/>
      <c r="AG33" s="7682"/>
      <c r="AH33" s="7682"/>
      <c r="AI33" s="7682"/>
      <c r="AJ33" s="7682"/>
      <c r="AK33" s="7682"/>
      <c r="AL33" s="7682"/>
      <c r="AM33" s="7682"/>
      <c r="AN33" s="7682"/>
      <c r="AO33" s="7682"/>
      <c r="AP33" s="7682"/>
      <c r="AQ33" s="7682"/>
      <c r="AR33" s="7682"/>
      <c r="AS33" s="7682"/>
      <c r="AT33" s="7682"/>
      <c r="AU33" s="7682"/>
      <c r="AV33" s="7682"/>
      <c r="AW33" s="7682"/>
      <c r="AX33" s="7682"/>
      <c r="AY33" s="7682"/>
      <c r="AZ33" s="7682"/>
      <c r="BA33" s="248"/>
      <c r="BB33" s="248"/>
      <c r="BC33" s="196"/>
      <c r="BD33" s="292"/>
      <c r="BE33" s="292"/>
      <c r="BF33" s="292"/>
      <c r="BG33" s="292"/>
      <c r="BH33" s="292"/>
    </row>
    <row r="34" spans="1:60" s="1771" customFormat="1" ht="18.75" customHeight="1">
      <c r="A34" s="1289"/>
      <c r="B34" s="1289"/>
      <c r="C34" s="1289"/>
      <c r="D34" s="1289"/>
      <c r="E34" s="1289"/>
      <c r="F34" s="1289"/>
      <c r="G34" s="1289"/>
      <c r="H34" s="1289"/>
      <c r="I34" s="1289"/>
      <c r="J34" s="1289"/>
      <c r="K34" s="1289"/>
      <c r="L34" s="1290"/>
      <c r="M34" s="1289"/>
      <c r="N34" s="1289"/>
      <c r="O34" s="1289"/>
      <c r="P34" s="1289"/>
      <c r="Q34" s="1289"/>
      <c r="S34" s="7681" t="s">
        <v>40</v>
      </c>
      <c r="T34" s="7681"/>
      <c r="U34" s="1293"/>
      <c r="V34" s="7682" t="str">
        <f>IF(TITLE_IST_PUB_CHANGE="",IF(TITLE_IST_PUB="","",TITLE_IST_PUB),TITLE_IST_PUB_CHANGE)</f>
        <v>http://pravo.stavregion.ru/</v>
      </c>
      <c r="W34" s="7682"/>
      <c r="X34" s="7682"/>
      <c r="Y34" s="7682"/>
      <c r="Z34" s="7682"/>
      <c r="AA34" s="7682"/>
      <c r="AB34" s="7682"/>
      <c r="AC34" s="248"/>
      <c r="AD34" s="7682" t="str">
        <f>IF(TITLE_IST_PUB_CHANGE="",IF(TITLE_IST_PUB="","",TITLE_IST_PUB),TITLE_IST_PUB_CHANGE)</f>
        <v>http://pravo.stavregion.ru/</v>
      </c>
      <c r="AE34" s="7682"/>
      <c r="AF34" s="7682"/>
      <c r="AG34" s="7682"/>
      <c r="AH34" s="7682"/>
      <c r="AI34" s="7682"/>
      <c r="AJ34" s="7682"/>
      <c r="AK34" s="7682"/>
      <c r="AL34" s="7682"/>
      <c r="AM34" s="7682"/>
      <c r="AN34" s="7682"/>
      <c r="AO34" s="7682"/>
      <c r="AP34" s="7682"/>
      <c r="AQ34" s="7682"/>
      <c r="AR34" s="7682"/>
      <c r="AS34" s="7682"/>
      <c r="AT34" s="7682"/>
      <c r="AU34" s="7682"/>
      <c r="AV34" s="7682"/>
      <c r="AW34" s="7682"/>
      <c r="AX34" s="7682"/>
      <c r="AY34" s="7682"/>
      <c r="AZ34" s="7682"/>
      <c r="BA34" s="248"/>
      <c r="BB34" s="248"/>
      <c r="BC34" s="196"/>
      <c r="BD34" s="292"/>
      <c r="BE34" s="292"/>
      <c r="BF34" s="292"/>
      <c r="BG34" s="292"/>
      <c r="BH34" s="292"/>
    </row>
    <row r="35" spans="1:60" ht="14.25" hidden="1"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7681" t="s">
        <v>597</v>
      </c>
      <c r="T36" s="7681"/>
      <c r="U36" s="1293"/>
      <c r="V36" s="7691">
        <f>IF(TITLE_DATE_PR_CHANGE="",IF(TITLE_DATE_PR="","",TITLE_DATE_PR),TITLE_DATE_PR_CHANGE)</f>
        <v>45278</v>
      </c>
      <c r="W36" s="7691"/>
      <c r="X36" s="7691"/>
      <c r="Y36" s="7691"/>
      <c r="Z36" s="7691"/>
      <c r="AA36" s="7691"/>
      <c r="AB36" s="7691"/>
      <c r="AC36" s="248"/>
      <c r="AD36" s="7691">
        <f>IF(TITLE_DATE_PR_CHANGE="",IF(TITLE_DATE_PR="","",TITLE_DATE_PR),TITLE_DATE_PR_CHANGE)</f>
        <v>45278</v>
      </c>
      <c r="AE36" s="7691"/>
      <c r="AF36" s="7691"/>
      <c r="AG36" s="7691"/>
      <c r="AH36" s="7691"/>
      <c r="AI36" s="7691"/>
      <c r="AJ36" s="7691"/>
      <c r="AK36" s="7691"/>
      <c r="AL36" s="7691"/>
      <c r="AM36" s="7691"/>
      <c r="AN36" s="7691"/>
      <c r="AO36" s="7691"/>
      <c r="AP36" s="7691"/>
      <c r="AQ36" s="7691"/>
      <c r="AR36" s="7691"/>
      <c r="AS36" s="7691"/>
      <c r="AT36" s="7691"/>
      <c r="AU36" s="7691"/>
      <c r="AV36" s="7691"/>
      <c r="AW36" s="7691"/>
      <c r="AX36" s="7691"/>
      <c r="AY36" s="7691"/>
      <c r="AZ36" s="7691"/>
      <c r="BA36" s="248"/>
      <c r="BB36" s="248"/>
      <c r="BC36" s="196"/>
      <c r="BD36" s="292"/>
      <c r="BE36" s="292"/>
      <c r="BF36" s="292"/>
      <c r="BG36" s="292"/>
      <c r="BH36" s="292"/>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7681" t="s">
        <v>598</v>
      </c>
      <c r="T37" s="7681"/>
      <c r="U37" s="1293"/>
      <c r="V37" s="7682" t="str">
        <f>IF(TITLE_NUMBER_PR_CHANGE="",IF(TITLE_NUMBER_PR="","",TITLE_NUMBER_PR),TITLE_NUMBER_PR_CHANGE)</f>
        <v>79/2</v>
      </c>
      <c r="W37" s="7682"/>
      <c r="X37" s="7682"/>
      <c r="Y37" s="7682"/>
      <c r="Z37" s="7682"/>
      <c r="AA37" s="7682"/>
      <c r="AB37" s="7682"/>
      <c r="AC37" s="248"/>
      <c r="AD37" s="7682" t="str">
        <f>IF(TITLE_NUMBER_PR_CHANGE="",IF(TITLE_NUMBER_PR="","",TITLE_NUMBER_PR),TITLE_NUMBER_PR_CHANGE)</f>
        <v>79/2</v>
      </c>
      <c r="AE37" s="7682"/>
      <c r="AF37" s="7682"/>
      <c r="AG37" s="7682"/>
      <c r="AH37" s="7682"/>
      <c r="AI37" s="7682"/>
      <c r="AJ37" s="7682"/>
      <c r="AK37" s="7682"/>
      <c r="AL37" s="7682"/>
      <c r="AM37" s="7682"/>
      <c r="AN37" s="7682"/>
      <c r="AO37" s="7682"/>
      <c r="AP37" s="7682"/>
      <c r="AQ37" s="7682"/>
      <c r="AR37" s="7682"/>
      <c r="AS37" s="7682"/>
      <c r="AT37" s="7682"/>
      <c r="AU37" s="7682"/>
      <c r="AV37" s="7682"/>
      <c r="AW37" s="7682"/>
      <c r="AX37" s="7682"/>
      <c r="AY37" s="7682"/>
      <c r="AZ37" s="7682"/>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403"/>
      <c r="V38" s="248"/>
      <c r="W38" s="248"/>
      <c r="X38" s="248"/>
      <c r="Y38" s="248"/>
      <c r="Z38" s="248"/>
      <c r="AA38" s="248"/>
      <c r="AB38" s="248"/>
      <c r="AC38" s="194" t="s">
        <v>601</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601</v>
      </c>
      <c r="BD38" s="292"/>
      <c r="BE38" s="292"/>
      <c r="BF38" s="292"/>
      <c r="BG38" s="292"/>
      <c r="BH38" s="292"/>
    </row>
    <row r="39" spans="1:60" ht="14.25" customHeight="1">
      <c r="Q39" s="206"/>
      <c r="R39" s="300"/>
      <c r="S39" s="1200"/>
      <c r="T39" s="286"/>
      <c r="U39" s="1158"/>
      <c r="V39" s="7683"/>
      <c r="W39" s="7683"/>
      <c r="X39" s="7683"/>
      <c r="Y39" s="7683"/>
      <c r="Z39" s="7683"/>
      <c r="AA39" s="7683"/>
      <c r="AB39" s="7683"/>
      <c r="AC39" s="7683"/>
      <c r="AD39" s="7683"/>
      <c r="AE39" s="7683"/>
      <c r="AF39" s="7683"/>
      <c r="AG39" s="7683"/>
      <c r="AH39" s="7683"/>
      <c r="AI39" s="7683"/>
      <c r="AJ39" s="7683"/>
      <c r="AK39" s="7683"/>
      <c r="AL39" s="7683"/>
      <c r="AM39" s="7683"/>
      <c r="AN39" s="7683"/>
      <c r="AO39" s="7683"/>
      <c r="AP39" s="7683"/>
      <c r="AQ39" s="7683"/>
      <c r="AR39" s="7683"/>
      <c r="AS39" s="7683"/>
      <c r="AT39" s="7683"/>
      <c r="AU39" s="7683"/>
      <c r="AV39" s="7683"/>
      <c r="AW39" s="7683"/>
      <c r="AX39" s="7683"/>
      <c r="AY39" s="7683"/>
      <c r="AZ39" s="7683"/>
      <c r="BA39" s="7683"/>
    </row>
    <row r="40" spans="1:60" ht="14.25" customHeight="1">
      <c r="Q40" s="206"/>
      <c r="R40" s="300"/>
      <c r="S40" s="7559" t="s">
        <v>474</v>
      </c>
      <c r="T40" s="7559"/>
      <c r="U40" s="7559"/>
      <c r="V40" s="7559"/>
      <c r="W40" s="7559"/>
      <c r="X40" s="7559"/>
      <c r="Y40" s="7559"/>
      <c r="Z40" s="7559"/>
      <c r="AA40" s="7559"/>
      <c r="AB40" s="7559"/>
      <c r="AC40" s="7559"/>
      <c r="AD40" s="7559"/>
      <c r="AE40" s="7559"/>
      <c r="AF40" s="7559"/>
      <c r="AG40" s="7559"/>
      <c r="AH40" s="7559"/>
      <c r="AI40" s="7559"/>
      <c r="AJ40" s="7559"/>
      <c r="AK40" s="7559"/>
      <c r="AL40" s="7559"/>
      <c r="AM40" s="7559"/>
      <c r="AN40" s="7559"/>
      <c r="AO40" s="7559"/>
      <c r="AP40" s="7559"/>
      <c r="AQ40" s="7559"/>
      <c r="AR40" s="7559"/>
      <c r="AS40" s="7559"/>
      <c r="AT40" s="7559"/>
      <c r="AU40" s="7559"/>
      <c r="AV40" s="7559"/>
      <c r="AW40" s="7559"/>
      <c r="AX40" s="7559"/>
      <c r="AY40" s="7559"/>
      <c r="AZ40" s="7559"/>
      <c r="BA40" s="7559"/>
      <c r="BB40" s="7559"/>
      <c r="BC40" s="7559" t="s">
        <v>475</v>
      </c>
    </row>
    <row r="41" spans="1:60" ht="14.25" customHeight="1">
      <c r="Q41" s="206"/>
      <c r="R41" s="300"/>
      <c r="S41" s="7697" t="s">
        <v>86</v>
      </c>
      <c r="T41" s="7649" t="s">
        <v>682</v>
      </c>
      <c r="U41" s="215"/>
      <c r="V41" s="7698" t="s">
        <v>603</v>
      </c>
      <c r="W41" s="7699"/>
      <c r="X41" s="7699"/>
      <c r="Y41" s="7699"/>
      <c r="Z41" s="7699"/>
      <c r="AA41" s="7699"/>
      <c r="AB41" s="7700"/>
      <c r="AC41" s="7701" t="s">
        <v>604</v>
      </c>
      <c r="AD41" s="7727" t="s">
        <v>683</v>
      </c>
      <c r="AE41" s="7713"/>
      <c r="AF41" s="7713"/>
      <c r="AG41" s="7728"/>
      <c r="AH41" s="7727" t="s">
        <v>684</v>
      </c>
      <c r="AI41" s="7713"/>
      <c r="AJ41" s="7713"/>
      <c r="AK41" s="7728"/>
      <c r="AL41" s="7727" t="s">
        <v>685</v>
      </c>
      <c r="AM41" s="7713"/>
      <c r="AN41" s="7713"/>
      <c r="AO41" s="7728"/>
      <c r="AP41" s="7727" t="s">
        <v>686</v>
      </c>
      <c r="AQ41" s="7713"/>
      <c r="AR41" s="7713"/>
      <c r="AS41" s="7728"/>
      <c r="AT41" s="7698" t="s">
        <v>603</v>
      </c>
      <c r="AU41" s="7699"/>
      <c r="AV41" s="7699"/>
      <c r="AW41" s="7699"/>
      <c r="AX41" s="7699"/>
      <c r="AY41" s="7699"/>
      <c r="AZ41" s="7700"/>
      <c r="BA41" s="7701" t="s">
        <v>604</v>
      </c>
      <c r="BB41" s="7704" t="s">
        <v>606</v>
      </c>
      <c r="BC41" s="7559"/>
    </row>
    <row r="42" spans="1:60" ht="33.75" customHeight="1">
      <c r="Q42" s="206"/>
      <c r="R42" s="300"/>
      <c r="S42" s="7697"/>
      <c r="T42" s="7649"/>
      <c r="U42" s="942"/>
      <c r="V42" s="7634" t="s">
        <v>687</v>
      </c>
      <c r="W42" s="7635"/>
      <c r="X42" s="7634" t="s">
        <v>688</v>
      </c>
      <c r="Y42" s="7635"/>
      <c r="Z42" s="7634" t="s">
        <v>689</v>
      </c>
      <c r="AA42" s="7722"/>
      <c r="AB42" s="7635"/>
      <c r="AC42" s="7702"/>
      <c r="AD42" s="7729"/>
      <c r="AE42" s="7730"/>
      <c r="AF42" s="7730"/>
      <c r="AG42" s="7731"/>
      <c r="AH42" s="7729"/>
      <c r="AI42" s="7730"/>
      <c r="AJ42" s="7730"/>
      <c r="AK42" s="7731"/>
      <c r="AL42" s="7729"/>
      <c r="AM42" s="7730"/>
      <c r="AN42" s="7730"/>
      <c r="AO42" s="7731"/>
      <c r="AP42" s="7729"/>
      <c r="AQ42" s="7730"/>
      <c r="AR42" s="7730"/>
      <c r="AS42" s="7731"/>
      <c r="AT42" s="7634" t="s">
        <v>687</v>
      </c>
      <c r="AU42" s="7635"/>
      <c r="AV42" s="7634" t="s">
        <v>688</v>
      </c>
      <c r="AW42" s="7635"/>
      <c r="AX42" s="7634" t="s">
        <v>689</v>
      </c>
      <c r="AY42" s="7722"/>
      <c r="AZ42" s="7635"/>
      <c r="BA42" s="7702"/>
      <c r="BB42" s="7705"/>
      <c r="BC42" s="7559"/>
    </row>
    <row r="43" spans="1:60" ht="14.25" customHeight="1">
      <c r="Q43" s="206"/>
      <c r="R43" s="300"/>
      <c r="S43" s="7697"/>
      <c r="T43" s="7649"/>
      <c r="U43" s="942"/>
      <c r="V43" s="7639"/>
      <c r="W43" s="7640"/>
      <c r="X43" s="7639"/>
      <c r="Y43" s="7640"/>
      <c r="Z43" s="7639"/>
      <c r="AA43" s="7723"/>
      <c r="AB43" s="7640"/>
      <c r="AC43" s="7702"/>
      <c r="AD43" s="7729"/>
      <c r="AE43" s="7730"/>
      <c r="AF43" s="7730"/>
      <c r="AG43" s="7731"/>
      <c r="AH43" s="7729"/>
      <c r="AI43" s="7730"/>
      <c r="AJ43" s="7730"/>
      <c r="AK43" s="7731"/>
      <c r="AL43" s="7729"/>
      <c r="AM43" s="7730"/>
      <c r="AN43" s="7730"/>
      <c r="AO43" s="7731"/>
      <c r="AP43" s="7729"/>
      <c r="AQ43" s="7730"/>
      <c r="AR43" s="7730"/>
      <c r="AS43" s="7731"/>
      <c r="AT43" s="7639"/>
      <c r="AU43" s="7640"/>
      <c r="AV43" s="7639"/>
      <c r="AW43" s="7640"/>
      <c r="AX43" s="7639"/>
      <c r="AY43" s="7723"/>
      <c r="AZ43" s="7640"/>
      <c r="BA43" s="7702"/>
      <c r="BB43" s="7705"/>
      <c r="BC43" s="7559"/>
    </row>
    <row r="44" spans="1:60" ht="14.25" customHeight="1">
      <c r="A44" s="1291"/>
      <c r="B44" s="1291" t="s">
        <v>249</v>
      </c>
      <c r="C44" s="1291" t="s">
        <v>250</v>
      </c>
      <c r="D44" s="1291" t="s">
        <v>251</v>
      </c>
      <c r="E44" s="1285" t="s">
        <v>611</v>
      </c>
      <c r="F44" s="1285" t="s">
        <v>612</v>
      </c>
      <c r="G44" s="1285" t="s">
        <v>613</v>
      </c>
      <c r="H44" s="1285" t="s">
        <v>614</v>
      </c>
      <c r="I44" s="1285" t="s">
        <v>615</v>
      </c>
      <c r="J44" s="1285" t="s">
        <v>616</v>
      </c>
      <c r="K44" s="1285" t="s">
        <v>617</v>
      </c>
      <c r="L44" s="1285" t="s">
        <v>592</v>
      </c>
      <c r="Q44" s="206"/>
      <c r="R44" s="300"/>
      <c r="S44" s="7697"/>
      <c r="T44" s="7649"/>
      <c r="U44" s="216"/>
      <c r="V44" s="1394" t="s">
        <v>651</v>
      </c>
      <c r="W44" s="1394" t="s">
        <v>652</v>
      </c>
      <c r="X44" s="1394" t="s">
        <v>651</v>
      </c>
      <c r="Y44" s="1394" t="s">
        <v>652</v>
      </c>
      <c r="Z44" s="1404" t="s">
        <v>620</v>
      </c>
      <c r="AA44" s="7657" t="s">
        <v>621</v>
      </c>
      <c r="AB44" s="7659"/>
      <c r="AC44" s="7703"/>
      <c r="AD44" s="7732"/>
      <c r="AE44" s="7733"/>
      <c r="AF44" s="7733"/>
      <c r="AG44" s="7734"/>
      <c r="AH44" s="7732"/>
      <c r="AI44" s="7733"/>
      <c r="AJ44" s="7733"/>
      <c r="AK44" s="7734"/>
      <c r="AL44" s="7732"/>
      <c r="AM44" s="7733"/>
      <c r="AN44" s="7733"/>
      <c r="AO44" s="7734"/>
      <c r="AP44" s="7732"/>
      <c r="AQ44" s="7733"/>
      <c r="AR44" s="7733"/>
      <c r="AS44" s="7734"/>
      <c r="AT44" s="1394" t="s">
        <v>651</v>
      </c>
      <c r="AU44" s="1394" t="s">
        <v>652</v>
      </c>
      <c r="AV44" s="1394" t="s">
        <v>651</v>
      </c>
      <c r="AW44" s="1394" t="s">
        <v>652</v>
      </c>
      <c r="AX44" s="1404" t="s">
        <v>620</v>
      </c>
      <c r="AY44" s="7657" t="s">
        <v>621</v>
      </c>
      <c r="AZ44" s="7659"/>
      <c r="BA44" s="7703"/>
      <c r="BB44" s="7706"/>
      <c r="BC44" s="7559"/>
    </row>
    <row r="45" spans="1:60" s="1561" customFormat="1" ht="0" hidden="1" customHeight="1">
      <c r="A45" s="1291"/>
      <c r="B45" s="1291"/>
      <c r="C45" s="1291"/>
      <c r="D45" s="1291"/>
      <c r="E45" s="1291"/>
      <c r="F45" s="1291"/>
      <c r="G45" s="1291"/>
      <c r="H45" s="1291"/>
      <c r="I45" s="1291"/>
      <c r="J45" s="1291"/>
      <c r="K45" s="1291"/>
      <c r="L45" s="1285"/>
      <c r="M45" s="1283"/>
      <c r="N45" s="1283"/>
      <c r="O45" s="1283"/>
      <c r="P45" s="434"/>
      <c r="Q45" s="1176"/>
      <c r="R45" s="1176">
        <v>1</v>
      </c>
      <c r="S45" s="1202" t="s">
        <v>97</v>
      </c>
      <c r="T45" s="1177" t="s">
        <v>100</v>
      </c>
      <c r="U45" s="1159" t="str">
        <f ca="1">OFFSET(U45,0,-1)</f>
        <v>2</v>
      </c>
      <c r="V45" s="1397">
        <f t="shared" ref="V45:AA45" ca="1" si="2">OFFSET(V45,0,-1)+1</f>
        <v>3</v>
      </c>
      <c r="W45" s="1397">
        <f t="shared" ca="1" si="2"/>
        <v>4</v>
      </c>
      <c r="X45" s="1397">
        <f t="shared" ca="1" si="2"/>
        <v>5</v>
      </c>
      <c r="Y45" s="1397">
        <f t="shared" ca="1" si="2"/>
        <v>6</v>
      </c>
      <c r="Z45" s="1397">
        <f t="shared" ca="1" si="2"/>
        <v>7</v>
      </c>
      <c r="AA45" s="7696">
        <f t="shared" ca="1" si="2"/>
        <v>8</v>
      </c>
      <c r="AB45" s="7696"/>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7696">
        <f ca="1">OFFSET(AY45,0,-1)+1</f>
        <v>3</v>
      </c>
      <c r="AZ45" s="7696"/>
      <c r="BA45" s="1397">
        <f ca="1">OFFSET(BA45,0,-2)+1</f>
        <v>4</v>
      </c>
      <c r="BB45" s="1159">
        <f ca="1">OFFSET(BB45,0,-1)</f>
        <v>4</v>
      </c>
      <c r="BC45" s="1397">
        <f ca="1">OFFSET(BC45,0,-1)+1</f>
        <v>5</v>
      </c>
      <c r="BD45" s="435"/>
      <c r="BE45" s="435"/>
      <c r="BF45" s="435"/>
      <c r="BG45" s="435"/>
      <c r="BH45" s="435"/>
    </row>
    <row r="46" spans="1:60" ht="21" customHeight="1">
      <c r="A46" s="1284" t="s">
        <v>435</v>
      </c>
      <c r="B46" s="1284"/>
      <c r="C46" s="1284"/>
      <c r="D46" s="1284"/>
      <c r="E46" s="7689">
        <v>1</v>
      </c>
      <c r="F46" s="1284"/>
      <c r="G46" s="1284"/>
      <c r="H46" s="1284"/>
      <c r="I46" s="1284"/>
      <c r="J46" s="1284"/>
      <c r="K46" s="1284"/>
      <c r="L46" s="1285"/>
      <c r="M46" s="1286"/>
      <c r="N46" s="1286"/>
      <c r="O46" s="1286"/>
      <c r="P46" s="1330"/>
      <c r="Q46" s="787"/>
      <c r="R46" s="276"/>
      <c r="S46" s="1408">
        <f>INDEX(PT_DIFFERENTIATION_NUM_NTAR,MATCH(A46,PT_DIFFERENTIATION_NTAR_ID,0))</f>
        <v>0</v>
      </c>
      <c r="T46" s="212" t="s">
        <v>237</v>
      </c>
      <c r="U46" s="214"/>
      <c r="V46" s="7676"/>
      <c r="W46" s="7676"/>
      <c r="X46" s="7676"/>
      <c r="Y46" s="7676"/>
      <c r="Z46" s="7676"/>
      <c r="AA46" s="7676"/>
      <c r="AB46" s="7676"/>
      <c r="AC46" s="7677"/>
      <c r="AD46" s="7675" t="str">
        <f>INDEX(PT_DIFFERENTIATION_NTAR,MATCH(A46,PT_DIFFERENTIATION_NTAR_ID,0))</f>
        <v/>
      </c>
      <c r="AE46" s="7676"/>
      <c r="AF46" s="7676"/>
      <c r="AG46" s="7676"/>
      <c r="AH46" s="7676"/>
      <c r="AI46" s="7676"/>
      <c r="AJ46" s="7676"/>
      <c r="AK46" s="7676"/>
      <c r="AL46" s="7676"/>
      <c r="AM46" s="7676"/>
      <c r="AN46" s="7676"/>
      <c r="AO46" s="7676"/>
      <c r="AP46" s="7676"/>
      <c r="AQ46" s="7676"/>
      <c r="AR46" s="7676"/>
      <c r="AS46" s="7676"/>
      <c r="AT46" s="7676"/>
      <c r="AU46" s="7676"/>
      <c r="AV46" s="7676"/>
      <c r="AW46" s="7676"/>
      <c r="AX46" s="7676"/>
      <c r="AY46" s="7676"/>
      <c r="AZ46" s="7676"/>
      <c r="BA46" s="7676"/>
      <c r="BB46" s="7677"/>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435</v>
      </c>
      <c r="B47" s="1284" t="s">
        <v>436</v>
      </c>
      <c r="C47" s="1284"/>
      <c r="D47" s="1284"/>
      <c r="E47" s="7690"/>
      <c r="F47" s="7689">
        <v>1</v>
      </c>
      <c r="G47" s="1284"/>
      <c r="H47" s="1284"/>
      <c r="I47" s="1284"/>
      <c r="J47" s="1284"/>
      <c r="K47" s="1284"/>
      <c r="L47" s="1285"/>
      <c r="M47" s="1286"/>
      <c r="N47" s="1286"/>
      <c r="O47" s="1286"/>
      <c r="P47" s="1331"/>
      <c r="Q47" s="1332"/>
      <c r="R47" s="274"/>
      <c r="S47" s="1408" t="str">
        <f>INDEX(PT_DIFFERENTIATION_NUM_TER,MATCH(B47,PT_DIFFERENTIATION_TER_ID,0))</f>
        <v>.</v>
      </c>
      <c r="T47" s="224" t="s">
        <v>573</v>
      </c>
      <c r="U47" s="214"/>
      <c r="V47" s="7676"/>
      <c r="W47" s="7676"/>
      <c r="X47" s="7676"/>
      <c r="Y47" s="7676"/>
      <c r="Z47" s="7676"/>
      <c r="AA47" s="7676"/>
      <c r="AB47" s="7676"/>
      <c r="AC47" s="7677"/>
      <c r="AD47" s="7675" t="str">
        <f>INDEX(PT_DIFFERENTIATION_TER,MATCH(B47,PT_DIFFERENTIATION_TER_ID,0))</f>
        <v/>
      </c>
      <c r="AE47" s="7676"/>
      <c r="AF47" s="7676"/>
      <c r="AG47" s="7676"/>
      <c r="AH47" s="7676"/>
      <c r="AI47" s="7676"/>
      <c r="AJ47" s="7676"/>
      <c r="AK47" s="7676"/>
      <c r="AL47" s="7676"/>
      <c r="AM47" s="7676"/>
      <c r="AN47" s="7676"/>
      <c r="AO47" s="7676"/>
      <c r="AP47" s="7676"/>
      <c r="AQ47" s="7676"/>
      <c r="AR47" s="7676"/>
      <c r="AS47" s="7676"/>
      <c r="AT47" s="7676"/>
      <c r="AU47" s="7676"/>
      <c r="AV47" s="7676"/>
      <c r="AW47" s="7676"/>
      <c r="AX47" s="7676"/>
      <c r="AY47" s="7676"/>
      <c r="AZ47" s="7676"/>
      <c r="BA47" s="7676"/>
      <c r="BB47" s="7677"/>
      <c r="BC47" s="1182" t="s">
        <v>574</v>
      </c>
      <c r="BE47" s="424"/>
      <c r="BF47" s="424" t="str">
        <f t="shared" si="3"/>
        <v>Территория действия тарифа</v>
      </c>
      <c r="BG47" s="424"/>
      <c r="BH47" s="424"/>
    </row>
    <row r="48" spans="1:60" ht="33.75" customHeight="1">
      <c r="A48" s="1284" t="s">
        <v>435</v>
      </c>
      <c r="B48" s="1284" t="s">
        <v>436</v>
      </c>
      <c r="C48" s="1284" t="s">
        <v>437</v>
      </c>
      <c r="D48" s="1284"/>
      <c r="E48" s="7690"/>
      <c r="F48" s="7690"/>
      <c r="G48" s="7689">
        <v>1</v>
      </c>
      <c r="H48" s="1284"/>
      <c r="I48" s="1284"/>
      <c r="J48" s="1284"/>
      <c r="K48" s="1284"/>
      <c r="L48" s="1285"/>
      <c r="M48" s="1286"/>
      <c r="N48" s="1286"/>
      <c r="O48" s="1286"/>
      <c r="P48" s="1333"/>
      <c r="Q48" s="1332"/>
      <c r="R48" s="274"/>
      <c r="S48" s="1408" t="str">
        <f>INDEX(PT_DIFFERENTIATION_NUM_CS,MATCH(C48,PT_DIFFERENTIATION_CS_ID,0))</f>
        <v>..</v>
      </c>
      <c r="T48" s="225" t="s">
        <v>705</v>
      </c>
      <c r="U48" s="214"/>
      <c r="V48" s="7676"/>
      <c r="W48" s="7676"/>
      <c r="X48" s="7676"/>
      <c r="Y48" s="7676"/>
      <c r="Z48" s="7676"/>
      <c r="AA48" s="7676"/>
      <c r="AB48" s="7676"/>
      <c r="AC48" s="7677"/>
      <c r="AD48" s="7675" t="str">
        <f>INDEX(PT_DIFFERENTIATION_CS,MATCH(C48,PT_DIFFERENTIATION_CS_ID,0))</f>
        <v/>
      </c>
      <c r="AE48" s="7676"/>
      <c r="AF48" s="7676"/>
      <c r="AG48" s="7676"/>
      <c r="AH48" s="7676"/>
      <c r="AI48" s="7676"/>
      <c r="AJ48" s="7676"/>
      <c r="AK48" s="7676"/>
      <c r="AL48" s="7676"/>
      <c r="AM48" s="7676"/>
      <c r="AN48" s="7676"/>
      <c r="AO48" s="7676"/>
      <c r="AP48" s="7676"/>
      <c r="AQ48" s="7676"/>
      <c r="AR48" s="7676"/>
      <c r="AS48" s="7676"/>
      <c r="AT48" s="7676"/>
      <c r="AU48" s="7676"/>
      <c r="AV48" s="7676"/>
      <c r="AW48" s="7676"/>
      <c r="AX48" s="7676"/>
      <c r="AY48" s="7676"/>
      <c r="AZ48" s="7676"/>
      <c r="BA48" s="7676"/>
      <c r="BB48" s="7677"/>
      <c r="BC48" s="1182" t="s">
        <v>706</v>
      </c>
      <c r="BE48" s="424"/>
      <c r="BF48" s="424" t="str">
        <f t="shared" si="3"/>
        <v>Наименование централизованной системы горячего водоснабжения</v>
      </c>
      <c r="BG48" s="424"/>
      <c r="BH48" s="424"/>
    </row>
    <row r="49" spans="1:60" s="1562" customFormat="1" ht="0" hidden="1" customHeight="1">
      <c r="A49" s="1265" t="s">
        <v>435</v>
      </c>
      <c r="B49" s="1265" t="s">
        <v>436</v>
      </c>
      <c r="C49" s="1265" t="s">
        <v>437</v>
      </c>
      <c r="D49" s="1265" t="s">
        <v>713</v>
      </c>
      <c r="E49" s="7690"/>
      <c r="F49" s="7690"/>
      <c r="G49" s="7690"/>
      <c r="H49" s="7689">
        <v>1</v>
      </c>
      <c r="I49" s="1265"/>
      <c r="J49" s="1265"/>
      <c r="K49" s="1265"/>
      <c r="L49" s="1268"/>
      <c r="M49" s="1238"/>
      <c r="N49" s="1238"/>
      <c r="O49" s="1238"/>
      <c r="P49" s="1412"/>
      <c r="Q49" s="1413"/>
      <c r="R49" s="278"/>
      <c r="S49" s="953"/>
      <c r="T49" s="1414"/>
      <c r="U49" s="1305"/>
      <c r="V49" s="7717"/>
      <c r="W49" s="7717"/>
      <c r="X49" s="7717"/>
      <c r="Y49" s="7717"/>
      <c r="Z49" s="7717"/>
      <c r="AA49" s="7717"/>
      <c r="AB49" s="7717"/>
      <c r="AC49" s="7718"/>
      <c r="AD49" s="7716"/>
      <c r="AE49" s="7717"/>
      <c r="AF49" s="7717"/>
      <c r="AG49" s="7717"/>
      <c r="AH49" s="7717"/>
      <c r="AI49" s="7717"/>
      <c r="AJ49" s="7717"/>
      <c r="AK49" s="7717"/>
      <c r="AL49" s="7717"/>
      <c r="AM49" s="7717"/>
      <c r="AN49" s="7717"/>
      <c r="AO49" s="7717"/>
      <c r="AP49" s="7717"/>
      <c r="AQ49" s="7717"/>
      <c r="AR49" s="7717"/>
      <c r="AS49" s="7717"/>
      <c r="AT49" s="7717"/>
      <c r="AU49" s="7717"/>
      <c r="AV49" s="7717"/>
      <c r="AW49" s="7717"/>
      <c r="AX49" s="7717"/>
      <c r="AY49" s="7717"/>
      <c r="AZ49" s="7717"/>
      <c r="BA49" s="7717"/>
      <c r="BB49" s="7718"/>
      <c r="BC49" s="1306" t="s">
        <v>578</v>
      </c>
      <c r="BE49" s="424"/>
      <c r="BF49" s="424" t="str">
        <f t="shared" si="3"/>
        <v/>
      </c>
      <c r="BG49" s="424"/>
      <c r="BH49" s="424"/>
    </row>
    <row r="50" spans="1:60" s="1562" customFormat="1" ht="0" hidden="1" customHeight="1">
      <c r="A50" s="1265" t="s">
        <v>435</v>
      </c>
      <c r="B50" s="1265" t="s">
        <v>436</v>
      </c>
      <c r="C50" s="1265" t="s">
        <v>437</v>
      </c>
      <c r="D50" s="1265" t="s">
        <v>713</v>
      </c>
      <c r="E50" s="7690"/>
      <c r="F50" s="7690"/>
      <c r="G50" s="7690"/>
      <c r="H50" s="7690"/>
      <c r="I50" s="7687" t="str">
        <f>S49&amp;".1"</f>
        <v>.1</v>
      </c>
      <c r="J50" s="1265"/>
      <c r="K50" s="1265"/>
      <c r="L50" s="1268" t="s">
        <v>579</v>
      </c>
      <c r="M50" s="434"/>
      <c r="N50" s="434"/>
      <c r="O50" s="434"/>
      <c r="P50" s="7688">
        <v>1</v>
      </c>
      <c r="Q50" s="1396"/>
      <c r="R50" s="277"/>
      <c r="S50" s="953"/>
      <c r="T50" s="1304"/>
      <c r="U50" s="1305"/>
      <c r="V50" s="7717"/>
      <c r="W50" s="7717"/>
      <c r="X50" s="7717"/>
      <c r="Y50" s="7717"/>
      <c r="Z50" s="7717"/>
      <c r="AA50" s="7717"/>
      <c r="AB50" s="7717"/>
      <c r="AC50" s="7718"/>
      <c r="AD50" s="7716"/>
      <c r="AE50" s="7717"/>
      <c r="AF50" s="7717"/>
      <c r="AG50" s="7717"/>
      <c r="AH50" s="7717"/>
      <c r="AI50" s="7717"/>
      <c r="AJ50" s="7717"/>
      <c r="AK50" s="7717"/>
      <c r="AL50" s="7717"/>
      <c r="AM50" s="7717"/>
      <c r="AN50" s="7717"/>
      <c r="AO50" s="7717"/>
      <c r="AP50" s="7717"/>
      <c r="AQ50" s="7717"/>
      <c r="AR50" s="7717"/>
      <c r="AS50" s="7717"/>
      <c r="AT50" s="7717"/>
      <c r="AU50" s="7717"/>
      <c r="AV50" s="7717"/>
      <c r="AW50" s="7717"/>
      <c r="AX50" s="7717"/>
      <c r="AY50" s="7717"/>
      <c r="AZ50" s="7717"/>
      <c r="BA50" s="7717"/>
      <c r="BB50" s="7718"/>
      <c r="BC50" s="1306"/>
      <c r="BE50" s="424"/>
      <c r="BF50" s="424" t="str">
        <f t="shared" si="3"/>
        <v/>
      </c>
      <c r="BG50" s="424"/>
      <c r="BH50" s="424"/>
    </row>
    <row r="51" spans="1:60" s="1562" customFormat="1" ht="0" hidden="1" customHeight="1">
      <c r="A51" s="1265" t="s">
        <v>435</v>
      </c>
      <c r="B51" s="1265" t="s">
        <v>436</v>
      </c>
      <c r="C51" s="1265" t="s">
        <v>437</v>
      </c>
      <c r="D51" s="1265" t="s">
        <v>713</v>
      </c>
      <c r="E51" s="7690"/>
      <c r="F51" s="7690"/>
      <c r="G51" s="7690"/>
      <c r="H51" s="7690"/>
      <c r="I51" s="7710"/>
      <c r="J51" s="7687" t="str">
        <f>S49&amp;".1"</f>
        <v>.1</v>
      </c>
      <c r="K51" s="1265"/>
      <c r="L51" s="1268"/>
      <c r="M51" s="434"/>
      <c r="N51" s="434"/>
      <c r="O51" s="434"/>
      <c r="P51" s="7688"/>
      <c r="Q51" s="7688">
        <v>1</v>
      </c>
      <c r="R51" s="278"/>
      <c r="S51" s="953"/>
      <c r="T51" s="1320"/>
      <c r="U51" s="1305"/>
      <c r="V51" s="7717"/>
      <c r="W51" s="7717"/>
      <c r="X51" s="7717"/>
      <c r="Y51" s="7717"/>
      <c r="Z51" s="7717"/>
      <c r="AA51" s="7717"/>
      <c r="AB51" s="7717"/>
      <c r="AC51" s="7718"/>
      <c r="AD51" s="7716"/>
      <c r="AE51" s="7717"/>
      <c r="AF51" s="7717"/>
      <c r="AG51" s="7717"/>
      <c r="AH51" s="7717"/>
      <c r="AI51" s="7717"/>
      <c r="AJ51" s="7717"/>
      <c r="AK51" s="7717"/>
      <c r="AL51" s="7717"/>
      <c r="AM51" s="7717"/>
      <c r="AN51" s="7763"/>
      <c r="AO51" s="7763"/>
      <c r="AP51" s="7717"/>
      <c r="AQ51" s="7717"/>
      <c r="AR51" s="7717"/>
      <c r="AS51" s="7717"/>
      <c r="AT51" s="7717"/>
      <c r="AU51" s="7717"/>
      <c r="AV51" s="7717"/>
      <c r="AW51" s="7717"/>
      <c r="AX51" s="7717"/>
      <c r="AY51" s="7717"/>
      <c r="AZ51" s="7717"/>
      <c r="BA51" s="7717"/>
      <c r="BB51" s="7718"/>
      <c r="BC51" s="1306"/>
      <c r="BE51" s="424"/>
      <c r="BF51" s="424" t="str">
        <f t="shared" si="3"/>
        <v/>
      </c>
      <c r="BG51" s="424"/>
      <c r="BH51" s="424"/>
    </row>
    <row r="52" spans="1:60" ht="11.25" customHeight="1">
      <c r="A52" s="1284" t="s">
        <v>435</v>
      </c>
      <c r="B52" s="1284" t="s">
        <v>436</v>
      </c>
      <c r="C52" s="1284" t="s">
        <v>437</v>
      </c>
      <c r="D52" s="1284" t="s">
        <v>713</v>
      </c>
      <c r="E52" s="7690"/>
      <c r="F52" s="7690"/>
      <c r="G52" s="7690"/>
      <c r="H52" s="7690"/>
      <c r="I52" s="7710"/>
      <c r="J52" s="7710"/>
      <c r="K52" s="7687" t="str">
        <f>S48&amp;".1"</f>
        <v>...1</v>
      </c>
      <c r="L52" s="1285"/>
      <c r="P52" s="7688"/>
      <c r="Q52" s="7688"/>
      <c r="R52" s="278">
        <v>1</v>
      </c>
      <c r="S52" s="7739" t="str">
        <f>$K52</f>
        <v>...1</v>
      </c>
      <c r="T52" s="7758"/>
      <c r="U52" s="214"/>
      <c r="V52" s="666"/>
      <c r="W52" s="1181"/>
      <c r="X52" s="666"/>
      <c r="Y52" s="1181"/>
      <c r="Z52" s="1653"/>
      <c r="AA52" s="1385" t="s">
        <v>60</v>
      </c>
      <c r="AB52" s="1653"/>
      <c r="AC52" s="1385" t="s">
        <v>60</v>
      </c>
      <c r="AD52" s="7614" t="s">
        <v>60</v>
      </c>
      <c r="AE52" s="7725"/>
      <c r="AF52" s="7644">
        <v>1</v>
      </c>
      <c r="AG52" s="7762"/>
      <c r="AH52" s="7540" t="s">
        <v>60</v>
      </c>
      <c r="AI52" s="7725"/>
      <c r="AJ52" s="7644">
        <v>1</v>
      </c>
      <c r="AK52" s="7761" t="s">
        <v>24</v>
      </c>
      <c r="AL52" s="7540" t="s">
        <v>60</v>
      </c>
      <c r="AM52" s="7634"/>
      <c r="AN52" s="7644">
        <v>1</v>
      </c>
      <c r="AO52" s="7755"/>
      <c r="AP52" s="7756" t="s">
        <v>60</v>
      </c>
      <c r="AQ52" s="227"/>
      <c r="AR52" s="1401">
        <v>1</v>
      </c>
      <c r="AS52" s="1407" t="s">
        <v>24</v>
      </c>
      <c r="AT52" s="666"/>
      <c r="AU52" s="1181"/>
      <c r="AV52" s="666"/>
      <c r="AW52" s="1181"/>
      <c r="AX52" s="1653"/>
      <c r="AY52" s="1385" t="s">
        <v>60</v>
      </c>
      <c r="AZ52" s="1653"/>
      <c r="BA52" s="1385" t="s">
        <v>60</v>
      </c>
      <c r="BB52" s="1270"/>
      <c r="BC52" s="7684" t="s">
        <v>676</v>
      </c>
      <c r="BE52" s="424"/>
      <c r="BF52" s="424" t="str">
        <f t="shared" si="3"/>
        <v/>
      </c>
      <c r="BG52" s="424"/>
      <c r="BH52" s="424"/>
    </row>
    <row r="53" spans="1:60" ht="11.25" customHeight="1">
      <c r="A53" s="1284"/>
      <c r="B53" s="1284"/>
      <c r="C53" s="1284"/>
      <c r="D53" s="1284"/>
      <c r="E53" s="7690"/>
      <c r="F53" s="7690"/>
      <c r="G53" s="7690"/>
      <c r="H53" s="7690"/>
      <c r="I53" s="7710"/>
      <c r="J53" s="7710"/>
      <c r="K53" s="7687"/>
      <c r="L53" s="1285"/>
      <c r="P53" s="7688"/>
      <c r="Q53" s="7688"/>
      <c r="R53" s="278"/>
      <c r="S53" s="7740"/>
      <c r="T53" s="7759"/>
      <c r="U53" s="214"/>
      <c r="V53" s="1314"/>
      <c r="W53" s="1411"/>
      <c r="X53" s="1314"/>
      <c r="Y53" s="1411"/>
      <c r="Z53" s="1314"/>
      <c r="AA53" s="1314"/>
      <c r="AB53" s="1314"/>
      <c r="AC53" s="1314"/>
      <c r="AD53" s="7615"/>
      <c r="AE53" s="7725"/>
      <c r="AF53" s="7644"/>
      <c r="AG53" s="7762"/>
      <c r="AH53" s="7540"/>
      <c r="AI53" s="7725"/>
      <c r="AJ53" s="7644"/>
      <c r="AK53" s="7761"/>
      <c r="AL53" s="7540"/>
      <c r="AM53" s="7639"/>
      <c r="AN53" s="7644"/>
      <c r="AO53" s="7755"/>
      <c r="AP53" s="7757"/>
      <c r="AQ53" s="234"/>
      <c r="AR53" s="345"/>
      <c r="AS53" s="345" t="s">
        <v>677</v>
      </c>
      <c r="AT53" s="1314"/>
      <c r="AU53" s="1411"/>
      <c r="AV53" s="1314"/>
      <c r="AW53" s="1411"/>
      <c r="AX53" s="1314"/>
      <c r="AY53" s="1314"/>
      <c r="AZ53" s="1314"/>
      <c r="BA53" s="1314"/>
      <c r="BB53" s="1318"/>
      <c r="BC53" s="7685"/>
      <c r="BE53" s="424"/>
      <c r="BF53" s="424"/>
      <c r="BG53" s="424"/>
      <c r="BH53" s="424"/>
    </row>
    <row r="54" spans="1:60" ht="11.25" customHeight="1">
      <c r="A54" s="1284" t="s">
        <v>435</v>
      </c>
      <c r="B54" s="1284"/>
      <c r="C54" s="1284"/>
      <c r="D54" s="1284"/>
      <c r="E54" s="7690"/>
      <c r="F54" s="7690"/>
      <c r="G54" s="7690"/>
      <c r="H54" s="7690"/>
      <c r="I54" s="7710"/>
      <c r="J54" s="7710"/>
      <c r="K54" s="7687"/>
      <c r="L54" s="1285"/>
      <c r="P54" s="7688"/>
      <c r="Q54" s="7688"/>
      <c r="R54" s="278"/>
      <c r="S54" s="7740"/>
      <c r="T54" s="7759"/>
      <c r="U54" s="214"/>
      <c r="V54" s="1314"/>
      <c r="W54" s="1411"/>
      <c r="X54" s="1314"/>
      <c r="Y54" s="1411"/>
      <c r="Z54" s="1314"/>
      <c r="AA54" s="1314"/>
      <c r="AB54" s="1314"/>
      <c r="AC54" s="1314"/>
      <c r="AD54" s="7615"/>
      <c r="AE54" s="7725"/>
      <c r="AF54" s="7644"/>
      <c r="AG54" s="7762"/>
      <c r="AH54" s="7540"/>
      <c r="AI54" s="7725"/>
      <c r="AJ54" s="7644"/>
      <c r="AK54" s="7761"/>
      <c r="AL54" s="7540"/>
      <c r="AM54" s="234"/>
      <c r="AN54" s="1415"/>
      <c r="AO54" s="1415" t="s">
        <v>678</v>
      </c>
      <c r="AP54" s="345"/>
      <c r="AQ54" s="345"/>
      <c r="AR54" s="345"/>
      <c r="AS54" s="1314"/>
      <c r="AT54" s="1314"/>
      <c r="AU54" s="1411"/>
      <c r="AV54" s="1314"/>
      <c r="AW54" s="1411"/>
      <c r="AX54" s="1314"/>
      <c r="AY54" s="1314"/>
      <c r="AZ54" s="1314"/>
      <c r="BA54" s="1314"/>
      <c r="BB54" s="1318"/>
      <c r="BC54" s="7685"/>
      <c r="BE54" s="424"/>
      <c r="BF54" s="424"/>
      <c r="BG54" s="424"/>
      <c r="BH54" s="424"/>
    </row>
    <row r="55" spans="1:60" ht="11.25" customHeight="1">
      <c r="A55" s="1284" t="s">
        <v>435</v>
      </c>
      <c r="B55" s="1284"/>
      <c r="C55" s="1284"/>
      <c r="D55" s="1284"/>
      <c r="E55" s="7690"/>
      <c r="F55" s="7690"/>
      <c r="G55" s="7690"/>
      <c r="H55" s="7690"/>
      <c r="I55" s="7710"/>
      <c r="J55" s="7710"/>
      <c r="K55" s="7687"/>
      <c r="L55" s="1285"/>
      <c r="P55" s="7688"/>
      <c r="Q55" s="7688"/>
      <c r="R55" s="278"/>
      <c r="S55" s="7740"/>
      <c r="T55" s="7759"/>
      <c r="U55" s="214"/>
      <c r="V55" s="1314"/>
      <c r="W55" s="1411"/>
      <c r="X55" s="1314"/>
      <c r="Y55" s="1411"/>
      <c r="Z55" s="1314"/>
      <c r="AA55" s="1314"/>
      <c r="AB55" s="1314"/>
      <c r="AC55" s="1314"/>
      <c r="AD55" s="7615"/>
      <c r="AE55" s="7725"/>
      <c r="AF55" s="7644"/>
      <c r="AG55" s="7762"/>
      <c r="AH55" s="7540"/>
      <c r="AI55" s="208"/>
      <c r="AJ55" s="344"/>
      <c r="AK55" s="229" t="s">
        <v>679</v>
      </c>
      <c r="AL55" s="1314"/>
      <c r="AM55" s="1314"/>
      <c r="AN55" s="1314"/>
      <c r="AO55" s="1314"/>
      <c r="AP55" s="1314"/>
      <c r="AQ55" s="1314"/>
      <c r="AR55" s="1314"/>
      <c r="AS55" s="1314"/>
      <c r="AT55" s="1314"/>
      <c r="AU55" s="1411"/>
      <c r="AV55" s="1314"/>
      <c r="AW55" s="1411"/>
      <c r="AX55" s="1314"/>
      <c r="AY55" s="1314"/>
      <c r="AZ55" s="1314"/>
      <c r="BA55" s="1314"/>
      <c r="BB55" s="1318"/>
      <c r="BC55" s="7685"/>
      <c r="BE55" s="424"/>
      <c r="BF55" s="424"/>
      <c r="BG55" s="424"/>
      <c r="BH55" s="424"/>
    </row>
    <row r="56" spans="1:60" ht="11.25" customHeight="1">
      <c r="A56" s="1284" t="s">
        <v>435</v>
      </c>
      <c r="B56" s="1284" t="s">
        <v>436</v>
      </c>
      <c r="C56" s="1284" t="s">
        <v>437</v>
      </c>
      <c r="D56" s="1284" t="s">
        <v>713</v>
      </c>
      <c r="E56" s="7690"/>
      <c r="F56" s="7690"/>
      <c r="G56" s="7690"/>
      <c r="H56" s="7690"/>
      <c r="I56" s="7710"/>
      <c r="J56" s="7710"/>
      <c r="K56" s="7687"/>
      <c r="L56" s="1285"/>
      <c r="P56" s="7688"/>
      <c r="Q56" s="7688"/>
      <c r="R56" s="278"/>
      <c r="S56" s="7741"/>
      <c r="T56" s="7760"/>
      <c r="U56" s="214"/>
      <c r="V56" s="1314"/>
      <c r="W56" s="1315" t="str">
        <f>Z52&amp;"-"&amp;AB52</f>
        <v>-</v>
      </c>
      <c r="X56" s="1314"/>
      <c r="Y56" s="1315" t="str">
        <f>AB52&amp;"-"&amp;AD52</f>
        <v>-да</v>
      </c>
      <c r="Z56" s="1314"/>
      <c r="AA56" s="1314"/>
      <c r="AB56" s="1314"/>
      <c r="AC56" s="1314"/>
      <c r="AD56" s="7545"/>
      <c r="AE56" s="228"/>
      <c r="AF56" s="230"/>
      <c r="AG56" s="345" t="s">
        <v>680</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7685"/>
      <c r="BE56" s="424"/>
      <c r="BF56" s="424" t="str">
        <f t="shared" ref="BF56:BF63" si="4">IF(T56="","",T56)</f>
        <v/>
      </c>
      <c r="BG56" s="424"/>
      <c r="BH56" s="424"/>
    </row>
    <row r="57" spans="1:60" ht="11.25" customHeight="1">
      <c r="A57" s="1284" t="s">
        <v>435</v>
      </c>
      <c r="B57" s="1284" t="s">
        <v>436</v>
      </c>
      <c r="C57" s="1284" t="s">
        <v>437</v>
      </c>
      <c r="D57" s="1284" t="s">
        <v>713</v>
      </c>
      <c r="E57" s="7690"/>
      <c r="F57" s="7690"/>
      <c r="G57" s="7690"/>
      <c r="H57" s="7690"/>
      <c r="I57" s="7710"/>
      <c r="J57" s="7687"/>
      <c r="K57" s="1284"/>
      <c r="L57" s="1285"/>
      <c r="P57" s="7688"/>
      <c r="Q57" s="7688"/>
      <c r="R57" s="277"/>
      <c r="S57" s="1203"/>
      <c r="T57" s="202" t="s">
        <v>640</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7686"/>
      <c r="BE57" s="424"/>
      <c r="BF57" s="424" t="str">
        <f t="shared" si="4"/>
        <v>Добавить строку</v>
      </c>
      <c r="BG57" s="424"/>
      <c r="BH57" s="424"/>
    </row>
    <row r="58" spans="1:60" s="1562" customFormat="1" ht="0" hidden="1" customHeight="1">
      <c r="A58" s="1265" t="s">
        <v>435</v>
      </c>
      <c r="B58" s="1265" t="s">
        <v>436</v>
      </c>
      <c r="C58" s="1265" t="s">
        <v>437</v>
      </c>
      <c r="D58" s="1265" t="s">
        <v>713</v>
      </c>
      <c r="E58" s="7690"/>
      <c r="F58" s="7690"/>
      <c r="G58" s="7690"/>
      <c r="H58" s="7690"/>
      <c r="I58" s="7687"/>
      <c r="J58" s="1265"/>
      <c r="K58" s="1265"/>
      <c r="L58" s="1268"/>
      <c r="M58" s="434"/>
      <c r="N58" s="434"/>
      <c r="O58" s="434"/>
      <c r="P58" s="7688"/>
      <c r="Q58" s="1396"/>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435</v>
      </c>
      <c r="B59" s="1265" t="s">
        <v>436</v>
      </c>
      <c r="C59" s="1265" t="s">
        <v>437</v>
      </c>
      <c r="D59" s="1265" t="s">
        <v>713</v>
      </c>
      <c r="E59" s="7690"/>
      <c r="F59" s="7690"/>
      <c r="G59" s="7690"/>
      <c r="H59" s="7689"/>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435</v>
      </c>
      <c r="B60" s="1265" t="s">
        <v>436</v>
      </c>
      <c r="C60" s="1265" t="s">
        <v>437</v>
      </c>
      <c r="D60" s="1237"/>
      <c r="E60" s="7690"/>
      <c r="F60" s="7690"/>
      <c r="G60" s="7689"/>
      <c r="H60" s="1237"/>
      <c r="I60" s="1237"/>
      <c r="J60" s="1237"/>
      <c r="K60" s="1237"/>
      <c r="L60" s="1409"/>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435</v>
      </c>
      <c r="B61" s="1265" t="s">
        <v>436</v>
      </c>
      <c r="C61" s="1237"/>
      <c r="D61" s="1237"/>
      <c r="E61" s="7690"/>
      <c r="F61" s="7689"/>
      <c r="G61" s="1237"/>
      <c r="H61" s="1237"/>
      <c r="I61" s="1237"/>
      <c r="J61" s="1237"/>
      <c r="K61" s="1237"/>
      <c r="L61" s="1409"/>
      <c r="M61" s="1244"/>
      <c r="N61" s="1244"/>
      <c r="P61" s="1239"/>
      <c r="Q61" s="1240"/>
      <c r="R61" s="1239"/>
      <c r="S61" s="1245"/>
      <c r="T61" s="1248" t="s">
        <v>325</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435</v>
      </c>
      <c r="B62" s="1265"/>
      <c r="C62" s="1265"/>
      <c r="D62" s="1265"/>
      <c r="E62" s="7689"/>
      <c r="F62" s="1265"/>
      <c r="G62" s="1265"/>
      <c r="H62" s="1265"/>
      <c r="I62" s="1265"/>
      <c r="J62" s="1265"/>
      <c r="K62" s="1265"/>
      <c r="L62" s="1268"/>
      <c r="M62" s="1244"/>
      <c r="N62" s="1244"/>
      <c r="O62" s="442"/>
      <c r="P62" s="308"/>
      <c r="Q62" s="1266"/>
      <c r="R62" s="308"/>
      <c r="S62" s="1245"/>
      <c r="T62" s="1248" t="s">
        <v>326</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409"/>
      <c r="M63" s="1244"/>
      <c r="N63" s="1244"/>
      <c r="P63" s="1239"/>
      <c r="Q63" s="1240"/>
      <c r="R63" s="1239"/>
      <c r="S63" s="1245"/>
      <c r="T63" s="1248" t="s">
        <v>402</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8.75" customHeight="1">
      <c r="O65" s="460"/>
      <c r="S65" s="1169"/>
      <c r="T65" s="7709"/>
      <c r="U65" s="7709"/>
      <c r="V65" s="7709"/>
      <c r="W65" s="7709"/>
      <c r="X65" s="7709"/>
      <c r="Y65" s="7709"/>
      <c r="Z65" s="7709"/>
      <c r="AA65" s="7709"/>
      <c r="AB65" s="7709"/>
      <c r="AC65" s="7709"/>
      <c r="AD65" s="7709"/>
      <c r="AE65" s="7709"/>
      <c r="AF65" s="7709"/>
      <c r="AG65" s="7709"/>
      <c r="AH65" s="7709"/>
      <c r="AI65" s="7709"/>
      <c r="AJ65" s="7709"/>
      <c r="AK65" s="7709"/>
      <c r="AL65" s="7709"/>
      <c r="AM65" s="7709"/>
      <c r="AN65" s="7709"/>
      <c r="AO65" s="7709"/>
      <c r="AP65" s="7709"/>
      <c r="AQ65" s="7709"/>
      <c r="AR65" s="7709"/>
      <c r="AS65" s="7709"/>
      <c r="AT65" s="7709"/>
      <c r="AU65" s="7709"/>
      <c r="AV65" s="7709"/>
      <c r="AW65" s="7709"/>
      <c r="AX65" s="7709"/>
      <c r="AY65" s="7709"/>
      <c r="AZ65" s="7709"/>
      <c r="BA65" s="7709"/>
      <c r="BB65" s="7709"/>
      <c r="BC65" s="7709"/>
    </row>
    <row r="66" spans="15:55" ht="14.25" customHeight="1">
      <c r="O66" s="46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row>
    <row r="67" spans="15:55" ht="18.75" customHeight="1">
      <c r="O67" s="460"/>
      <c r="S67" s="1169"/>
      <c r="T67" s="7709"/>
      <c r="U67" s="7709"/>
      <c r="V67" s="7709"/>
      <c r="W67" s="7709"/>
      <c r="X67" s="7709"/>
      <c r="Y67" s="7709"/>
      <c r="Z67" s="7709"/>
      <c r="AA67" s="7709"/>
      <c r="AB67" s="7709"/>
      <c r="AC67" s="7709"/>
      <c r="AD67" s="7709"/>
      <c r="AE67" s="7709"/>
      <c r="AF67" s="7709"/>
      <c r="AG67" s="7709"/>
      <c r="AH67" s="7709"/>
      <c r="AI67" s="7709"/>
      <c r="AJ67" s="7709"/>
      <c r="AK67" s="7709"/>
      <c r="AL67" s="7709"/>
      <c r="AM67" s="7709"/>
      <c r="AN67" s="7709"/>
      <c r="AO67" s="7709"/>
      <c r="AP67" s="7709"/>
      <c r="AQ67" s="7709"/>
      <c r="AR67" s="7709"/>
      <c r="AS67" s="7709"/>
      <c r="AT67" s="7709"/>
      <c r="AU67" s="7709"/>
      <c r="AV67" s="7709"/>
      <c r="AW67" s="7709"/>
      <c r="AX67" s="7709"/>
      <c r="AY67" s="7709"/>
      <c r="AZ67" s="7709"/>
      <c r="BA67" s="7709"/>
      <c r="BB67" s="7709"/>
      <c r="BC67" s="7709"/>
    </row>
    <row r="68" spans="15:55" ht="14.25" customHeight="1">
      <c r="O68" s="460"/>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78"/>
  <sheetViews>
    <sheetView showGridLines="0" topLeftCell="C20" zoomScale="90" workbookViewId="0">
      <selection activeCell="G63" sqref="G63"/>
    </sheetView>
  </sheetViews>
  <sheetFormatPr defaultColWidth="9.140625" defaultRowHeight="14.25" customHeight="1"/>
  <cols>
    <col min="1" max="1" width="8" style="1555" hidden="1" customWidth="1"/>
    <col min="2" max="2" width="6" style="1287" hidden="1" customWidth="1"/>
    <col min="3" max="3" width="3.7109375" style="1555" customWidth="1"/>
    <col min="4" max="4" width="3.7109375" style="1760" customWidth="1"/>
    <col min="5" max="5" width="6.28515625" style="1555" customWidth="1"/>
    <col min="6" max="6" width="2.7109375" style="1555" hidden="1" customWidth="1"/>
    <col min="7" max="7" width="46.7109375" style="1555" customWidth="1"/>
    <col min="8" max="8" width="43.140625" style="1555" customWidth="1"/>
    <col min="9" max="9" width="14.85546875" style="1555" customWidth="1"/>
    <col min="10" max="10" width="3.7109375" style="1544" customWidth="1"/>
    <col min="11" max="13" width="9.140625" style="1544" hidden="1"/>
    <col min="14" max="14" width="25.7109375" style="1544" hidden="1" customWidth="1"/>
    <col min="15" max="15" width="14.42578125" style="1544" hidden="1" customWidth="1"/>
    <col min="16" max="19" width="9.140625" style="142" hidden="1"/>
    <col min="20" max="27" width="9.140625" style="1555" hidden="1"/>
    <col min="28" max="28" width="9.140625" style="1555"/>
  </cols>
  <sheetData>
    <row r="1" spans="1:28" s="1562" customFormat="1" ht="5.25" hidden="1" customHeight="1">
      <c r="A1" s="420"/>
      <c r="B1" s="435"/>
      <c r="C1" s="435"/>
      <c r="D1" s="138"/>
      <c r="F1" s="435"/>
      <c r="G1" s="162" t="s">
        <v>81</v>
      </c>
      <c r="H1" s="418" t="s">
        <v>82</v>
      </c>
      <c r="I1" s="144" t="s">
        <v>83</v>
      </c>
      <c r="J1" s="162" t="s">
        <v>81</v>
      </c>
      <c r="K1" s="162"/>
      <c r="L1" s="162"/>
      <c r="M1" s="162"/>
      <c r="N1" s="163"/>
      <c r="O1" s="162"/>
      <c r="P1" s="162"/>
      <c r="Q1" s="162"/>
      <c r="R1" s="162"/>
      <c r="S1" s="162"/>
      <c r="T1" s="144"/>
      <c r="U1" s="144"/>
      <c r="V1" s="144"/>
      <c r="W1" s="144"/>
      <c r="X1" s="144"/>
      <c r="Y1" s="144"/>
      <c r="Z1" s="144"/>
      <c r="AA1" s="144"/>
      <c r="AB1" s="144"/>
    </row>
    <row r="2" spans="1:28" s="1333" customFormat="1" ht="11.25" customHeight="1">
      <c r="A2" s="745"/>
      <c r="B2" s="145"/>
      <c r="C2" s="145"/>
      <c r="D2" s="146"/>
      <c r="E2" s="145"/>
      <c r="F2" s="145"/>
      <c r="G2" s="145"/>
      <c r="H2" s="145"/>
      <c r="I2" s="145"/>
      <c r="J2" s="162"/>
      <c r="K2" s="162"/>
      <c r="L2" s="162"/>
      <c r="M2" s="162"/>
      <c r="N2" s="163"/>
      <c r="O2" s="162"/>
      <c r="P2" s="147"/>
      <c r="Q2" s="147"/>
      <c r="R2" s="147"/>
      <c r="S2" s="147"/>
      <c r="T2" s="146"/>
      <c r="U2" s="146"/>
      <c r="V2" s="146"/>
      <c r="W2" s="146"/>
      <c r="X2" s="146"/>
      <c r="Y2" s="146"/>
      <c r="Z2" s="146"/>
      <c r="AA2" s="146"/>
      <c r="AB2" s="146"/>
    </row>
    <row r="3" spans="1:28" s="1739" customFormat="1" ht="3" customHeight="1">
      <c r="A3" s="673"/>
      <c r="B3" s="346"/>
      <c r="C3" s="673"/>
      <c r="D3" s="82"/>
      <c r="E3" s="31"/>
      <c r="F3" s="433"/>
      <c r="G3" s="31"/>
      <c r="H3" s="31"/>
      <c r="I3" s="84"/>
      <c r="J3" s="162"/>
      <c r="K3" s="73"/>
      <c r="L3" s="73"/>
      <c r="M3" s="73"/>
      <c r="N3" s="143"/>
      <c r="O3" s="73"/>
      <c r="P3" s="142"/>
      <c r="Q3" s="142"/>
      <c r="R3" s="142"/>
      <c r="S3" s="142"/>
    </row>
    <row r="4" spans="1:28" s="1739" customFormat="1" ht="25.5" customHeight="1">
      <c r="A4" s="673"/>
      <c r="B4" s="346"/>
      <c r="C4" s="673"/>
      <c r="D4" s="82"/>
      <c r="E4" s="7535" t="str">
        <f>NameTemplatesInListMO</f>
        <v>Перечень муниципальных районов и муниципальных образований (территорий действия тарифа)</v>
      </c>
      <c r="F4" s="7535"/>
      <c r="G4" s="7535"/>
      <c r="H4" s="7535"/>
      <c r="I4" s="7535"/>
      <c r="J4" s="162"/>
      <c r="K4" s="73"/>
      <c r="L4" s="73"/>
      <c r="M4" s="73"/>
      <c r="N4" s="143"/>
      <c r="O4" s="73"/>
      <c r="P4" s="142"/>
      <c r="Q4" s="142"/>
      <c r="R4" s="142"/>
      <c r="S4" s="142"/>
    </row>
    <row r="5" spans="1:28" s="1739" customFormat="1" ht="3" customHeight="1">
      <c r="A5" s="673"/>
      <c r="B5" s="346"/>
      <c r="C5" s="673"/>
      <c r="D5" s="82"/>
      <c r="E5" s="31"/>
      <c r="F5" s="433"/>
      <c r="G5" s="85"/>
      <c r="H5" s="85"/>
      <c r="I5" s="86"/>
      <c r="J5" s="73"/>
      <c r="K5" s="73"/>
      <c r="L5" s="73"/>
      <c r="M5" s="73"/>
      <c r="N5" s="143"/>
      <c r="O5" s="73"/>
      <c r="P5" s="142"/>
      <c r="Q5" s="142"/>
      <c r="R5" s="142"/>
      <c r="S5" s="142"/>
    </row>
    <row r="6" spans="1:28" s="1739" customFormat="1" ht="20.25" hidden="1" customHeight="1">
      <c r="A6" s="751"/>
      <c r="B6" s="747"/>
      <c r="C6" s="87"/>
      <c r="D6" s="82"/>
      <c r="E6" s="693"/>
      <c r="F6" s="693"/>
      <c r="G6" s="85"/>
      <c r="H6" s="88"/>
      <c r="I6" s="88"/>
      <c r="J6" s="73"/>
      <c r="K6" s="73"/>
      <c r="L6" s="73"/>
      <c r="M6" s="73"/>
      <c r="N6" s="143"/>
      <c r="O6" s="73"/>
      <c r="P6" s="142"/>
      <c r="Q6" s="142"/>
      <c r="R6" s="142"/>
      <c r="S6" s="142"/>
    </row>
    <row r="7" spans="1:28" ht="25.5" hidden="1" customHeight="1"/>
    <row r="8" spans="1:28" s="1739" customFormat="1" ht="14.25" customHeight="1">
      <c r="A8" s="673"/>
      <c r="B8" s="346"/>
      <c r="C8" s="673"/>
      <c r="D8" s="82"/>
      <c r="E8" s="7530" t="s">
        <v>84</v>
      </c>
      <c r="F8" s="7536"/>
      <c r="G8" s="7529"/>
      <c r="H8" s="7537" t="s">
        <v>85</v>
      </c>
      <c r="I8" s="7537"/>
      <c r="J8" s="73"/>
      <c r="K8" s="73"/>
      <c r="L8" s="73"/>
      <c r="M8" s="73"/>
      <c r="N8" s="143"/>
      <c r="O8" s="73"/>
      <c r="P8" s="142"/>
      <c r="Q8" s="142"/>
      <c r="R8" s="142"/>
      <c r="S8" s="142"/>
    </row>
    <row r="9" spans="1:28" s="1739" customFormat="1" ht="20.25" customHeight="1">
      <c r="A9" s="673"/>
      <c r="B9" s="346"/>
      <c r="C9" s="673"/>
      <c r="D9" s="82"/>
      <c r="E9" s="691" t="s">
        <v>86</v>
      </c>
      <c r="F9" s="691"/>
      <c r="G9" s="90" t="s">
        <v>87</v>
      </c>
      <c r="H9" s="90" t="s">
        <v>87</v>
      </c>
      <c r="I9" s="90" t="s">
        <v>83</v>
      </c>
      <c r="J9" s="73"/>
      <c r="K9" s="73"/>
      <c r="L9" s="73"/>
      <c r="M9" s="73"/>
      <c r="N9" s="143"/>
      <c r="O9" s="73"/>
      <c r="P9" s="142"/>
      <c r="Q9" s="142"/>
      <c r="R9" s="142"/>
      <c r="S9" s="142"/>
    </row>
    <row r="10" spans="1:28" ht="11.25" customHeight="1">
      <c r="D10" s="94"/>
      <c r="E10" s="692" t="s">
        <v>88</v>
      </c>
      <c r="F10" s="692"/>
      <c r="G10" s="140" t="s">
        <v>89</v>
      </c>
      <c r="H10" s="140" t="s">
        <v>90</v>
      </c>
      <c r="I10" s="140" t="s">
        <v>91</v>
      </c>
      <c r="J10" s="104"/>
      <c r="K10" s="104"/>
      <c r="L10" s="104"/>
      <c r="M10" s="104"/>
      <c r="N10" s="89"/>
      <c r="O10" s="104"/>
      <c r="P10" s="141"/>
      <c r="Q10" s="141"/>
      <c r="R10" s="141"/>
      <c r="S10" s="141"/>
    </row>
    <row r="11" spans="1:28" s="1739" customFormat="1" ht="0.75" customHeight="1">
      <c r="A11" s="673"/>
      <c r="B11" s="346"/>
      <c r="C11" s="673"/>
      <c r="D11" s="82"/>
      <c r="E11" s="704"/>
      <c r="F11" s="704"/>
      <c r="G11" s="91"/>
      <c r="H11" s="91"/>
      <c r="I11" s="93"/>
      <c r="J11" s="164" t="s">
        <v>92</v>
      </c>
      <c r="K11" s="73"/>
      <c r="L11" s="73"/>
      <c r="M11" s="73" t="s">
        <v>93</v>
      </c>
      <c r="N11" s="143" t="s">
        <v>94</v>
      </c>
      <c r="O11" s="73" t="s">
        <v>95</v>
      </c>
      <c r="P11" s="142"/>
      <c r="Q11" s="142"/>
      <c r="R11" s="142"/>
      <c r="S11" s="142"/>
    </row>
    <row r="12" spans="1:28" s="1739" customFormat="1" ht="14.25" customHeight="1">
      <c r="A12" s="7533">
        <v>1</v>
      </c>
      <c r="B12" s="346"/>
      <c r="C12" s="673"/>
      <c r="D12" s="696"/>
      <c r="E12" s="136">
        <f>A12</f>
        <v>1</v>
      </c>
      <c r="F12" s="716" t="s">
        <v>96</v>
      </c>
      <c r="G12" s="463" t="str">
        <f>"Территория "&amp;E12</f>
        <v>Территория 1</v>
      </c>
      <c r="H12" s="706"/>
      <c r="I12" s="706"/>
      <c r="J12" s="703"/>
      <c r="K12" s="424"/>
      <c r="L12" s="424"/>
      <c r="M12" s="424"/>
      <c r="N12" s="143"/>
      <c r="O12" s="424"/>
      <c r="P12" s="142"/>
      <c r="Q12" s="142"/>
      <c r="R12" s="142"/>
      <c r="S12" s="142"/>
    </row>
    <row r="13" spans="1:28" s="1827" customFormat="1" ht="15" customHeight="1">
      <c r="A13" s="7533"/>
      <c r="B13" s="346">
        <v>1</v>
      </c>
      <c r="C13" s="346"/>
      <c r="D13" s="714"/>
      <c r="E13" s="694" t="str">
        <f>A12&amp;"."&amp;B13</f>
        <v>1.1</v>
      </c>
      <c r="F13" s="709" t="s">
        <v>97</v>
      </c>
      <c r="G13" s="707" t="s">
        <v>98</v>
      </c>
      <c r="H13" s="707" t="s">
        <v>98</v>
      </c>
      <c r="I13" s="705" t="s">
        <v>99</v>
      </c>
      <c r="J13" s="424" t="e">
        <f ca="1">MERGEVALUE(G13)</f>
        <v>#NAME?</v>
      </c>
      <c r="K13" s="435"/>
      <c r="L13" s="435"/>
      <c r="M13" s="424" t="str">
        <f t="array" ref="M13">IF(ISERROR(MATCH(MID(N13,1,250),MID(note_ter,1,250),0)),"n","y")</f>
        <v>n</v>
      </c>
      <c r="N13" s="435"/>
      <c r="O13" s="424" t="str">
        <f t="shared" ref="O13:O41" si="0">H13&amp;"("&amp;I13&amp;")"</f>
        <v>Александровский муниципальный округ(07502000)</v>
      </c>
      <c r="P13" s="346"/>
      <c r="Q13" s="346"/>
      <c r="R13" s="348"/>
      <c r="S13" s="346"/>
      <c r="T13" s="346"/>
      <c r="U13" s="346"/>
      <c r="V13" s="350"/>
      <c r="W13" s="350"/>
      <c r="X13" s="347"/>
      <c r="Y13" s="347"/>
      <c r="Z13" s="347"/>
      <c r="AA13" s="347"/>
      <c r="AB13" s="347"/>
    </row>
    <row r="14" spans="1:28" ht="15" customHeight="1">
      <c r="A14" s="7534"/>
      <c r="B14" s="1287" t="s">
        <v>100</v>
      </c>
      <c r="C14" s="1287"/>
      <c r="D14" s="714" t="s">
        <v>101</v>
      </c>
      <c r="E14" s="1797" t="str">
        <f>A12&amp;"."&amp;B14</f>
        <v>1.2</v>
      </c>
      <c r="F14" s="1802" t="s">
        <v>102</v>
      </c>
      <c r="G14" s="1806" t="s">
        <v>103</v>
      </c>
      <c r="H14" s="1806" t="s">
        <v>103</v>
      </c>
      <c r="I14" s="1804" t="s">
        <v>104</v>
      </c>
      <c r="K14" s="1556"/>
      <c r="L14" s="1556"/>
      <c r="M14" s="1544" t="str">
        <f t="array" ref="M14">IF(ISERROR(MATCH(MID(N14,1,250),MID(note_ter,1,250),0)),"n","y")</f>
        <v>n</v>
      </c>
      <c r="N14" s="1556"/>
      <c r="O14" s="1544" t="str">
        <f t="shared" si="0"/>
        <v>Андроповский муниципальный округ(07503000)</v>
      </c>
      <c r="P14" s="1287"/>
      <c r="Q14" s="1287"/>
      <c r="R14" s="348"/>
      <c r="S14" s="1287"/>
      <c r="T14" s="1287"/>
      <c r="U14" s="1287"/>
      <c r="V14" s="747"/>
      <c r="W14" s="747"/>
      <c r="X14" s="545"/>
      <c r="Y14" s="545"/>
      <c r="Z14" s="545"/>
      <c r="AA14" s="545"/>
      <c r="AB14" s="545"/>
    </row>
    <row r="15" spans="1:28" ht="15" customHeight="1">
      <c r="A15" s="7534"/>
      <c r="B15" s="1287" t="s">
        <v>88</v>
      </c>
      <c r="C15" s="1287"/>
      <c r="D15" s="714" t="s">
        <v>101</v>
      </c>
      <c r="E15" s="1797" t="str">
        <f>A12&amp;"."&amp;B15</f>
        <v>1.3</v>
      </c>
      <c r="F15" s="1802" t="s">
        <v>105</v>
      </c>
      <c r="G15" s="1806" t="s">
        <v>106</v>
      </c>
      <c r="H15" s="1806" t="s">
        <v>106</v>
      </c>
      <c r="I15" s="1804" t="s">
        <v>107</v>
      </c>
      <c r="K15" s="1556"/>
      <c r="L15" s="1556"/>
      <c r="M15" s="1544" t="str">
        <f t="array" ref="M15">IF(ISERROR(MATCH(MID(N15,1,250),MID(note_ter,1,250),0)),"n","y")</f>
        <v>n</v>
      </c>
      <c r="N15" s="1556"/>
      <c r="O15" s="1544" t="str">
        <f t="shared" si="0"/>
        <v>Апанасенковский муниципальный округ(07505000)</v>
      </c>
      <c r="P15" s="1287"/>
      <c r="Q15" s="1287"/>
      <c r="R15" s="348"/>
      <c r="S15" s="1287"/>
      <c r="T15" s="1287"/>
      <c r="U15" s="1287"/>
      <c r="V15" s="747"/>
      <c r="W15" s="747"/>
      <c r="X15" s="545"/>
      <c r="Y15" s="545"/>
      <c r="Z15" s="545"/>
      <c r="AA15" s="545"/>
      <c r="AB15" s="545"/>
    </row>
    <row r="16" spans="1:28" ht="15" customHeight="1">
      <c r="A16" s="7534"/>
      <c r="B16" s="1287" t="s">
        <v>89</v>
      </c>
      <c r="C16" s="1287"/>
      <c r="D16" s="714" t="s">
        <v>101</v>
      </c>
      <c r="E16" s="1797" t="str">
        <f>A12&amp;"."&amp;B16</f>
        <v>1.4</v>
      </c>
      <c r="F16" s="1802" t="s">
        <v>108</v>
      </c>
      <c r="G16" s="1806" t="s">
        <v>109</v>
      </c>
      <c r="H16" s="1806" t="s">
        <v>109</v>
      </c>
      <c r="I16" s="1804" t="s">
        <v>110</v>
      </c>
      <c r="K16" s="1556"/>
      <c r="L16" s="1556"/>
      <c r="M16" s="1544" t="str">
        <f t="array" ref="M16">IF(ISERROR(MATCH(MID(N16,1,250),MID(note_ter,1,250),0)),"n","y")</f>
        <v>n</v>
      </c>
      <c r="N16" s="1556"/>
      <c r="O16" s="1544" t="str">
        <f t="shared" si="0"/>
        <v>Арзгирский муниципальный округ(07507000)</v>
      </c>
      <c r="P16" s="1287"/>
      <c r="Q16" s="1287"/>
      <c r="R16" s="348"/>
      <c r="S16" s="1287"/>
      <c r="T16" s="1287"/>
      <c r="U16" s="1287"/>
      <c r="V16" s="747"/>
      <c r="W16" s="747"/>
      <c r="X16" s="545"/>
      <c r="Y16" s="545"/>
      <c r="Z16" s="545"/>
      <c r="AA16" s="545"/>
      <c r="AB16" s="545"/>
    </row>
    <row r="17" spans="1:28" ht="15" customHeight="1">
      <c r="A17" s="7534"/>
      <c r="B17" s="1287" t="s">
        <v>111</v>
      </c>
      <c r="C17" s="1287"/>
      <c r="D17" s="714" t="s">
        <v>101</v>
      </c>
      <c r="E17" s="1797" t="str">
        <f>A12&amp;"."&amp;B17</f>
        <v>1.5</v>
      </c>
      <c r="F17" s="1802" t="s">
        <v>112</v>
      </c>
      <c r="G17" s="1806" t="s">
        <v>113</v>
      </c>
      <c r="H17" s="1806" t="s">
        <v>113</v>
      </c>
      <c r="I17" s="1804" t="s">
        <v>114</v>
      </c>
      <c r="K17" s="1556"/>
      <c r="L17" s="1556"/>
      <c r="M17" s="1544" t="str">
        <f t="array" ref="M17">IF(ISERROR(MATCH(MID(N17,1,250),MID(note_ter,1,250),0)),"n","y")</f>
        <v>n</v>
      </c>
      <c r="N17" s="1556"/>
      <c r="O17" s="1544" t="str">
        <f t="shared" si="0"/>
        <v>Благодарненский(07705000)</v>
      </c>
      <c r="P17" s="1287"/>
      <c r="Q17" s="1287"/>
      <c r="R17" s="348"/>
      <c r="S17" s="1287"/>
      <c r="T17" s="1287"/>
      <c r="U17" s="1287"/>
      <c r="V17" s="747"/>
      <c r="W17" s="747"/>
      <c r="X17" s="545"/>
      <c r="Y17" s="545"/>
      <c r="Z17" s="545"/>
      <c r="AA17" s="545"/>
      <c r="AB17" s="545"/>
    </row>
    <row r="18" spans="1:28" ht="15" customHeight="1">
      <c r="A18" s="7534"/>
      <c r="B18" s="1287" t="s">
        <v>90</v>
      </c>
      <c r="C18" s="1287"/>
      <c r="D18" s="714" t="s">
        <v>101</v>
      </c>
      <c r="E18" s="1797" t="str">
        <f>A12&amp;"."&amp;B18</f>
        <v>1.6</v>
      </c>
      <c r="F18" s="1802" t="s">
        <v>115</v>
      </c>
      <c r="G18" s="1806" t="s">
        <v>116</v>
      </c>
      <c r="H18" s="1806" t="s">
        <v>116</v>
      </c>
      <c r="I18" s="1804" t="s">
        <v>117</v>
      </c>
      <c r="K18" s="1556"/>
      <c r="L18" s="1556"/>
      <c r="M18" s="1544" t="str">
        <f t="array" ref="M18">IF(ISERROR(MATCH(MID(N18,1,250),MID(note_ter,1,250),0)),"n","y")</f>
        <v>n</v>
      </c>
      <c r="N18" s="1556"/>
      <c r="O18" s="1544" t="str">
        <f t="shared" si="0"/>
        <v>Будённовский муниципальный округ(07512000)</v>
      </c>
      <c r="P18" s="1287"/>
      <c r="Q18" s="1287"/>
      <c r="R18" s="348"/>
      <c r="S18" s="1287"/>
      <c r="T18" s="1287"/>
      <c r="U18" s="1287"/>
      <c r="V18" s="747"/>
      <c r="W18" s="747"/>
      <c r="X18" s="545"/>
      <c r="Y18" s="545"/>
      <c r="Z18" s="545"/>
      <c r="AA18" s="545"/>
      <c r="AB18" s="545"/>
    </row>
    <row r="19" spans="1:28" ht="15" customHeight="1">
      <c r="A19" s="7534"/>
      <c r="B19" s="1287" t="s">
        <v>91</v>
      </c>
      <c r="C19" s="1287"/>
      <c r="D19" s="714" t="s">
        <v>101</v>
      </c>
      <c r="E19" s="1797" t="str">
        <f>A12&amp;"."&amp;B19</f>
        <v>1.7</v>
      </c>
      <c r="F19" s="1802" t="s">
        <v>118</v>
      </c>
      <c r="G19" s="1806" t="s">
        <v>119</v>
      </c>
      <c r="H19" s="1806" t="s">
        <v>119</v>
      </c>
      <c r="I19" s="1804" t="s">
        <v>120</v>
      </c>
      <c r="K19" s="1556"/>
      <c r="L19" s="1556"/>
      <c r="M19" s="1544" t="str">
        <f t="array" ref="M19">IF(ISERROR(MATCH(MID(N19,1,250),MID(note_ter,1,250),0)),"n","y")</f>
        <v>n</v>
      </c>
      <c r="N19" s="1556"/>
      <c r="O19" s="1544" t="str">
        <f t="shared" si="0"/>
        <v>Георгиевский(07707000)</v>
      </c>
      <c r="P19" s="1287"/>
      <c r="Q19" s="1287"/>
      <c r="R19" s="348"/>
      <c r="S19" s="1287"/>
      <c r="T19" s="1287"/>
      <c r="U19" s="1287"/>
      <c r="V19" s="747"/>
      <c r="W19" s="747"/>
      <c r="X19" s="545"/>
      <c r="Y19" s="545"/>
      <c r="Z19" s="545"/>
      <c r="AA19" s="545"/>
      <c r="AB19" s="545"/>
    </row>
    <row r="20" spans="1:28" ht="15" customHeight="1">
      <c r="A20" s="7534"/>
      <c r="B20" s="1287" t="s">
        <v>121</v>
      </c>
      <c r="C20" s="1287"/>
      <c r="D20" s="714" t="s">
        <v>101</v>
      </c>
      <c r="E20" s="1797" t="str">
        <f>A12&amp;"."&amp;B20</f>
        <v>1.8</v>
      </c>
      <c r="F20" s="1802" t="s">
        <v>122</v>
      </c>
      <c r="G20" s="1806" t="s">
        <v>123</v>
      </c>
      <c r="H20" s="1806" t="s">
        <v>123</v>
      </c>
      <c r="I20" s="1804" t="s">
        <v>124</v>
      </c>
      <c r="K20" s="1556"/>
      <c r="L20" s="1556"/>
      <c r="M20" s="1544" t="str">
        <f t="array" ref="M20">IF(ISERROR(MATCH(MID(N20,1,250),MID(note_ter,1,250),0)),"n","y")</f>
        <v>n</v>
      </c>
      <c r="N20" s="1556"/>
      <c r="O20" s="1544" t="str">
        <f t="shared" si="0"/>
        <v>Город Лермонтов(07718000)</v>
      </c>
      <c r="P20" s="1287"/>
      <c r="Q20" s="1287"/>
      <c r="R20" s="348"/>
      <c r="S20" s="1287"/>
      <c r="T20" s="1287"/>
      <c r="U20" s="1287"/>
      <c r="V20" s="747"/>
      <c r="W20" s="747"/>
      <c r="X20" s="545"/>
      <c r="Y20" s="545"/>
      <c r="Z20" s="545"/>
      <c r="AA20" s="545"/>
      <c r="AB20" s="545"/>
    </row>
    <row r="21" spans="1:28" ht="15" customHeight="1">
      <c r="A21" s="7534"/>
      <c r="B21" s="1287" t="s">
        <v>125</v>
      </c>
      <c r="C21" s="1287"/>
      <c r="D21" s="714" t="s">
        <v>101</v>
      </c>
      <c r="E21" s="1797" t="str">
        <f>A12&amp;"."&amp;B21</f>
        <v>1.9</v>
      </c>
      <c r="F21" s="1802" t="s">
        <v>126</v>
      </c>
      <c r="G21" s="1806" t="s">
        <v>127</v>
      </c>
      <c r="H21" s="1806" t="s">
        <v>127</v>
      </c>
      <c r="I21" s="1804" t="s">
        <v>128</v>
      </c>
      <c r="K21" s="1556"/>
      <c r="L21" s="1556"/>
      <c r="M21" s="1544" t="str">
        <f t="array" ref="M21">IF(ISERROR(MATCH(MID(N21,1,250),MID(note_ter,1,250),0)),"n","y")</f>
        <v>n</v>
      </c>
      <c r="N21" s="1556"/>
      <c r="O21" s="1544" t="str">
        <f t="shared" si="0"/>
        <v>Город-курорт Ессентуки(07710000)</v>
      </c>
      <c r="P21" s="1287"/>
      <c r="Q21" s="1287"/>
      <c r="R21" s="348"/>
      <c r="S21" s="1287"/>
      <c r="T21" s="1287"/>
      <c r="U21" s="1287"/>
      <c r="V21" s="747"/>
      <c r="W21" s="747"/>
      <c r="X21" s="545"/>
      <c r="Y21" s="545"/>
      <c r="Z21" s="545"/>
      <c r="AA21" s="545"/>
      <c r="AB21" s="545"/>
    </row>
    <row r="22" spans="1:28" ht="15" customHeight="1">
      <c r="A22" s="7534"/>
      <c r="B22" s="1287" t="s">
        <v>129</v>
      </c>
      <c r="C22" s="1287"/>
      <c r="D22" s="714" t="s">
        <v>101</v>
      </c>
      <c r="E22" s="1797" t="str">
        <f>A12&amp;"."&amp;B22</f>
        <v>1.10</v>
      </c>
      <c r="F22" s="1802" t="s">
        <v>130</v>
      </c>
      <c r="G22" s="1806" t="s">
        <v>131</v>
      </c>
      <c r="H22" s="1806" t="s">
        <v>131</v>
      </c>
      <c r="I22" s="1804" t="s">
        <v>132</v>
      </c>
      <c r="K22" s="1556"/>
      <c r="L22" s="1556"/>
      <c r="M22" s="1544" t="str">
        <f t="array" ref="M22">IF(ISERROR(MATCH(MID(N22,1,250),MID(note_ter,1,250),0)),"n","y")</f>
        <v>n</v>
      </c>
      <c r="N22" s="1556"/>
      <c r="O22" s="1544" t="str">
        <f t="shared" si="0"/>
        <v>Город-курорт Железноводск(07712000)</v>
      </c>
      <c r="P22" s="1287"/>
      <c r="Q22" s="1287"/>
      <c r="R22" s="348"/>
      <c r="S22" s="1287"/>
      <c r="T22" s="1287"/>
      <c r="U22" s="1287"/>
      <c r="V22" s="747"/>
      <c r="W22" s="747"/>
      <c r="X22" s="545"/>
      <c r="Y22" s="545"/>
      <c r="Z22" s="545"/>
      <c r="AA22" s="545"/>
      <c r="AB22" s="545"/>
    </row>
    <row r="23" spans="1:28" ht="15" customHeight="1">
      <c r="A23" s="7534"/>
      <c r="B23" s="1287" t="s">
        <v>102</v>
      </c>
      <c r="C23" s="1287"/>
      <c r="D23" s="714" t="s">
        <v>101</v>
      </c>
      <c r="E23" s="1797" t="str">
        <f>A12&amp;"."&amp;B23</f>
        <v>1.11</v>
      </c>
      <c r="F23" s="1802" t="s">
        <v>133</v>
      </c>
      <c r="G23" s="1806" t="s">
        <v>134</v>
      </c>
      <c r="H23" s="1806" t="s">
        <v>134</v>
      </c>
      <c r="I23" s="1804" t="s">
        <v>135</v>
      </c>
      <c r="K23" s="1556"/>
      <c r="L23" s="1556"/>
      <c r="M23" s="1544" t="str">
        <f t="array" ref="M23">IF(ISERROR(MATCH(MID(N23,1,250),MID(note_ter,1,250),0)),"n","y")</f>
        <v>n</v>
      </c>
      <c r="N23" s="1556"/>
      <c r="O23" s="1544" t="str">
        <f t="shared" si="0"/>
        <v>Город-курорт Кисловодск(07715000)</v>
      </c>
      <c r="P23" s="1287"/>
      <c r="Q23" s="1287"/>
      <c r="R23" s="348"/>
      <c r="S23" s="1287"/>
      <c r="T23" s="1287"/>
      <c r="U23" s="1287"/>
      <c r="V23" s="747"/>
      <c r="W23" s="747"/>
      <c r="X23" s="545"/>
      <c r="Y23" s="545"/>
      <c r="Z23" s="545"/>
      <c r="AA23" s="545"/>
      <c r="AB23" s="545"/>
    </row>
    <row r="24" spans="1:28" ht="15" customHeight="1">
      <c r="A24" s="7534"/>
      <c r="B24" s="1287" t="s">
        <v>136</v>
      </c>
      <c r="C24" s="1287"/>
      <c r="D24" s="714" t="s">
        <v>101</v>
      </c>
      <c r="E24" s="1797" t="str">
        <f>A12&amp;"."&amp;B24</f>
        <v>1.12</v>
      </c>
      <c r="F24" s="1802" t="s">
        <v>137</v>
      </c>
      <c r="G24" s="1806" t="s">
        <v>138</v>
      </c>
      <c r="H24" s="1806" t="s">
        <v>138</v>
      </c>
      <c r="I24" s="1804" t="s">
        <v>139</v>
      </c>
      <c r="K24" s="1556"/>
      <c r="L24" s="1556"/>
      <c r="M24" s="1544" t="str">
        <f t="array" ref="M24">IF(ISERROR(MATCH(MID(N24,1,250),MID(note_ter,1,250),0)),"n","y")</f>
        <v>n</v>
      </c>
      <c r="N24" s="1556"/>
      <c r="O24" s="1544" t="str">
        <f t="shared" si="0"/>
        <v>Город-курорт Пятигорск(07727000)</v>
      </c>
      <c r="P24" s="1287"/>
      <c r="Q24" s="1287"/>
      <c r="R24" s="348"/>
      <c r="S24" s="1287"/>
      <c r="T24" s="1287"/>
      <c r="U24" s="1287"/>
      <c r="V24" s="747"/>
      <c r="W24" s="747"/>
      <c r="X24" s="545"/>
      <c r="Y24" s="545"/>
      <c r="Z24" s="545"/>
      <c r="AA24" s="545"/>
      <c r="AB24" s="545"/>
    </row>
    <row r="25" spans="1:28" ht="15" customHeight="1">
      <c r="A25" s="7534"/>
      <c r="B25" s="1287" t="s">
        <v>140</v>
      </c>
      <c r="C25" s="1287"/>
      <c r="D25" s="714" t="s">
        <v>101</v>
      </c>
      <c r="E25" s="1797" t="str">
        <f>A12&amp;"."&amp;B25</f>
        <v>1.13</v>
      </c>
      <c r="F25" s="1802" t="s">
        <v>141</v>
      </c>
      <c r="G25" s="1806" t="s">
        <v>142</v>
      </c>
      <c r="H25" s="1806" t="s">
        <v>142</v>
      </c>
      <c r="I25" s="1804" t="s">
        <v>143</v>
      </c>
      <c r="K25" s="1556"/>
      <c r="L25" s="1556"/>
      <c r="M25" s="1544" t="str">
        <f t="array" ref="M25">IF(ISERROR(MATCH(MID(N25,1,250),MID(note_ter,1,250),0)),"n","y")</f>
        <v>n</v>
      </c>
      <c r="N25" s="1556"/>
      <c r="O25" s="1544" t="str">
        <f t="shared" si="0"/>
        <v>Грачёвский муниципальный округ(07517000)</v>
      </c>
      <c r="P25" s="1287"/>
      <c r="Q25" s="1287"/>
      <c r="R25" s="348"/>
      <c r="S25" s="1287"/>
      <c r="T25" s="1287"/>
      <c r="U25" s="1287"/>
      <c r="V25" s="747"/>
      <c r="W25" s="747"/>
      <c r="X25" s="545"/>
      <c r="Y25" s="545"/>
      <c r="Z25" s="545"/>
      <c r="AA25" s="545"/>
      <c r="AB25" s="545"/>
    </row>
    <row r="26" spans="1:28" ht="15" customHeight="1">
      <c r="A26" s="7534"/>
      <c r="B26" s="1287" t="s">
        <v>144</v>
      </c>
      <c r="C26" s="1287"/>
      <c r="D26" s="714" t="s">
        <v>101</v>
      </c>
      <c r="E26" s="1797" t="str">
        <f>A12&amp;"."&amp;B26</f>
        <v>1.14</v>
      </c>
      <c r="F26" s="1802" t="s">
        <v>145</v>
      </c>
      <c r="G26" s="1806" t="s">
        <v>146</v>
      </c>
      <c r="H26" s="1806" t="s">
        <v>146</v>
      </c>
      <c r="I26" s="1804" t="s">
        <v>147</v>
      </c>
      <c r="K26" s="1556"/>
      <c r="L26" s="1556"/>
      <c r="M26" s="1544" t="str">
        <f t="array" ref="M26">IF(ISERROR(MATCH(MID(N26,1,250),MID(note_ter,1,250),0)),"n","y")</f>
        <v>n</v>
      </c>
      <c r="N26" s="1556"/>
      <c r="O26" s="1544" t="str">
        <f t="shared" si="0"/>
        <v>Изобильненский(07713000)</v>
      </c>
      <c r="P26" s="1287"/>
      <c r="Q26" s="1287"/>
      <c r="R26" s="348"/>
      <c r="S26" s="1287"/>
      <c r="T26" s="1287"/>
      <c r="U26" s="1287"/>
      <c r="V26" s="747"/>
      <c r="W26" s="747"/>
      <c r="X26" s="545"/>
      <c r="Y26" s="545"/>
      <c r="Z26" s="545"/>
      <c r="AA26" s="545"/>
      <c r="AB26" s="545"/>
    </row>
    <row r="27" spans="1:28" ht="15" customHeight="1">
      <c r="A27" s="7534"/>
      <c r="B27" s="1287" t="s">
        <v>148</v>
      </c>
      <c r="C27" s="1287"/>
      <c r="D27" s="714" t="s">
        <v>101</v>
      </c>
      <c r="E27" s="1797" t="str">
        <f>A12&amp;"."&amp;B27</f>
        <v>1.15</v>
      </c>
      <c r="F27" s="1802" t="s">
        <v>149</v>
      </c>
      <c r="G27" s="1806" t="s">
        <v>150</v>
      </c>
      <c r="H27" s="1806" t="s">
        <v>150</v>
      </c>
      <c r="I27" s="1804" t="s">
        <v>151</v>
      </c>
      <c r="K27" s="1556"/>
      <c r="L27" s="1556"/>
      <c r="M27" s="1544" t="str">
        <f t="array" ref="M27">IF(ISERROR(MATCH(MID(N27,1,250),MID(note_ter,1,250),0)),"n","y")</f>
        <v>n</v>
      </c>
      <c r="N27" s="1556"/>
      <c r="O27" s="1544" t="str">
        <f t="shared" si="0"/>
        <v>Ипатовский(07714000)</v>
      </c>
      <c r="P27" s="1287"/>
      <c r="Q27" s="1287"/>
      <c r="R27" s="348"/>
      <c r="S27" s="1287"/>
      <c r="T27" s="1287"/>
      <c r="U27" s="1287"/>
      <c r="V27" s="747"/>
      <c r="W27" s="747"/>
      <c r="X27" s="545"/>
      <c r="Y27" s="545"/>
      <c r="Z27" s="545"/>
      <c r="AA27" s="545"/>
      <c r="AB27" s="545"/>
    </row>
    <row r="28" spans="1:28" ht="15" customHeight="1">
      <c r="A28" s="7534"/>
      <c r="B28" s="1287" t="s">
        <v>152</v>
      </c>
      <c r="C28" s="1287"/>
      <c r="D28" s="714" t="s">
        <v>101</v>
      </c>
      <c r="E28" s="1797" t="str">
        <f>A12&amp;"."&amp;B28</f>
        <v>1.16</v>
      </c>
      <c r="F28" s="1802" t="s">
        <v>153</v>
      </c>
      <c r="G28" s="1806" t="s">
        <v>154</v>
      </c>
      <c r="H28" s="1806" t="s">
        <v>154</v>
      </c>
      <c r="I28" s="1804" t="s">
        <v>155</v>
      </c>
      <c r="K28" s="1556"/>
      <c r="L28" s="1556"/>
      <c r="M28" s="1544" t="str">
        <f t="array" ref="M28">IF(ISERROR(MATCH(MID(N28,1,250),MID(note_ter,1,250),0)),"n","y")</f>
        <v>n</v>
      </c>
      <c r="N28" s="1556"/>
      <c r="O28" s="1544" t="str">
        <f t="shared" si="0"/>
        <v>Кировский(07716000)</v>
      </c>
      <c r="P28" s="1287"/>
      <c r="Q28" s="1287"/>
      <c r="R28" s="348"/>
      <c r="S28" s="1287"/>
      <c r="T28" s="1287"/>
      <c r="U28" s="1287"/>
      <c r="V28" s="747"/>
      <c r="W28" s="747"/>
      <c r="X28" s="545"/>
      <c r="Y28" s="545"/>
      <c r="Z28" s="545"/>
      <c r="AA28" s="545"/>
      <c r="AB28" s="545"/>
    </row>
    <row r="29" spans="1:28" ht="15" customHeight="1">
      <c r="A29" s="7534"/>
      <c r="B29" s="1287" t="s">
        <v>156</v>
      </c>
      <c r="C29" s="1287"/>
      <c r="D29" s="714" t="s">
        <v>101</v>
      </c>
      <c r="E29" s="1797" t="str">
        <f>A12&amp;"."&amp;B29</f>
        <v>1.17</v>
      </c>
      <c r="F29" s="1802" t="s">
        <v>157</v>
      </c>
      <c r="G29" s="1806" t="s">
        <v>158</v>
      </c>
      <c r="H29" s="1806" t="s">
        <v>158</v>
      </c>
      <c r="I29" s="1804" t="s">
        <v>159</v>
      </c>
      <c r="K29" s="1556"/>
      <c r="L29" s="1556"/>
      <c r="M29" s="1544" t="str">
        <f t="array" ref="M29">IF(ISERROR(MATCH(MID(N29,1,250),MID(note_ter,1,250),0)),"n","y")</f>
        <v>n</v>
      </c>
      <c r="N29" s="1556"/>
      <c r="O29" s="1544" t="str">
        <f t="shared" si="0"/>
        <v>Кочубеевский муниципальный округ(07528000)</v>
      </c>
      <c r="P29" s="1287"/>
      <c r="Q29" s="1287"/>
      <c r="R29" s="348"/>
      <c r="S29" s="1287"/>
      <c r="T29" s="1287"/>
      <c r="U29" s="1287"/>
      <c r="V29" s="747"/>
      <c r="W29" s="747"/>
      <c r="X29" s="545"/>
      <c r="Y29" s="545"/>
      <c r="Z29" s="545"/>
      <c r="AA29" s="545"/>
      <c r="AB29" s="545"/>
    </row>
    <row r="30" spans="1:28" ht="15" customHeight="1">
      <c r="A30" s="7534"/>
      <c r="B30" s="1287" t="s">
        <v>160</v>
      </c>
      <c r="C30" s="1287"/>
      <c r="D30" s="714" t="s">
        <v>101</v>
      </c>
      <c r="E30" s="1797" t="str">
        <f>A12&amp;"."&amp;B30</f>
        <v>1.18</v>
      </c>
      <c r="F30" s="1802" t="s">
        <v>161</v>
      </c>
      <c r="G30" s="1806" t="s">
        <v>162</v>
      </c>
      <c r="H30" s="1806" t="s">
        <v>162</v>
      </c>
      <c r="I30" s="1804" t="s">
        <v>163</v>
      </c>
      <c r="K30" s="1556"/>
      <c r="L30" s="1556"/>
      <c r="M30" s="1544" t="str">
        <f t="array" ref="M30">IF(ISERROR(MATCH(MID(N30,1,250),MID(note_ter,1,250),0)),"n","y")</f>
        <v>n</v>
      </c>
      <c r="N30" s="1556"/>
      <c r="O30" s="1544" t="str">
        <f t="shared" si="0"/>
        <v>Красногвардейский муниципальный округ(07530000)</v>
      </c>
      <c r="P30" s="1287"/>
      <c r="Q30" s="1287"/>
      <c r="R30" s="348"/>
      <c r="S30" s="1287"/>
      <c r="T30" s="1287"/>
      <c r="U30" s="1287"/>
      <c r="V30" s="747"/>
      <c r="W30" s="747"/>
      <c r="X30" s="545"/>
      <c r="Y30" s="545"/>
      <c r="Z30" s="545"/>
      <c r="AA30" s="545"/>
      <c r="AB30" s="545"/>
    </row>
    <row r="31" spans="1:28" ht="15" customHeight="1">
      <c r="A31" s="7534"/>
      <c r="B31" s="1287" t="s">
        <v>164</v>
      </c>
      <c r="C31" s="1287"/>
      <c r="D31" s="714" t="s">
        <v>101</v>
      </c>
      <c r="E31" s="1797" t="str">
        <f>A12&amp;"."&amp;B31</f>
        <v>1.19</v>
      </c>
      <c r="F31" s="1802" t="s">
        <v>165</v>
      </c>
      <c r="G31" s="1806" t="s">
        <v>166</v>
      </c>
      <c r="H31" s="1806" t="s">
        <v>166</v>
      </c>
      <c r="I31" s="1804" t="s">
        <v>167</v>
      </c>
      <c r="K31" s="1556"/>
      <c r="L31" s="1556"/>
      <c r="M31" s="1544" t="str">
        <f t="array" ref="M31">IF(ISERROR(MATCH(MID(N31,1,250),MID(note_ter,1,250),0)),"n","y")</f>
        <v>n</v>
      </c>
      <c r="N31" s="1556"/>
      <c r="O31" s="1544" t="str">
        <f t="shared" si="0"/>
        <v>Курский муниципальный округ(07533000)</v>
      </c>
      <c r="P31" s="1287"/>
      <c r="Q31" s="1287"/>
      <c r="R31" s="348"/>
      <c r="S31" s="1287"/>
      <c r="T31" s="1287"/>
      <c r="U31" s="1287"/>
      <c r="V31" s="747"/>
      <c r="W31" s="747"/>
      <c r="X31" s="545"/>
      <c r="Y31" s="545"/>
      <c r="Z31" s="545"/>
      <c r="AA31" s="545"/>
      <c r="AB31" s="545"/>
    </row>
    <row r="32" spans="1:28" ht="15" customHeight="1">
      <c r="A32" s="7534"/>
      <c r="B32" s="1287" t="s">
        <v>168</v>
      </c>
      <c r="C32" s="1287"/>
      <c r="D32" s="714" t="s">
        <v>101</v>
      </c>
      <c r="E32" s="1797" t="str">
        <f>A12&amp;"."&amp;B32</f>
        <v>1.20</v>
      </c>
      <c r="F32" s="1802" t="s">
        <v>169</v>
      </c>
      <c r="G32" s="1806" t="s">
        <v>170</v>
      </c>
      <c r="H32" s="1806" t="s">
        <v>170</v>
      </c>
      <c r="I32" s="1804" t="s">
        <v>171</v>
      </c>
      <c r="K32" s="1556"/>
      <c r="L32" s="1556"/>
      <c r="M32" s="1544" t="str">
        <f t="array" ref="M32">IF(ISERROR(MATCH(MID(N32,1,250),MID(note_ter,1,250),0)),"n","y")</f>
        <v>n</v>
      </c>
      <c r="N32" s="1556"/>
      <c r="O32" s="1544" t="str">
        <f t="shared" si="0"/>
        <v>Левокумский муниципальный округ(07536000)</v>
      </c>
      <c r="P32" s="1287"/>
      <c r="Q32" s="1287"/>
      <c r="R32" s="348"/>
      <c r="S32" s="1287"/>
      <c r="T32" s="1287"/>
      <c r="U32" s="1287"/>
      <c r="V32" s="747"/>
      <c r="W32" s="747"/>
      <c r="X32" s="545"/>
      <c r="Y32" s="545"/>
      <c r="Z32" s="545"/>
      <c r="AA32" s="545"/>
      <c r="AB32" s="545"/>
    </row>
    <row r="33" spans="1:28" ht="15" customHeight="1">
      <c r="A33" s="7534"/>
      <c r="B33" s="1287" t="s">
        <v>172</v>
      </c>
      <c r="C33" s="1287"/>
      <c r="D33" s="714" t="s">
        <v>101</v>
      </c>
      <c r="E33" s="1797" t="str">
        <f>A12&amp;"."&amp;B33</f>
        <v>1.21</v>
      </c>
      <c r="F33" s="1802" t="s">
        <v>173</v>
      </c>
      <c r="G33" s="1806" t="s">
        <v>174</v>
      </c>
      <c r="H33" s="1806" t="s">
        <v>174</v>
      </c>
      <c r="I33" s="1804" t="s">
        <v>175</v>
      </c>
      <c r="K33" s="1556"/>
      <c r="L33" s="1556"/>
      <c r="M33" s="1544" t="str">
        <f t="array" ref="M33">IF(ISERROR(MATCH(MID(N33,1,250),MID(note_ter,1,250),0)),"n","y")</f>
        <v>n</v>
      </c>
      <c r="N33" s="1556"/>
      <c r="O33" s="1544" t="str">
        <f t="shared" si="0"/>
        <v>Минераловодский(07721000)</v>
      </c>
      <c r="P33" s="1287"/>
      <c r="Q33" s="1287"/>
      <c r="R33" s="348"/>
      <c r="S33" s="1287"/>
      <c r="T33" s="1287"/>
      <c r="U33" s="1287"/>
      <c r="V33" s="747"/>
      <c r="W33" s="747"/>
      <c r="X33" s="545"/>
      <c r="Y33" s="545"/>
      <c r="Z33" s="545"/>
      <c r="AA33" s="545"/>
      <c r="AB33" s="545"/>
    </row>
    <row r="34" spans="1:28" ht="15" customHeight="1">
      <c r="A34" s="7534"/>
      <c r="B34" s="1287" t="s">
        <v>176</v>
      </c>
      <c r="C34" s="1287"/>
      <c r="D34" s="714" t="s">
        <v>101</v>
      </c>
      <c r="E34" s="1797" t="str">
        <f>A12&amp;"."&amp;B34</f>
        <v>1.22</v>
      </c>
      <c r="F34" s="1802" t="s">
        <v>177</v>
      </c>
      <c r="G34" s="1806" t="s">
        <v>178</v>
      </c>
      <c r="H34" s="1806" t="s">
        <v>178</v>
      </c>
      <c r="I34" s="1804" t="s">
        <v>179</v>
      </c>
      <c r="K34" s="1556"/>
      <c r="L34" s="1556"/>
      <c r="M34" s="1544" t="str">
        <f t="array" ref="M34">IF(ISERROR(MATCH(MID(N34,1,250),MID(note_ter,1,250),0)),"n","y")</f>
        <v>n</v>
      </c>
      <c r="N34" s="1556"/>
      <c r="O34" s="1544" t="str">
        <f t="shared" si="0"/>
        <v>Новоалександровский(07726000)</v>
      </c>
      <c r="P34" s="1287"/>
      <c r="Q34" s="1287"/>
      <c r="R34" s="348"/>
      <c r="S34" s="1287"/>
      <c r="T34" s="1287"/>
      <c r="U34" s="1287"/>
      <c r="V34" s="747"/>
      <c r="W34" s="747"/>
      <c r="X34" s="545"/>
      <c r="Y34" s="545"/>
      <c r="Z34" s="545"/>
      <c r="AA34" s="545"/>
      <c r="AB34" s="545"/>
    </row>
    <row r="35" spans="1:28" ht="15" customHeight="1">
      <c r="A35" s="7534"/>
      <c r="B35" s="1287" t="s">
        <v>180</v>
      </c>
      <c r="C35" s="1287"/>
      <c r="D35" s="714" t="s">
        <v>101</v>
      </c>
      <c r="E35" s="1797" t="str">
        <f>A12&amp;"."&amp;B35</f>
        <v>1.23</v>
      </c>
      <c r="F35" s="1802" t="s">
        <v>181</v>
      </c>
      <c r="G35" s="1806" t="s">
        <v>182</v>
      </c>
      <c r="H35" s="1806" t="s">
        <v>182</v>
      </c>
      <c r="I35" s="1804" t="s">
        <v>183</v>
      </c>
      <c r="K35" s="1556"/>
      <c r="L35" s="1556"/>
      <c r="M35" s="1544" t="str">
        <f t="array" ref="M35">IF(ISERROR(MATCH(MID(N35,1,250),MID(note_ter,1,250),0)),"n","y")</f>
        <v>n</v>
      </c>
      <c r="N35" s="1556"/>
      <c r="O35" s="1544" t="str">
        <f t="shared" si="0"/>
        <v>Новоселицкий муниципальный округ(07544000)</v>
      </c>
      <c r="P35" s="1287"/>
      <c r="Q35" s="1287"/>
      <c r="R35" s="348"/>
      <c r="S35" s="1287"/>
      <c r="T35" s="1287"/>
      <c r="U35" s="1287"/>
      <c r="V35" s="747"/>
      <c r="W35" s="747"/>
      <c r="X35" s="545"/>
      <c r="Y35" s="545"/>
      <c r="Z35" s="545"/>
      <c r="AA35" s="545"/>
      <c r="AB35" s="545"/>
    </row>
    <row r="36" spans="1:28" ht="15" customHeight="1">
      <c r="A36" s="7534"/>
      <c r="B36" s="1287" t="s">
        <v>105</v>
      </c>
      <c r="C36" s="1287"/>
      <c r="D36" s="714" t="s">
        <v>101</v>
      </c>
      <c r="E36" s="1797" t="str">
        <f>A12&amp;"."&amp;B36</f>
        <v>1.24</v>
      </c>
      <c r="F36" s="1802" t="s">
        <v>184</v>
      </c>
      <c r="G36" s="1806" t="s">
        <v>185</v>
      </c>
      <c r="H36" s="1806" t="s">
        <v>185</v>
      </c>
      <c r="I36" s="1804" t="s">
        <v>186</v>
      </c>
      <c r="K36" s="1556"/>
      <c r="L36" s="1556"/>
      <c r="M36" s="1544" t="str">
        <f t="array" ref="M36">IF(ISERROR(MATCH(MID(N36,1,250),MID(note_ter,1,250),0)),"n","y")</f>
        <v>n</v>
      </c>
      <c r="N36" s="1556"/>
      <c r="O36" s="1544" t="str">
        <f t="shared" si="0"/>
        <v>Петровский(07731000)</v>
      </c>
      <c r="P36" s="1287"/>
      <c r="Q36" s="1287"/>
      <c r="R36" s="348"/>
      <c r="S36" s="1287"/>
      <c r="T36" s="1287"/>
      <c r="U36" s="1287"/>
      <c r="V36" s="747"/>
      <c r="W36" s="747"/>
      <c r="X36" s="545"/>
      <c r="Y36" s="545"/>
      <c r="Z36" s="545"/>
      <c r="AA36" s="545"/>
      <c r="AB36" s="545"/>
    </row>
    <row r="37" spans="1:28" ht="15" customHeight="1">
      <c r="A37" s="7534"/>
      <c r="B37" s="1287" t="s">
        <v>187</v>
      </c>
      <c r="C37" s="1287"/>
      <c r="D37" s="714" t="s">
        <v>101</v>
      </c>
      <c r="E37" s="1797" t="str">
        <f>A12&amp;"."&amp;B37</f>
        <v>1.25</v>
      </c>
      <c r="F37" s="1802" t="s">
        <v>188</v>
      </c>
      <c r="G37" s="1806" t="s">
        <v>189</v>
      </c>
      <c r="H37" s="1806" t="s">
        <v>189</v>
      </c>
      <c r="I37" s="1804" t="s">
        <v>190</v>
      </c>
      <c r="K37" s="1556"/>
      <c r="L37" s="1556"/>
      <c r="M37" s="1544" t="str">
        <f t="array" ref="M37">IF(ISERROR(MATCH(MID(N37,1,250),MID(note_ter,1,250),0)),"n","y")</f>
        <v>n</v>
      </c>
      <c r="N37" s="1556"/>
      <c r="O37" s="1544" t="str">
        <f t="shared" si="0"/>
        <v>Предгорный муниципальный округ(07548000)</v>
      </c>
      <c r="P37" s="1287"/>
      <c r="Q37" s="1287"/>
      <c r="R37" s="348"/>
      <c r="S37" s="1287"/>
      <c r="T37" s="1287"/>
      <c r="U37" s="1287"/>
      <c r="V37" s="747"/>
      <c r="W37" s="747"/>
      <c r="X37" s="545"/>
      <c r="Y37" s="545"/>
      <c r="Z37" s="545"/>
      <c r="AA37" s="545"/>
      <c r="AB37" s="545"/>
    </row>
    <row r="38" spans="1:28" ht="15" customHeight="1">
      <c r="A38" s="7534"/>
      <c r="B38" s="1287" t="s">
        <v>191</v>
      </c>
      <c r="C38" s="1287"/>
      <c r="D38" s="714" t="s">
        <v>101</v>
      </c>
      <c r="E38" s="1797" t="str">
        <f>A12&amp;"."&amp;B38</f>
        <v>1.26</v>
      </c>
      <c r="F38" s="1802" t="s">
        <v>192</v>
      </c>
      <c r="G38" s="1806" t="s">
        <v>193</v>
      </c>
      <c r="H38" s="1806" t="s">
        <v>193</v>
      </c>
      <c r="I38" s="1804" t="s">
        <v>194</v>
      </c>
      <c r="K38" s="1556"/>
      <c r="L38" s="1556"/>
      <c r="M38" s="1544" t="str">
        <f t="array" ref="M38">IF(ISERROR(MATCH(MID(N38,1,250),MID(note_ter,1,250),0)),"n","y")</f>
        <v>n</v>
      </c>
      <c r="N38" s="1556"/>
      <c r="O38" s="1544" t="str">
        <f t="shared" si="0"/>
        <v>Степновский муниципальный округ(07552000)</v>
      </c>
      <c r="P38" s="1287"/>
      <c r="Q38" s="1287"/>
      <c r="R38" s="348"/>
      <c r="S38" s="1287"/>
      <c r="T38" s="1287"/>
      <c r="U38" s="1287"/>
      <c r="V38" s="747"/>
      <c r="W38" s="747"/>
      <c r="X38" s="545"/>
      <c r="Y38" s="545"/>
      <c r="Z38" s="545"/>
      <c r="AA38" s="545"/>
      <c r="AB38" s="545"/>
    </row>
    <row r="39" spans="1:28" ht="15" customHeight="1">
      <c r="A39" s="7534"/>
      <c r="B39" s="1287" t="s">
        <v>195</v>
      </c>
      <c r="C39" s="1287"/>
      <c r="D39" s="714" t="s">
        <v>101</v>
      </c>
      <c r="E39" s="1797" t="str">
        <f>A12&amp;"."&amp;B39</f>
        <v>1.27</v>
      </c>
      <c r="F39" s="1802" t="s">
        <v>196</v>
      </c>
      <c r="G39" s="1806" t="s">
        <v>197</v>
      </c>
      <c r="H39" s="1806" t="s">
        <v>197</v>
      </c>
      <c r="I39" s="1804" t="s">
        <v>198</v>
      </c>
      <c r="K39" s="1556"/>
      <c r="L39" s="1556"/>
      <c r="M39" s="1544" t="str">
        <f t="array" ref="M39">IF(ISERROR(MATCH(MID(N39,1,250),MID(note_ter,1,250),0)),"n","y")</f>
        <v>n</v>
      </c>
      <c r="N39" s="1556"/>
      <c r="O39" s="1544" t="str">
        <f t="shared" si="0"/>
        <v>Труновский муниципальный округ(07554000)</v>
      </c>
      <c r="P39" s="1287"/>
      <c r="Q39" s="1287"/>
      <c r="R39" s="348"/>
      <c r="S39" s="1287"/>
      <c r="T39" s="1287"/>
      <c r="U39" s="1287"/>
      <c r="V39" s="747"/>
      <c r="W39" s="747"/>
      <c r="X39" s="545"/>
      <c r="Y39" s="545"/>
      <c r="Z39" s="545"/>
      <c r="AA39" s="545"/>
      <c r="AB39" s="545"/>
    </row>
    <row r="40" spans="1:28" ht="15" customHeight="1">
      <c r="A40" s="7534"/>
      <c r="B40" s="1287" t="s">
        <v>199</v>
      </c>
      <c r="C40" s="1287"/>
      <c r="D40" s="714" t="s">
        <v>101</v>
      </c>
      <c r="E40" s="1797" t="str">
        <f>A12&amp;"."&amp;B40</f>
        <v>1.28</v>
      </c>
      <c r="F40" s="1802" t="s">
        <v>200</v>
      </c>
      <c r="G40" s="1806" t="s">
        <v>201</v>
      </c>
      <c r="H40" s="1806" t="s">
        <v>201</v>
      </c>
      <c r="I40" s="1804" t="s">
        <v>202</v>
      </c>
      <c r="K40" s="1556"/>
      <c r="L40" s="1556"/>
      <c r="M40" s="1544" t="str">
        <f t="array" ref="M40">IF(ISERROR(MATCH(MID(N40,1,250),MID(note_ter,1,250),0)),"n","y")</f>
        <v>n</v>
      </c>
      <c r="N40" s="1556"/>
      <c r="O40" s="1544" t="str">
        <f t="shared" si="0"/>
        <v>Туркменский муниципальный округ(07556000)</v>
      </c>
      <c r="P40" s="1287"/>
      <c r="Q40" s="1287"/>
      <c r="R40" s="348"/>
      <c r="S40" s="1287"/>
      <c r="T40" s="1287"/>
      <c r="U40" s="1287"/>
      <c r="V40" s="747"/>
      <c r="W40" s="747"/>
      <c r="X40" s="545"/>
      <c r="Y40" s="545"/>
      <c r="Z40" s="545"/>
      <c r="AA40" s="545"/>
      <c r="AB40" s="545"/>
    </row>
    <row r="41" spans="1:28" ht="15" customHeight="1">
      <c r="A41" s="7534"/>
      <c r="B41" s="1287" t="s">
        <v>203</v>
      </c>
      <c r="C41" s="1287"/>
      <c r="D41" s="714" t="s">
        <v>101</v>
      </c>
      <c r="E41" s="1797" t="str">
        <f>A12&amp;"."&amp;B41</f>
        <v>1.29</v>
      </c>
      <c r="F41" s="1802" t="s">
        <v>204</v>
      </c>
      <c r="G41" s="1806" t="s">
        <v>205</v>
      </c>
      <c r="H41" s="1806" t="s">
        <v>205</v>
      </c>
      <c r="I41" s="1804" t="s">
        <v>206</v>
      </c>
      <c r="K41" s="1556"/>
      <c r="L41" s="1556"/>
      <c r="M41" s="1544" t="str">
        <f t="array" ref="M41">IF(ISERROR(MATCH(MID(N41,1,250),MID(note_ter,1,250),0)),"n","y")</f>
        <v>n</v>
      </c>
      <c r="N41" s="1556"/>
      <c r="O41" s="1544" t="str">
        <f t="shared" si="0"/>
        <v>Шпаковский муниципальный округ(07558000)</v>
      </c>
      <c r="P41" s="1287"/>
      <c r="Q41" s="1287"/>
      <c r="R41" s="348"/>
      <c r="S41" s="1287"/>
      <c r="T41" s="1287"/>
      <c r="U41" s="1287"/>
      <c r="V41" s="747"/>
      <c r="W41" s="747"/>
      <c r="X41" s="545"/>
      <c r="Y41" s="545"/>
      <c r="Z41" s="545"/>
      <c r="AA41" s="545"/>
      <c r="AB41" s="545"/>
    </row>
    <row r="42" spans="1:28" s="1827" customFormat="1" ht="15" customHeight="1">
      <c r="A42" s="7533"/>
      <c r="B42" s="346"/>
      <c r="C42" s="341"/>
      <c r="D42" s="715"/>
      <c r="E42" s="349"/>
      <c r="F42" s="95"/>
      <c r="G42" s="344" t="s">
        <v>207</v>
      </c>
      <c r="H42" s="105"/>
      <c r="I42" s="351"/>
      <c r="J42" s="435"/>
      <c r="K42" s="435"/>
      <c r="L42" s="435"/>
      <c r="M42" s="435"/>
      <c r="N42" s="424"/>
      <c r="O42" s="435"/>
      <c r="P42" s="346"/>
      <c r="Q42" s="346"/>
      <c r="R42" s="348"/>
      <c r="S42" s="346"/>
      <c r="T42" s="346"/>
      <c r="U42" s="346"/>
      <c r="V42" s="350"/>
      <c r="W42" s="350"/>
      <c r="X42" s="347"/>
      <c r="Y42" s="347"/>
      <c r="Z42" s="347"/>
      <c r="AA42" s="347"/>
      <c r="AB42" s="347"/>
    </row>
    <row r="43" spans="1:28" ht="15" customHeight="1">
      <c r="A43" s="7534" t="s">
        <v>100</v>
      </c>
      <c r="B43" s="1065"/>
      <c r="C43" s="715" t="s">
        <v>101</v>
      </c>
      <c r="D43" s="1738"/>
      <c r="E43" s="1725" t="str">
        <f>A43</f>
        <v>2</v>
      </c>
      <c r="F43" s="718" t="s">
        <v>208</v>
      </c>
      <c r="G43" s="463" t="str">
        <f>"Территория "&amp;E43</f>
        <v>Территория 2</v>
      </c>
      <c r="H43" s="706"/>
      <c r="I43" s="706"/>
      <c r="J43" s="703"/>
      <c r="N43" s="143"/>
      <c r="T43" s="1739"/>
      <c r="U43" s="1739"/>
      <c r="V43" s="1739"/>
      <c r="W43" s="1739"/>
      <c r="X43" s="1739"/>
      <c r="Y43" s="1739"/>
      <c r="Z43" s="1739"/>
      <c r="AA43" s="1739"/>
      <c r="AB43" s="1739"/>
    </row>
    <row r="44" spans="1:28" ht="15" customHeight="1">
      <c r="A44" s="7534"/>
      <c r="B44" s="1065">
        <v>1</v>
      </c>
      <c r="C44" s="1065"/>
      <c r="D44" s="714"/>
      <c r="E44" s="1733" t="str">
        <f>A43&amp;"."&amp;B44</f>
        <v>2.1</v>
      </c>
      <c r="F44" s="717" t="s">
        <v>122</v>
      </c>
      <c r="G44" s="707" t="s">
        <v>123</v>
      </c>
      <c r="H44" s="707" t="s">
        <v>123</v>
      </c>
      <c r="I44" s="705" t="s">
        <v>124</v>
      </c>
      <c r="K44" s="1556"/>
      <c r="L44" s="1556"/>
      <c r="M44" s="1544" t="str">
        <f t="array" ref="M44">IF(ISERROR(MATCH(MID(N44,1,250),MID(note_ter,1,250),0)),"n","y")</f>
        <v>n</v>
      </c>
      <c r="N44" s="1556"/>
      <c r="O44" s="1544" t="str">
        <f>H44&amp;"("&amp;I44&amp;")"</f>
        <v>Город Лермонтов(07718000)</v>
      </c>
      <c r="P44" s="1065"/>
      <c r="Q44" s="1065"/>
      <c r="R44" s="348"/>
      <c r="S44" s="1065"/>
      <c r="T44" s="1065"/>
      <c r="U44" s="1065"/>
      <c r="V44" s="350"/>
      <c r="W44" s="350"/>
      <c r="X44" s="347"/>
      <c r="Y44" s="347"/>
      <c r="Z44" s="347"/>
      <c r="AA44" s="347"/>
      <c r="AB44" s="347"/>
    </row>
    <row r="45" spans="1:28" ht="15" customHeight="1">
      <c r="A45" s="7534"/>
      <c r="B45" s="1065"/>
      <c r="C45" s="341"/>
      <c r="D45" s="715"/>
      <c r="E45" s="349"/>
      <c r="F45" s="95"/>
      <c r="G45" s="344" t="s">
        <v>207</v>
      </c>
      <c r="H45" s="105"/>
      <c r="I45" s="351"/>
      <c r="J45" s="1556"/>
      <c r="K45" s="1556"/>
      <c r="L45" s="1556"/>
      <c r="M45" s="1556"/>
      <c r="O45" s="1556"/>
      <c r="P45" s="1065"/>
      <c r="Q45" s="1065"/>
      <c r="R45" s="348"/>
      <c r="S45" s="1065"/>
      <c r="T45" s="1065"/>
      <c r="U45" s="1065"/>
      <c r="V45" s="350"/>
      <c r="W45" s="350"/>
      <c r="X45" s="347"/>
      <c r="Y45" s="347"/>
      <c r="Z45" s="347"/>
      <c r="AA45" s="347"/>
      <c r="AB45" s="347"/>
    </row>
    <row r="46" spans="1:28" ht="15" customHeight="1">
      <c r="A46" s="7534" t="s">
        <v>88</v>
      </c>
      <c r="B46" s="1065"/>
      <c r="C46" s="715" t="s">
        <v>101</v>
      </c>
      <c r="D46" s="1738"/>
      <c r="E46" s="1725" t="str">
        <f>A46</f>
        <v>3</v>
      </c>
      <c r="F46" s="718" t="s">
        <v>209</v>
      </c>
      <c r="G46" s="463" t="str">
        <f>"Территория "&amp;E46</f>
        <v>Территория 3</v>
      </c>
      <c r="H46" s="706"/>
      <c r="I46" s="706"/>
      <c r="J46" s="703"/>
      <c r="N46" s="143"/>
      <c r="T46" s="1739"/>
      <c r="U46" s="1739"/>
      <c r="V46" s="1739"/>
      <c r="W46" s="1739"/>
      <c r="X46" s="1739"/>
      <c r="Y46" s="1739"/>
      <c r="Z46" s="1739"/>
      <c r="AA46" s="1739"/>
      <c r="AB46" s="1739"/>
    </row>
    <row r="47" spans="1:28" ht="15" customHeight="1">
      <c r="A47" s="7534"/>
      <c r="B47" s="1065">
        <v>1</v>
      </c>
      <c r="C47" s="1065"/>
      <c r="D47" s="714"/>
      <c r="E47" s="1733" t="str">
        <f>A46&amp;"."&amp;B47</f>
        <v>3.1</v>
      </c>
      <c r="F47" s="717" t="s">
        <v>89</v>
      </c>
      <c r="G47" s="707" t="s">
        <v>210</v>
      </c>
      <c r="H47" s="707" t="s">
        <v>211</v>
      </c>
      <c r="I47" s="705" t="s">
        <v>212</v>
      </c>
      <c r="K47" s="1556"/>
      <c r="L47" s="1556"/>
      <c r="M47" s="1544" t="str">
        <f t="array" ref="M47">IF(ISERROR(MATCH(MID(N47,1,250),MID(note_ter,1,250),0)),"n","y")</f>
        <v>n</v>
      </c>
      <c r="N47" s="1556"/>
      <c r="O47" s="1544" t="str">
        <f>H47&amp;"("&amp;I47&amp;")"</f>
        <v>Калиновский сельсовет(07602407)</v>
      </c>
      <c r="P47" s="1065"/>
      <c r="Q47" s="1065"/>
      <c r="R47" s="348"/>
      <c r="S47" s="1065"/>
      <c r="T47" s="1065"/>
      <c r="U47" s="1065"/>
      <c r="V47" s="350"/>
      <c r="W47" s="350"/>
      <c r="X47" s="347"/>
      <c r="Y47" s="347"/>
      <c r="Z47" s="347"/>
      <c r="AA47" s="347"/>
      <c r="AB47" s="347"/>
    </row>
    <row r="48" spans="1:28" ht="15" customHeight="1">
      <c r="A48" s="7534"/>
      <c r="B48" s="1065"/>
      <c r="C48" s="341"/>
      <c r="D48" s="715"/>
      <c r="E48" s="349"/>
      <c r="F48" s="95"/>
      <c r="G48" s="344" t="s">
        <v>207</v>
      </c>
      <c r="H48" s="105"/>
      <c r="I48" s="351"/>
      <c r="J48" s="1556"/>
      <c r="K48" s="1556"/>
      <c r="L48" s="1556"/>
      <c r="M48" s="1556"/>
      <c r="O48" s="1556"/>
      <c r="P48" s="1065"/>
      <c r="Q48" s="1065"/>
      <c r="R48" s="348"/>
      <c r="S48" s="1065"/>
      <c r="T48" s="1065"/>
      <c r="U48" s="1065"/>
      <c r="V48" s="350"/>
      <c r="W48" s="350"/>
      <c r="X48" s="347"/>
      <c r="Y48" s="347"/>
      <c r="Z48" s="347"/>
      <c r="AA48" s="347"/>
      <c r="AB48" s="347"/>
    </row>
    <row r="49" spans="1:28" ht="15" customHeight="1">
      <c r="A49" s="7534" t="s">
        <v>89</v>
      </c>
      <c r="B49" s="1065"/>
      <c r="C49" s="715" t="s">
        <v>101</v>
      </c>
      <c r="D49" s="1738"/>
      <c r="E49" s="1725" t="str">
        <f>A49</f>
        <v>4</v>
      </c>
      <c r="F49" s="718" t="s">
        <v>213</v>
      </c>
      <c r="G49" s="463" t="str">
        <f>"Территория "&amp;E49</f>
        <v>Территория 4</v>
      </c>
      <c r="H49" s="706"/>
      <c r="I49" s="706"/>
      <c r="J49" s="703"/>
      <c r="N49" s="143"/>
      <c r="T49" s="1739"/>
      <c r="U49" s="1739"/>
      <c r="V49" s="1739"/>
      <c r="W49" s="1739"/>
      <c r="X49" s="1739"/>
      <c r="Y49" s="1739"/>
      <c r="Z49" s="1739"/>
      <c r="AA49" s="1739"/>
      <c r="AB49" s="1739"/>
    </row>
    <row r="50" spans="1:28" ht="15" customHeight="1">
      <c r="A50" s="7534"/>
      <c r="B50" s="1065">
        <v>1</v>
      </c>
      <c r="C50" s="1065"/>
      <c r="D50" s="714"/>
      <c r="E50" s="1733" t="str">
        <f>A49&amp;"."&amp;B50</f>
        <v>4.1</v>
      </c>
      <c r="F50" s="717" t="s">
        <v>169</v>
      </c>
      <c r="G50" s="707" t="s">
        <v>170</v>
      </c>
      <c r="H50" s="707" t="s">
        <v>170</v>
      </c>
      <c r="I50" s="705" t="s">
        <v>171</v>
      </c>
      <c r="K50" s="1556"/>
      <c r="L50" s="1556"/>
      <c r="M50" s="1544" t="str">
        <f t="array" ref="M50">IF(ISERROR(MATCH(MID(N50,1,250),MID(note_ter,1,250),0)),"n","y")</f>
        <v>n</v>
      </c>
      <c r="N50" s="1556"/>
      <c r="O50" s="1544" t="str">
        <f>H50&amp;"("&amp;I50&amp;")"</f>
        <v>Левокумский муниципальный округ(07536000)</v>
      </c>
      <c r="P50" s="1065"/>
      <c r="Q50" s="1065"/>
      <c r="R50" s="348"/>
      <c r="S50" s="1065"/>
      <c r="T50" s="1065"/>
      <c r="U50" s="1065"/>
      <c r="V50" s="350"/>
      <c r="W50" s="350"/>
      <c r="X50" s="347"/>
      <c r="Y50" s="347"/>
      <c r="Z50" s="347"/>
      <c r="AA50" s="347"/>
      <c r="AB50" s="347"/>
    </row>
    <row r="51" spans="1:28" ht="15" customHeight="1">
      <c r="A51" s="7534"/>
      <c r="B51" s="1065"/>
      <c r="C51" s="341"/>
      <c r="D51" s="715"/>
      <c r="E51" s="349"/>
      <c r="F51" s="95"/>
      <c r="G51" s="344" t="s">
        <v>207</v>
      </c>
      <c r="H51" s="105"/>
      <c r="I51" s="351"/>
      <c r="J51" s="1556"/>
      <c r="K51" s="1556"/>
      <c r="L51" s="1556"/>
      <c r="M51" s="1556"/>
      <c r="O51" s="1556"/>
      <c r="P51" s="1065"/>
      <c r="Q51" s="1065"/>
      <c r="R51" s="348"/>
      <c r="S51" s="1065"/>
      <c r="T51" s="1065"/>
      <c r="U51" s="1065"/>
      <c r="V51" s="350"/>
      <c r="W51" s="350"/>
      <c r="X51" s="347"/>
      <c r="Y51" s="347"/>
      <c r="Z51" s="347"/>
      <c r="AA51" s="347"/>
      <c r="AB51" s="347"/>
    </row>
    <row r="52" spans="1:28" ht="15" customHeight="1">
      <c r="A52" s="7534" t="s">
        <v>111</v>
      </c>
      <c r="B52" s="1065"/>
      <c r="C52" s="715" t="s">
        <v>101</v>
      </c>
      <c r="D52" s="1738"/>
      <c r="E52" s="1725" t="str">
        <f>A52</f>
        <v>5</v>
      </c>
      <c r="F52" s="718" t="s">
        <v>214</v>
      </c>
      <c r="G52" s="463" t="str">
        <f>"Территория "&amp;E52</f>
        <v>Территория 5</v>
      </c>
      <c r="H52" s="706"/>
      <c r="I52" s="706"/>
      <c r="J52" s="703"/>
      <c r="N52" s="143"/>
      <c r="T52" s="1739"/>
      <c r="U52" s="1739"/>
      <c r="V52" s="1739"/>
      <c r="W52" s="1739"/>
      <c r="X52" s="1739"/>
      <c r="Y52" s="1739"/>
      <c r="Z52" s="1739"/>
      <c r="AA52" s="1739"/>
      <c r="AB52" s="1739"/>
    </row>
    <row r="53" spans="1:28" ht="15" customHeight="1">
      <c r="A53" s="7534"/>
      <c r="B53" s="1065">
        <v>1</v>
      </c>
      <c r="C53" s="1065"/>
      <c r="D53" s="714"/>
      <c r="E53" s="1733" t="str">
        <f>A52&amp;"."&amp;B53</f>
        <v>5.1</v>
      </c>
      <c r="F53" s="717" t="s">
        <v>215</v>
      </c>
      <c r="G53" s="707" t="s">
        <v>216</v>
      </c>
      <c r="H53" s="707" t="s">
        <v>216</v>
      </c>
      <c r="I53" s="705" t="s">
        <v>217</v>
      </c>
      <c r="K53" s="1556"/>
      <c r="L53" s="1556"/>
      <c r="M53" s="1544" t="str">
        <f t="array" ref="M53">IF(ISERROR(MATCH(MID(N53,1,250),MID(note_ter,1,250),0)),"n","y")</f>
        <v>n</v>
      </c>
      <c r="N53" s="1556"/>
      <c r="O53" s="1544" t="str">
        <f>H53&amp;"("&amp;I53&amp;")"</f>
        <v>Нефтекумский(07725000)</v>
      </c>
      <c r="P53" s="1065"/>
      <c r="Q53" s="1065"/>
      <c r="R53" s="348"/>
      <c r="S53" s="1065"/>
      <c r="T53" s="1065"/>
      <c r="U53" s="1065"/>
      <c r="V53" s="350"/>
      <c r="W53" s="350"/>
      <c r="X53" s="347"/>
      <c r="Y53" s="347"/>
      <c r="Z53" s="347"/>
      <c r="AA53" s="347"/>
      <c r="AB53" s="347"/>
    </row>
    <row r="54" spans="1:28" ht="15" customHeight="1">
      <c r="A54" s="7534"/>
      <c r="B54" s="1065"/>
      <c r="C54" s="341"/>
      <c r="D54" s="715"/>
      <c r="E54" s="349"/>
      <c r="F54" s="95"/>
      <c r="G54" s="344" t="s">
        <v>207</v>
      </c>
      <c r="H54" s="105"/>
      <c r="I54" s="351"/>
      <c r="J54" s="1556"/>
      <c r="K54" s="1556"/>
      <c r="L54" s="1556"/>
      <c r="M54" s="1556"/>
      <c r="O54" s="1556"/>
      <c r="P54" s="1065"/>
      <c r="Q54" s="1065"/>
      <c r="R54" s="348"/>
      <c r="S54" s="1065"/>
      <c r="T54" s="1065"/>
      <c r="U54" s="1065"/>
      <c r="V54" s="350"/>
      <c r="W54" s="350"/>
      <c r="X54" s="347"/>
      <c r="Y54" s="347"/>
      <c r="Z54" s="347"/>
      <c r="AA54" s="347"/>
      <c r="AB54" s="347"/>
    </row>
    <row r="55" spans="1:28" ht="15" customHeight="1">
      <c r="A55" s="7534" t="s">
        <v>90</v>
      </c>
      <c r="B55" s="1065"/>
      <c r="C55" s="715" t="s">
        <v>101</v>
      </c>
      <c r="D55" s="1738"/>
      <c r="E55" s="1725" t="str">
        <f>A55</f>
        <v>6</v>
      </c>
      <c r="F55" s="718" t="s">
        <v>218</v>
      </c>
      <c r="G55" s="463" t="str">
        <f>"Территория "&amp;E55</f>
        <v>Территория 6</v>
      </c>
      <c r="H55" s="706"/>
      <c r="I55" s="706"/>
      <c r="J55" s="703"/>
      <c r="N55" s="143"/>
      <c r="T55" s="1739"/>
      <c r="U55" s="1739"/>
      <c r="V55" s="1739"/>
      <c r="W55" s="1739"/>
      <c r="X55" s="1739"/>
      <c r="Y55" s="1739"/>
      <c r="Z55" s="1739"/>
      <c r="AA55" s="1739"/>
      <c r="AB55" s="1739"/>
    </row>
    <row r="56" spans="1:28" ht="15" customHeight="1">
      <c r="A56" s="7534"/>
      <c r="B56" s="1065">
        <v>1</v>
      </c>
      <c r="C56" s="1065"/>
      <c r="D56" s="714"/>
      <c r="E56" s="1733" t="str">
        <f>A55&amp;"."&amp;B56</f>
        <v>6.1</v>
      </c>
      <c r="F56" s="717" t="s">
        <v>177</v>
      </c>
      <c r="G56" s="707" t="s">
        <v>178</v>
      </c>
      <c r="H56" s="707" t="s">
        <v>178</v>
      </c>
      <c r="I56" s="705" t="s">
        <v>179</v>
      </c>
      <c r="K56" s="1556"/>
      <c r="L56" s="1556"/>
      <c r="M56" s="1544" t="str">
        <f t="array" ref="M56">IF(ISERROR(MATCH(MID(N56,1,250),MID(note_ter,1,250),0)),"n","y")</f>
        <v>n</v>
      </c>
      <c r="N56" s="1556"/>
      <c r="O56" s="1544" t="str">
        <f>H56&amp;"("&amp;I56&amp;")"</f>
        <v>Новоалександровский(07726000)</v>
      </c>
      <c r="P56" s="1065"/>
      <c r="Q56" s="1065"/>
      <c r="R56" s="348"/>
      <c r="S56" s="1065"/>
      <c r="T56" s="1065"/>
      <c r="U56" s="1065"/>
      <c r="V56" s="350"/>
      <c r="W56" s="350"/>
      <c r="X56" s="347"/>
      <c r="Y56" s="347"/>
      <c r="Z56" s="347"/>
      <c r="AA56" s="347"/>
      <c r="AB56" s="347"/>
    </row>
    <row r="57" spans="1:28" ht="15" customHeight="1">
      <c r="A57" s="7534"/>
      <c r="B57" s="1065"/>
      <c r="C57" s="341"/>
      <c r="D57" s="715"/>
      <c r="E57" s="349"/>
      <c r="F57" s="95"/>
      <c r="G57" s="344" t="s">
        <v>207</v>
      </c>
      <c r="H57" s="105"/>
      <c r="I57" s="351"/>
      <c r="J57" s="1556"/>
      <c r="K57" s="1556"/>
      <c r="L57" s="1556"/>
      <c r="M57" s="1556"/>
      <c r="O57" s="1556"/>
      <c r="P57" s="1065"/>
      <c r="Q57" s="1065"/>
      <c r="R57" s="348"/>
      <c r="S57" s="1065"/>
      <c r="T57" s="1065"/>
      <c r="U57" s="1065"/>
      <c r="V57" s="350"/>
      <c r="W57" s="350"/>
      <c r="X57" s="347"/>
      <c r="Y57" s="347"/>
      <c r="Z57" s="347"/>
      <c r="AA57" s="347"/>
      <c r="AB57" s="347"/>
    </row>
    <row r="58" spans="1:28" ht="15" customHeight="1">
      <c r="A58" s="7534" t="s">
        <v>91</v>
      </c>
      <c r="B58" s="1065"/>
      <c r="C58" s="715" t="s">
        <v>101</v>
      </c>
      <c r="D58" s="1738"/>
      <c r="E58" s="1725" t="str">
        <f>A58</f>
        <v>7</v>
      </c>
      <c r="F58" s="718" t="s">
        <v>219</v>
      </c>
      <c r="G58" s="463" t="str">
        <f>"Территория "&amp;E58</f>
        <v>Территория 7</v>
      </c>
      <c r="H58" s="706"/>
      <c r="I58" s="706"/>
      <c r="J58" s="703"/>
      <c r="N58" s="143"/>
      <c r="T58" s="1739"/>
      <c r="U58" s="1739"/>
      <c r="V58" s="1739"/>
      <c r="W58" s="1739"/>
      <c r="X58" s="1739"/>
      <c r="Y58" s="1739"/>
      <c r="Z58" s="1739"/>
      <c r="AA58" s="1739"/>
      <c r="AB58" s="1739"/>
    </row>
    <row r="59" spans="1:28" ht="15" customHeight="1">
      <c r="A59" s="7534"/>
      <c r="B59" s="1065">
        <v>1</v>
      </c>
      <c r="C59" s="1065"/>
      <c r="D59" s="714"/>
      <c r="E59" s="1733" t="str">
        <f>A58&amp;"."&amp;B59</f>
        <v>7.1</v>
      </c>
      <c r="F59" s="717" t="s">
        <v>184</v>
      </c>
      <c r="G59" s="707" t="s">
        <v>185</v>
      </c>
      <c r="H59" s="707" t="s">
        <v>185</v>
      </c>
      <c r="I59" s="705" t="s">
        <v>186</v>
      </c>
      <c r="K59" s="1556"/>
      <c r="L59" s="1556"/>
      <c r="M59" s="1544" t="str">
        <f t="array" ref="M59">IF(ISERROR(MATCH(MID(N59,1,250),MID(note_ter,1,250),0)),"n","y")</f>
        <v>n</v>
      </c>
      <c r="N59" s="1556"/>
      <c r="O59" s="1544" t="str">
        <f>H59&amp;"("&amp;I59&amp;")"</f>
        <v>Петровский(07731000)</v>
      </c>
      <c r="P59" s="1065"/>
      <c r="Q59" s="1065"/>
      <c r="R59" s="348"/>
      <c r="S59" s="1065"/>
      <c r="T59" s="1065"/>
      <c r="U59" s="1065"/>
      <c r="V59" s="350"/>
      <c r="W59" s="350"/>
      <c r="X59" s="347"/>
      <c r="Y59" s="347"/>
      <c r="Z59" s="347"/>
      <c r="AA59" s="347"/>
      <c r="AB59" s="347"/>
    </row>
    <row r="60" spans="1:28" ht="15" customHeight="1">
      <c r="A60" s="7534"/>
      <c r="B60" s="1065"/>
      <c r="C60" s="341"/>
      <c r="D60" s="715"/>
      <c r="E60" s="349"/>
      <c r="F60" s="95"/>
      <c r="G60" s="344" t="s">
        <v>207</v>
      </c>
      <c r="H60" s="105"/>
      <c r="I60" s="351"/>
      <c r="J60" s="1556"/>
      <c r="K60" s="1556"/>
      <c r="L60" s="1556"/>
      <c r="M60" s="1556"/>
      <c r="O60" s="1556"/>
      <c r="P60" s="1065"/>
      <c r="Q60" s="1065"/>
      <c r="R60" s="348"/>
      <c r="S60" s="1065"/>
      <c r="T60" s="1065"/>
      <c r="U60" s="1065"/>
      <c r="V60" s="350"/>
      <c r="W60" s="350"/>
      <c r="X60" s="347"/>
      <c r="Y60" s="347"/>
      <c r="Z60" s="347"/>
      <c r="AA60" s="347"/>
      <c r="AB60" s="347"/>
    </row>
    <row r="61" spans="1:28" ht="15" customHeight="1">
      <c r="A61" s="7534" t="s">
        <v>121</v>
      </c>
      <c r="B61" s="1065"/>
      <c r="C61" s="715" t="s">
        <v>101</v>
      </c>
      <c r="D61" s="1738"/>
      <c r="E61" s="1725" t="str">
        <f>A61</f>
        <v>8</v>
      </c>
      <c r="F61" s="718" t="s">
        <v>220</v>
      </c>
      <c r="G61" s="463" t="str">
        <f>"Территория "&amp;E61</f>
        <v>Территория 8</v>
      </c>
      <c r="H61" s="706"/>
      <c r="I61" s="706"/>
      <c r="J61" s="703"/>
      <c r="N61" s="143"/>
      <c r="T61" s="1739"/>
      <c r="U61" s="1739"/>
      <c r="V61" s="1739"/>
      <c r="W61" s="1739"/>
      <c r="X61" s="1739"/>
      <c r="Y61" s="1739"/>
      <c r="Z61" s="1739"/>
      <c r="AA61" s="1739"/>
      <c r="AB61" s="1739"/>
    </row>
    <row r="62" spans="1:28" ht="15" customHeight="1">
      <c r="A62" s="7534"/>
      <c r="B62" s="1065">
        <v>1</v>
      </c>
      <c r="C62" s="1065"/>
      <c r="D62" s="714"/>
      <c r="E62" s="1733" t="str">
        <f>A61&amp;"."&amp;B62</f>
        <v>8.1</v>
      </c>
      <c r="F62" s="717" t="s">
        <v>184</v>
      </c>
      <c r="G62" s="707" t="s">
        <v>185</v>
      </c>
      <c r="H62" s="707" t="s">
        <v>185</v>
      </c>
      <c r="I62" s="705" t="s">
        <v>186</v>
      </c>
      <c r="K62" s="1556"/>
      <c r="L62" s="1556"/>
      <c r="M62" s="1544" t="str">
        <f t="array" ref="M62">IF(ISERROR(MATCH(MID(N62,1,250),MID(note_ter,1,250),0)),"n","y")</f>
        <v>n</v>
      </c>
      <c r="N62" s="1556"/>
      <c r="O62" s="1544" t="str">
        <f>H62&amp;"("&amp;I62&amp;")"</f>
        <v>Петровский(07731000)</v>
      </c>
      <c r="P62" s="1065"/>
      <c r="Q62" s="1065"/>
      <c r="R62" s="348"/>
      <c r="S62" s="1065"/>
      <c r="T62" s="1065"/>
      <c r="U62" s="1065"/>
      <c r="V62" s="350"/>
      <c r="W62" s="350"/>
      <c r="X62" s="347"/>
      <c r="Y62" s="347"/>
      <c r="Z62" s="347"/>
      <c r="AA62" s="347"/>
      <c r="AB62" s="347"/>
    </row>
    <row r="63" spans="1:28" ht="15" customHeight="1">
      <c r="A63" s="7534"/>
      <c r="B63" s="1287" t="s">
        <v>100</v>
      </c>
      <c r="C63" s="1287"/>
      <c r="D63" s="714" t="s">
        <v>101</v>
      </c>
      <c r="E63" s="1797" t="str">
        <f>A61&amp;"."&amp;B63</f>
        <v>8.2</v>
      </c>
      <c r="F63" s="1802" t="s">
        <v>118</v>
      </c>
      <c r="G63" s="1806" t="s">
        <v>119</v>
      </c>
      <c r="H63" s="1806" t="s">
        <v>119</v>
      </c>
      <c r="I63" s="1804" t="s">
        <v>120</v>
      </c>
      <c r="K63" s="1556"/>
      <c r="L63" s="1556"/>
      <c r="M63" s="1544" t="str">
        <f t="array" ref="M63">IF(ISERROR(MATCH(MID(N63,1,250),MID(note_ter,1,250),0)),"n","y")</f>
        <v>n</v>
      </c>
      <c r="N63" s="1556"/>
      <c r="O63" s="1544" t="str">
        <f>H63&amp;"("&amp;I63&amp;")"</f>
        <v>Георгиевский(07707000)</v>
      </c>
      <c r="P63" s="1287"/>
      <c r="Q63" s="1287"/>
      <c r="R63" s="348"/>
      <c r="S63" s="1287"/>
      <c r="T63" s="1287"/>
      <c r="U63" s="1287"/>
      <c r="V63" s="747"/>
      <c r="W63" s="747"/>
      <c r="X63" s="545"/>
      <c r="Y63" s="545"/>
      <c r="Z63" s="545"/>
      <c r="AA63" s="545"/>
      <c r="AB63" s="545"/>
    </row>
    <row r="64" spans="1:28" ht="15" customHeight="1">
      <c r="A64" s="7534"/>
      <c r="B64" s="1065"/>
      <c r="C64" s="341"/>
      <c r="D64" s="715"/>
      <c r="E64" s="349"/>
      <c r="F64" s="95"/>
      <c r="G64" s="344" t="s">
        <v>207</v>
      </c>
      <c r="H64" s="105"/>
      <c r="I64" s="351"/>
      <c r="J64" s="1556"/>
      <c r="K64" s="1556"/>
      <c r="L64" s="1556"/>
      <c r="M64" s="1556"/>
      <c r="O64" s="1556"/>
      <c r="P64" s="1065"/>
      <c r="Q64" s="1065"/>
      <c r="R64" s="348"/>
      <c r="S64" s="1065"/>
      <c r="T64" s="1065"/>
      <c r="U64" s="1065"/>
      <c r="V64" s="350"/>
      <c r="W64" s="350"/>
      <c r="X64" s="347"/>
      <c r="Y64" s="347"/>
      <c r="Z64" s="347"/>
      <c r="AA64" s="347"/>
      <c r="AB64" s="347"/>
    </row>
    <row r="65" spans="1:19" s="1739" customFormat="1" ht="14.25" customHeight="1">
      <c r="A65" s="673"/>
      <c r="B65" s="346"/>
      <c r="C65" s="673"/>
      <c r="D65" s="696"/>
      <c r="E65" s="708"/>
      <c r="F65" s="96"/>
      <c r="G65" s="345" t="s">
        <v>221</v>
      </c>
      <c r="H65" s="96"/>
      <c r="I65" s="97"/>
      <c r="J65" s="164"/>
      <c r="K65" s="73"/>
      <c r="L65" s="73"/>
      <c r="M65" s="73"/>
      <c r="N65" s="143" t="s">
        <v>222</v>
      </c>
      <c r="O65" s="73"/>
      <c r="P65" s="142"/>
      <c r="Q65" s="142"/>
      <c r="R65" s="142"/>
      <c r="S65" s="142"/>
    </row>
    <row r="66" spans="1:19" s="1739" customFormat="1" ht="21" customHeight="1">
      <c r="A66" s="673"/>
      <c r="B66" s="346"/>
      <c r="C66" s="673"/>
      <c r="D66" s="83"/>
      <c r="E66" s="98"/>
      <c r="F66" s="98"/>
      <c r="G66" s="98"/>
      <c r="H66" s="98"/>
      <c r="I66" s="98"/>
      <c r="J66" s="73"/>
      <c r="K66" s="73"/>
      <c r="L66" s="73"/>
      <c r="M66" s="73"/>
      <c r="N66" s="143"/>
      <c r="O66" s="73"/>
      <c r="P66" s="142"/>
      <c r="Q66" s="142"/>
      <c r="R66" s="142"/>
      <c r="S66" s="142"/>
    </row>
    <row r="67" spans="1:19" s="1739" customFormat="1" ht="14.25" customHeight="1">
      <c r="A67" s="673"/>
      <c r="B67" s="346"/>
      <c r="C67" s="673"/>
      <c r="D67" s="83"/>
      <c r="E67" s="14"/>
      <c r="F67" s="673"/>
      <c r="G67" s="14"/>
      <c r="H67" s="14"/>
      <c r="I67" s="14"/>
      <c r="J67" s="73"/>
      <c r="K67" s="73"/>
      <c r="L67" s="73"/>
      <c r="M67" s="73"/>
      <c r="N67" s="143"/>
      <c r="O67" s="73"/>
      <c r="P67" s="142"/>
      <c r="Q67" s="142"/>
      <c r="R67" s="142"/>
      <c r="S67" s="142"/>
    </row>
    <row r="68" spans="1:19" s="1739" customFormat="1" ht="0.75" customHeight="1">
      <c r="A68" s="673"/>
      <c r="B68" s="346"/>
      <c r="C68" s="673"/>
      <c r="D68" s="83"/>
      <c r="E68" s="14"/>
      <c r="F68" s="673"/>
      <c r="G68" s="14"/>
      <c r="H68" s="14"/>
      <c r="I68" s="14"/>
      <c r="J68" s="73"/>
      <c r="K68" s="73"/>
      <c r="L68" s="73"/>
      <c r="M68" s="73"/>
      <c r="N68" s="143"/>
      <c r="O68" s="73"/>
      <c r="P68" s="142"/>
      <c r="Q68" s="142"/>
      <c r="R68" s="142"/>
      <c r="S68" s="142"/>
    </row>
    <row r="69" spans="1:19" s="975" customFormat="1" ht="10.5" customHeight="1">
      <c r="B69" s="748"/>
      <c r="D69" s="100"/>
      <c r="J69" s="73"/>
      <c r="K69" s="73"/>
      <c r="L69" s="73"/>
      <c r="M69" s="73"/>
      <c r="N69" s="143"/>
      <c r="O69" s="73"/>
      <c r="P69" s="142"/>
      <c r="Q69" s="142"/>
      <c r="R69" s="142"/>
      <c r="S69" s="142"/>
    </row>
    <row r="70" spans="1:19" s="975" customFormat="1" ht="10.5" customHeight="1">
      <c r="B70" s="748"/>
      <c r="D70" s="100"/>
      <c r="J70" s="73"/>
      <c r="K70" s="73"/>
      <c r="L70" s="73"/>
      <c r="M70" s="73"/>
      <c r="N70" s="143"/>
      <c r="O70" s="73"/>
      <c r="P70" s="142"/>
      <c r="Q70" s="142"/>
      <c r="R70" s="142"/>
      <c r="S70" s="142"/>
    </row>
    <row r="74" spans="1:19" ht="14.25" customHeight="1">
      <c r="H74"/>
    </row>
    <row r="78" spans="1:19" ht="14.25" customHeight="1">
      <c r="J78" s="14"/>
      <c r="K78" s="14"/>
      <c r="L78" s="14"/>
    </row>
  </sheetData>
  <sheetProtection formatColumns="0" formatRows="0" insertRows="0" deleteColumns="0" deleteRows="0" sort="0" autoFilter="0"/>
  <mergeCells count="11">
    <mergeCell ref="A61:A64"/>
    <mergeCell ref="A46:A48"/>
    <mergeCell ref="A49:A51"/>
    <mergeCell ref="A52:A54"/>
    <mergeCell ref="A55:A57"/>
    <mergeCell ref="A58:A60"/>
    <mergeCell ref="A12:A42"/>
    <mergeCell ref="E4:I4"/>
    <mergeCell ref="E8:G8"/>
    <mergeCell ref="H8:I8"/>
    <mergeCell ref="A43:A45"/>
  </mergeCells>
  <dataValidations count="8">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43">
      <formula1>900</formula1>
    </dataValidation>
    <dataValidation type="textLength" operator="lessThanOrEqual" allowBlank="1" showInputMessage="1" showErrorMessage="1" errorTitle="Ошибка" error="Допускается ввод не более 900 символов!" sqref="G46">
      <formula1>900</formula1>
    </dataValidation>
    <dataValidation type="textLength" operator="lessThanOrEqual" allowBlank="1" showInputMessage="1" showErrorMessage="1" errorTitle="Ошибка" error="Допускается ввод не более 900 символов!" sqref="G49">
      <formula1>900</formula1>
    </dataValidation>
    <dataValidation type="textLength" operator="lessThanOrEqual" allowBlank="1" showInputMessage="1" showErrorMessage="1" errorTitle="Ошибка" error="Допускается ввод не более 900 символов!" sqref="G52">
      <formula1>900</formula1>
    </dataValidation>
    <dataValidation type="textLength" operator="lessThanOrEqual" allowBlank="1" showInputMessage="1" showErrorMessage="1" errorTitle="Ошибка" error="Допускается ввод не более 900 символов!" sqref="G55">
      <formula1>900</formula1>
    </dataValidation>
    <dataValidation type="textLength" operator="lessThanOrEqual" allowBlank="1" showInputMessage="1" showErrorMessage="1" errorTitle="Ошибка" error="Допускается ввод не более 900 символов!" sqref="G58">
      <formula1>900</formula1>
    </dataValidation>
    <dataValidation type="textLength" operator="lessThanOrEqual" allowBlank="1" showInputMessage="1" showErrorMessage="1" errorTitle="Ошибка" error="Допускается ввод не более 900 символов!" sqref="G61">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4.57031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ht="11.25" hidden="1" customHeight="1"/>
    <row r="2" spans="1:31" ht="23.25" hidden="1" customHeight="1">
      <c r="B2" s="7533"/>
      <c r="C2" s="1072" t="s">
        <v>714</v>
      </c>
      <c r="D2" s="1558"/>
      <c r="E2" s="469">
        <f>B2</f>
        <v>0</v>
      </c>
      <c r="F2" s="470"/>
      <c r="G2" s="1566" t="s">
        <v>715</v>
      </c>
      <c r="H2" s="1566" t="s">
        <v>715</v>
      </c>
      <c r="I2" s="1566" t="s">
        <v>715</v>
      </c>
      <c r="J2" s="204" t="s">
        <v>716</v>
      </c>
      <c r="K2" s="466"/>
    </row>
    <row r="3" spans="1:31" s="1562" customFormat="1" ht="0.75" hidden="1" customHeight="1">
      <c r="B3" s="7533"/>
      <c r="C3" s="1072"/>
      <c r="D3" s="471"/>
      <c r="E3" s="472"/>
      <c r="F3" s="473" t="s">
        <v>717</v>
      </c>
      <c r="G3" s="474"/>
      <c r="H3" s="474">
        <f>H4*H5+H7</f>
        <v>0</v>
      </c>
      <c r="I3" s="474">
        <f>I4*I5+I6</f>
        <v>0</v>
      </c>
      <c r="J3" s="475"/>
    </row>
    <row r="4" spans="1:31" ht="23.25" hidden="1" customHeight="1">
      <c r="B4" s="7533"/>
      <c r="C4" s="1072"/>
      <c r="D4" s="1558"/>
      <c r="E4" s="469" t="str">
        <f>B2&amp;".1"</f>
        <v>.1</v>
      </c>
      <c r="F4" s="476" t="s">
        <v>718</v>
      </c>
      <c r="G4" s="477"/>
      <c r="H4" s="464"/>
      <c r="I4" s="464"/>
      <c r="J4" s="204" t="s">
        <v>719</v>
      </c>
      <c r="K4" s="466"/>
    </row>
    <row r="5" spans="1:31" ht="18.75" hidden="1" customHeight="1">
      <c r="B5" s="7533"/>
      <c r="C5" s="1072"/>
      <c r="D5" s="1558"/>
      <c r="E5" s="469" t="str">
        <f>B2&amp;".2"</f>
        <v>.2</v>
      </c>
      <c r="F5" s="476" t="s">
        <v>720</v>
      </c>
      <c r="G5" s="1566" t="s">
        <v>721</v>
      </c>
      <c r="H5" s="464"/>
      <c r="I5" s="464"/>
      <c r="J5" s="204"/>
      <c r="K5" s="466"/>
    </row>
    <row r="6" spans="1:31" ht="18.75" hidden="1" customHeight="1">
      <c r="B6" s="7533"/>
      <c r="C6" s="1072"/>
      <c r="D6" s="1558"/>
      <c r="E6" s="469" t="str">
        <f>B2&amp;".3"</f>
        <v>.3</v>
      </c>
      <c r="F6" s="476" t="s">
        <v>722</v>
      </c>
      <c r="G6" s="1566" t="s">
        <v>721</v>
      </c>
      <c r="H6" s="464"/>
      <c r="I6" s="464"/>
      <c r="J6" s="204"/>
      <c r="K6" s="466"/>
    </row>
    <row r="7" spans="1:31" ht="18.75" hidden="1" customHeight="1">
      <c r="B7" s="7533"/>
      <c r="C7" s="1072"/>
      <c r="D7" s="1558"/>
      <c r="E7" s="469" t="str">
        <f>B2&amp;".4"</f>
        <v>.4</v>
      </c>
      <c r="F7" s="476" t="s">
        <v>723</v>
      </c>
      <c r="G7" s="1566" t="s">
        <v>715</v>
      </c>
      <c r="H7" s="478"/>
      <c r="I7" s="478"/>
      <c r="J7" s="204"/>
      <c r="K7" s="466"/>
    </row>
    <row r="8" spans="1:31" s="1287" customFormat="1" ht="11.25" hidden="1" customHeight="1">
      <c r="A8" s="898"/>
      <c r="C8" s="1556"/>
      <c r="D8" s="460"/>
      <c r="H8" s="1065">
        <v>4</v>
      </c>
      <c r="I8" s="1065">
        <v>4</v>
      </c>
      <c r="L8" s="1556"/>
      <c r="M8" s="1556"/>
      <c r="R8" s="1556"/>
    </row>
    <row r="9" spans="1:31" s="1287" customFormat="1" ht="22.5" hidden="1" customHeight="1">
      <c r="A9" s="898"/>
      <c r="C9" s="1556"/>
      <c r="D9" s="461"/>
      <c r="E9" s="1568"/>
      <c r="F9" s="463"/>
      <c r="G9" s="1566" t="s">
        <v>721</v>
      </c>
      <c r="H9" s="464"/>
      <c r="I9" s="464"/>
      <c r="J9" s="465" t="s">
        <v>724</v>
      </c>
      <c r="K9" s="466"/>
      <c r="L9" s="1556"/>
      <c r="M9" s="1556"/>
      <c r="R9" s="1556"/>
      <c r="U9" s="467"/>
      <c r="AA9" s="1552"/>
      <c r="AB9" s="1552"/>
      <c r="AC9" s="1552"/>
      <c r="AD9" s="1552"/>
      <c r="AE9" s="1552"/>
    </row>
    <row r="10" spans="1:31" ht="11.25" hidden="1" customHeight="1"/>
    <row r="11" spans="1:31" ht="18.75" hidden="1" customHeight="1">
      <c r="D11" s="1558"/>
      <c r="E11" s="469"/>
      <c r="F11" s="463"/>
      <c r="G11" s="1566" t="s">
        <v>725</v>
      </c>
      <c r="H11" s="464"/>
      <c r="I11" s="464"/>
      <c r="J11" s="204" t="s">
        <v>726</v>
      </c>
      <c r="K11" s="466"/>
    </row>
    <row r="12" spans="1:31" ht="11.25" hidden="1" customHeight="1"/>
    <row r="13" spans="1:31" ht="22.5" hidden="1" customHeight="1">
      <c r="D13" s="1558"/>
      <c r="E13" s="469"/>
      <c r="F13" s="463"/>
      <c r="G13" s="880" t="s">
        <v>727</v>
      </c>
      <c r="H13" s="468"/>
      <c r="I13" s="468"/>
      <c r="J13" s="661" t="s">
        <v>728</v>
      </c>
      <c r="K13" s="466"/>
    </row>
    <row r="14" spans="1:31" ht="11.25" hidden="1" customHeight="1"/>
    <row r="15" spans="1:31" ht="22.5" hidden="1" customHeight="1">
      <c r="D15" s="1558"/>
      <c r="E15" s="469"/>
      <c r="F15" s="463"/>
      <c r="G15" s="1566" t="s">
        <v>729</v>
      </c>
      <c r="H15" s="468"/>
      <c r="I15" s="468"/>
      <c r="J15" s="204" t="s">
        <v>730</v>
      </c>
      <c r="K15" s="466"/>
    </row>
    <row r="16" spans="1:31" ht="11.25" hidden="1" customHeight="1"/>
    <row r="17" spans="1:26" ht="22.5" hidden="1" customHeight="1">
      <c r="D17" s="1558"/>
      <c r="E17" s="469"/>
      <c r="F17" s="463"/>
      <c r="G17" s="1566" t="s">
        <v>731</v>
      </c>
      <c r="H17" s="468"/>
      <c r="I17" s="468"/>
      <c r="J17" s="204" t="s">
        <v>732</v>
      </c>
      <c r="K17" s="466"/>
    </row>
    <row r="18" spans="1:26" ht="11.25" hidden="1" customHeight="1"/>
    <row r="19" spans="1:26" s="1552" customFormat="1" ht="11.25" hidden="1" customHeight="1">
      <c r="A19" s="898"/>
      <c r="B19" s="1065"/>
      <c r="C19" s="1556"/>
      <c r="D19" s="285"/>
      <c r="J19" s="1552">
        <v>4</v>
      </c>
      <c r="K19" s="1065"/>
      <c r="L19" s="1556"/>
      <c r="M19" s="1556"/>
      <c r="N19" s="1065"/>
      <c r="O19" s="1065"/>
      <c r="P19" s="1065"/>
      <c r="Q19" s="1065"/>
      <c r="R19" s="1556"/>
      <c r="S19" s="1065"/>
      <c r="T19" s="1065"/>
      <c r="U19" s="467"/>
      <c r="V19" s="1065"/>
      <c r="W19" s="1065"/>
      <c r="X19" s="1065"/>
      <c r="Y19" s="1065"/>
      <c r="Z19" s="1065"/>
    </row>
    <row r="21" spans="1:26" ht="24" customHeight="1">
      <c r="E21" s="7673"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7673"/>
      <c r="G21" s="7673"/>
      <c r="H21" s="7673"/>
      <c r="I21" s="7673"/>
      <c r="J21" s="479"/>
    </row>
    <row r="22" spans="1:26" ht="24" customHeight="1">
      <c r="E22" s="7620" t="str">
        <f>IF(org=0,"Не определено",org)</f>
        <v>ГУП СК "Ставрополькрайводоканал"</v>
      </c>
      <c r="F22" s="7620"/>
      <c r="G22" s="7620"/>
      <c r="H22" s="7620"/>
      <c r="I22" s="7620"/>
    </row>
    <row r="23" spans="1:26" ht="11.25" customHeight="1">
      <c r="E23" s="1042"/>
      <c r="F23" s="1042"/>
      <c r="G23" s="1042"/>
      <c r="H23" s="1042"/>
      <c r="I23" s="1042"/>
    </row>
    <row r="24" spans="1:26" s="1562" customFormat="1" ht="0.75" customHeight="1">
      <c r="A24" s="1072"/>
      <c r="H24" s="803"/>
      <c r="I24" s="803" t="s">
        <v>231</v>
      </c>
    </row>
    <row r="25" spans="1:26" ht="11.25" customHeight="1">
      <c r="E25" s="628"/>
      <c r="F25" s="7764" t="s">
        <v>223</v>
      </c>
      <c r="G25" s="7765"/>
      <c r="H25" s="1572" t="str">
        <f>IF(H24="","",INDEX(DIFFERENTIATION_UNMERGE_VD,MATCH(H24,DIFFERENTIATION_ID_DIFF,0)))</f>
        <v/>
      </c>
      <c r="I25" s="1572">
        <f>IF(I24="","",INDEX(DIFFERENTIATION_UNMERGE_VD,MATCH(I24,DIFFERENTIATION_ID_DIFF,0)))</f>
        <v>0</v>
      </c>
      <c r="J25" s="7559"/>
    </row>
    <row r="26" spans="1:26" ht="11.25" customHeight="1">
      <c r="E26" s="628"/>
      <c r="F26" s="7764" t="s">
        <v>733</v>
      </c>
      <c r="G26" s="7765"/>
      <c r="H26" s="1572" t="str">
        <f>IF(H24="","",INDEX(DIFFERENTIATION_UNMERGE_AREA,MATCH(H24,DIFFERENTIATION_ID_DIFF,0)))</f>
        <v/>
      </c>
      <c r="I26" s="1572" t="str">
        <f>IF(I24="","",INDEX(DIFFERENTIATION_UNMERGE_AREA,MATCH(I24,DIFFERENTIATION_ID_DIFF,0)))</f>
        <v/>
      </c>
      <c r="J26" s="7559"/>
    </row>
    <row r="27" spans="1:26" ht="11.25" customHeight="1">
      <c r="E27" s="628"/>
      <c r="F27" s="7764" t="s">
        <v>734</v>
      </c>
      <c r="G27" s="7765"/>
      <c r="H27" s="1572" t="str">
        <f>IF(H24="","",INDEX(DIFFERENTIATION_UNMERGE_SYSTEM,MATCH(H24,DIFFERENTIATION_ID_DIFF,0)))</f>
        <v/>
      </c>
      <c r="I27" s="1572" t="str">
        <f>IF(I24="","",INDEX(DIFFERENTIATION_UNMERGE_SYSTEM,MATCH(I24,DIFFERENTIATION_ID_DIFF,0)))</f>
        <v>без дифференциации</v>
      </c>
      <c r="J27" s="7559"/>
    </row>
    <row r="28" spans="1:26" ht="11.25" customHeight="1">
      <c r="E28" s="7766" t="s">
        <v>474</v>
      </c>
      <c r="F28" s="7767"/>
      <c r="G28" s="7767"/>
      <c r="H28" s="1565"/>
      <c r="I28" s="1565"/>
      <c r="J28" s="7559"/>
    </row>
    <row r="29" spans="1:26" ht="22.5" customHeight="1">
      <c r="E29" s="1566" t="s">
        <v>86</v>
      </c>
      <c r="F29" s="1573" t="s">
        <v>476</v>
      </c>
      <c r="G29" s="1573" t="s">
        <v>735</v>
      </c>
      <c r="H29" s="1573" t="s">
        <v>477</v>
      </c>
      <c r="I29" s="1573" t="s">
        <v>477</v>
      </c>
      <c r="J29" s="7559"/>
    </row>
    <row r="30" spans="1:26" ht="18.75" customHeight="1">
      <c r="D30" s="1558"/>
      <c r="E30" s="469">
        <f>FHD_NUM_P_1</f>
        <v>1</v>
      </c>
      <c r="F30" s="1799" t="str">
        <f>FHD_P_1</f>
        <v>Выручка от регулируемых видов деятельности в сфере холодного водоснабжения</v>
      </c>
      <c r="G30" s="1797" t="s">
        <v>721</v>
      </c>
      <c r="H30" s="480"/>
      <c r="I30" s="480"/>
      <c r="J30" s="204" t="str">
        <f>FHD_NOTE_P_1</f>
        <v>Указывается выручка с распределением по видам деятельности.</v>
      </c>
      <c r="K30" s="466"/>
    </row>
    <row r="31" spans="1:26" ht="11.25" customHeight="1">
      <c r="D31" s="1558"/>
      <c r="E31" s="469">
        <f>FHD_NUM_P_2</f>
        <v>2</v>
      </c>
      <c r="F31" s="1799" t="str">
        <f>FHD_P_2</f>
        <v>Себестоимость производимых товаров (оказываемых услуг) по регулируемым видам деятельности в сфере холодного водоснабжения, включая:</v>
      </c>
      <c r="G31" s="1797" t="s">
        <v>721</v>
      </c>
      <c r="H31" s="481">
        <f>SUMIF($K33:$K71,$K31,H33:H71)</f>
        <v>0</v>
      </c>
      <c r="I31" s="481">
        <f>SUMIF($K33:$K71,$K31,I33:I71)</f>
        <v>0</v>
      </c>
      <c r="J31" s="204" t="str">
        <f>FHD_NOTE_P_2</f>
        <v>Указывается суммарная себестоимость производимых товаров.</v>
      </c>
      <c r="K31" s="1556" t="s">
        <v>736</v>
      </c>
    </row>
    <row r="32" spans="1:26" ht="11.25" customHeight="1">
      <c r="D32" s="1558"/>
      <c r="E32" s="469" t="str">
        <f>FHD_NUM_P_3</f>
        <v>2.1</v>
      </c>
      <c r="F32" s="1439" t="str">
        <f>FHD_P_3</f>
        <v>Расходы на оплату холодной воды, приобретаемой у других организаций для последующей подачи потребителям</v>
      </c>
      <c r="G32" s="1797" t="s">
        <v>721</v>
      </c>
      <c r="H32" s="480"/>
      <c r="I32" s="480"/>
      <c r="J32" s="204" t="str">
        <f>FHD_NOTE_P_3</f>
        <v/>
      </c>
      <c r="K32" s="1556" t="str">
        <f t="shared" ref="K32:K70" si="0">IF((LEN(E32)-LEN(SUBSTITUTE(E32,".","")))/LEN(".")=1,"p","")</f>
        <v>p</v>
      </c>
    </row>
    <row r="33" spans="1:31" ht="11.25" hidden="1" customHeight="1">
      <c r="A33" s="7768" t="s">
        <v>737</v>
      </c>
      <c r="D33" s="1558"/>
      <c r="E33" s="469" t="str">
        <f>FHD_NUM_P_4</f>
        <v/>
      </c>
      <c r="F33" s="1439" t="str">
        <f>FHD_P_4</f>
        <v/>
      </c>
      <c r="G33" s="1797" t="s">
        <v>721</v>
      </c>
      <c r="H33" s="481">
        <f>SUMIF($F34:$F40,$F3,H34:H40)</f>
        <v>0</v>
      </c>
      <c r="I33" s="481">
        <f>SUMIF($F34:$F40,$F3,I34:I40)</f>
        <v>0</v>
      </c>
      <c r="J33" s="204" t="str">
        <f>FHD_NOTE_P_4</f>
        <v/>
      </c>
      <c r="K33" s="1556" t="str">
        <f t="shared" si="0"/>
        <v/>
      </c>
    </row>
    <row r="34" spans="1:31" s="1561" customFormat="1" ht="0.75" hidden="1" customHeight="1">
      <c r="A34" s="7768"/>
      <c r="B34" s="7769" t="str">
        <f>E33&amp;".0"</f>
        <v>.0</v>
      </c>
      <c r="C34" s="1072"/>
      <c r="D34" s="483"/>
      <c r="E34" s="484"/>
      <c r="F34" s="485"/>
      <c r="G34" s="486"/>
      <c r="H34" s="421"/>
      <c r="I34" s="421"/>
      <c r="J34" s="487"/>
      <c r="K34" s="1556" t="str">
        <f t="shared" si="0"/>
        <v/>
      </c>
      <c r="L34" s="1556"/>
      <c r="M34" s="1556"/>
      <c r="N34" s="1556"/>
      <c r="O34" s="1556"/>
      <c r="P34" s="1556"/>
      <c r="Q34" s="1556"/>
      <c r="R34" s="1556"/>
      <c r="S34" s="1556"/>
      <c r="T34" s="1556"/>
      <c r="U34" s="488"/>
      <c r="V34" s="1556"/>
      <c r="W34" s="1556"/>
      <c r="X34" s="1556"/>
      <c r="Y34" s="1556"/>
      <c r="Z34" s="1556"/>
      <c r="AA34" s="489"/>
      <c r="AB34" s="489"/>
      <c r="AC34" s="489"/>
      <c r="AD34" s="489"/>
      <c r="AE34" s="489"/>
    </row>
    <row r="35" spans="1:31" s="1561" customFormat="1" ht="0.75" hidden="1" customHeight="1">
      <c r="A35" s="7768"/>
      <c r="B35" s="7769"/>
      <c r="C35" s="1072"/>
      <c r="D35" s="483"/>
      <c r="E35" s="490"/>
      <c r="F35" s="491"/>
      <c r="G35" s="486"/>
      <c r="H35" s="492"/>
      <c r="I35" s="492"/>
      <c r="J35" s="487"/>
      <c r="K35" s="1556" t="str">
        <f t="shared" si="0"/>
        <v/>
      </c>
      <c r="L35" s="1556"/>
      <c r="M35" s="1556"/>
      <c r="N35" s="1556"/>
      <c r="O35" s="1556"/>
      <c r="P35" s="1556"/>
      <c r="Q35" s="1556"/>
      <c r="R35" s="1556"/>
      <c r="S35" s="1556"/>
      <c r="T35" s="1556"/>
      <c r="U35" s="488"/>
      <c r="V35" s="1556"/>
      <c r="W35" s="1556"/>
      <c r="X35" s="1556"/>
      <c r="Y35" s="1556"/>
      <c r="Z35" s="1556"/>
      <c r="AA35" s="489"/>
      <c r="AB35" s="489"/>
      <c r="AC35" s="489"/>
      <c r="AD35" s="489"/>
      <c r="AE35" s="489"/>
    </row>
    <row r="36" spans="1:31" s="1561" customFormat="1" ht="0.75" hidden="1" customHeight="1">
      <c r="A36" s="7768"/>
      <c r="B36" s="7769"/>
      <c r="C36" s="1072"/>
      <c r="D36" s="483"/>
      <c r="E36" s="490"/>
      <c r="F36" s="491"/>
      <c r="G36" s="486"/>
      <c r="H36" s="492"/>
      <c r="I36" s="492"/>
      <c r="J36" s="487"/>
      <c r="K36" s="1556" t="str">
        <f t="shared" si="0"/>
        <v/>
      </c>
      <c r="L36" s="1556"/>
      <c r="M36" s="1556"/>
      <c r="N36" s="1556"/>
      <c r="O36" s="1556"/>
      <c r="P36" s="1556"/>
      <c r="Q36" s="1556"/>
      <c r="R36" s="1556"/>
      <c r="S36" s="1556"/>
      <c r="T36" s="1556"/>
      <c r="U36" s="488"/>
      <c r="V36" s="1556"/>
      <c r="W36" s="1556"/>
      <c r="X36" s="1556"/>
      <c r="Y36" s="1556"/>
      <c r="Z36" s="1556"/>
      <c r="AA36" s="489"/>
      <c r="AB36" s="489"/>
      <c r="AC36" s="489"/>
      <c r="AD36" s="489"/>
      <c r="AE36" s="489"/>
    </row>
    <row r="37" spans="1:31" s="1561" customFormat="1" ht="0.75" hidden="1" customHeight="1">
      <c r="A37" s="7768"/>
      <c r="B37" s="7769"/>
      <c r="C37" s="1072"/>
      <c r="D37" s="483"/>
      <c r="E37" s="490"/>
      <c r="F37" s="491"/>
      <c r="G37" s="486"/>
      <c r="H37" s="492"/>
      <c r="I37" s="492"/>
      <c r="J37" s="487"/>
      <c r="K37" s="1556" t="str">
        <f t="shared" si="0"/>
        <v/>
      </c>
      <c r="L37" s="1556"/>
      <c r="M37" s="1556"/>
      <c r="N37" s="1556"/>
      <c r="O37" s="1556"/>
      <c r="P37" s="1556"/>
      <c r="Q37" s="1556"/>
      <c r="R37" s="1556"/>
      <c r="S37" s="1556"/>
      <c r="T37" s="1556"/>
      <c r="U37" s="488"/>
      <c r="V37" s="1556"/>
      <c r="W37" s="1556"/>
      <c r="X37" s="1556"/>
      <c r="Y37" s="1556"/>
      <c r="Z37" s="1556"/>
      <c r="AA37" s="489"/>
      <c r="AB37" s="489"/>
      <c r="AC37" s="489"/>
      <c r="AD37" s="489"/>
      <c r="AE37" s="489"/>
    </row>
    <row r="38" spans="1:31" s="1561" customFormat="1" ht="0.75" hidden="1" customHeight="1">
      <c r="A38" s="7768"/>
      <c r="B38" s="7769"/>
      <c r="C38" s="1072"/>
      <c r="D38" s="483"/>
      <c r="E38" s="490"/>
      <c r="F38" s="491"/>
      <c r="G38" s="486"/>
      <c r="H38" s="492"/>
      <c r="I38" s="492"/>
      <c r="J38" s="487"/>
      <c r="K38" s="1556" t="str">
        <f t="shared" si="0"/>
        <v/>
      </c>
      <c r="L38" s="1556"/>
      <c r="M38" s="1556"/>
      <c r="N38" s="1556"/>
      <c r="O38" s="1556"/>
      <c r="P38" s="1556"/>
      <c r="Q38" s="1556"/>
      <c r="R38" s="1556"/>
      <c r="S38" s="1556"/>
      <c r="T38" s="1556"/>
      <c r="U38" s="488"/>
      <c r="V38" s="1556"/>
      <c r="W38" s="1556"/>
      <c r="X38" s="1556"/>
      <c r="Y38" s="1556"/>
      <c r="Z38" s="1556"/>
      <c r="AA38" s="489"/>
      <c r="AB38" s="489"/>
      <c r="AC38" s="489"/>
      <c r="AD38" s="489"/>
      <c r="AE38" s="489"/>
    </row>
    <row r="39" spans="1:31" s="1561" customFormat="1" ht="0.75" hidden="1" customHeight="1">
      <c r="A39" s="7768"/>
      <c r="B39" s="7769"/>
      <c r="C39" s="1072"/>
      <c r="D39" s="483"/>
      <c r="E39" s="490"/>
      <c r="F39" s="491"/>
      <c r="G39" s="486"/>
      <c r="H39" s="421"/>
      <c r="I39" s="421"/>
      <c r="J39" s="487"/>
      <c r="K39" s="1556" t="str">
        <f t="shared" si="0"/>
        <v/>
      </c>
      <c r="L39" s="1556"/>
      <c r="M39" s="1556"/>
      <c r="N39" s="1556"/>
      <c r="O39" s="1556"/>
      <c r="P39" s="1556"/>
      <c r="Q39" s="1556"/>
      <c r="R39" s="1556"/>
      <c r="S39" s="1556"/>
      <c r="T39" s="1556"/>
      <c r="U39" s="488"/>
      <c r="V39" s="1556"/>
      <c r="W39" s="1556"/>
      <c r="X39" s="1556"/>
      <c r="Y39" s="1556"/>
      <c r="Z39" s="1556"/>
      <c r="AA39" s="489"/>
      <c r="AB39" s="489"/>
      <c r="AC39" s="489"/>
      <c r="AD39" s="489"/>
      <c r="AE39" s="489"/>
    </row>
    <row r="40" spans="1:31" s="1287" customFormat="1" ht="15" hidden="1" customHeight="1">
      <c r="A40" s="7768"/>
      <c r="C40" s="1556"/>
      <c r="D40" s="1553"/>
      <c r="E40" s="493"/>
      <c r="F40" s="494" t="s">
        <v>738</v>
      </c>
      <c r="G40" s="495"/>
      <c r="H40" s="496"/>
      <c r="I40" s="496"/>
      <c r="J40" s="215"/>
      <c r="K40" s="1556" t="str">
        <f t="shared" si="0"/>
        <v/>
      </c>
      <c r="L40" s="1556"/>
      <c r="M40" s="1556"/>
      <c r="R40" s="1556"/>
      <c r="U40" s="467"/>
      <c r="AA40" s="1552"/>
      <c r="AB40" s="1552"/>
      <c r="AC40" s="1552"/>
      <c r="AD40" s="1552"/>
      <c r="AE40" s="1552"/>
    </row>
    <row r="41" spans="1:31" ht="11.25" hidden="1" customHeight="1">
      <c r="A41" s="7768" t="s">
        <v>739</v>
      </c>
      <c r="D41" s="1558"/>
      <c r="E41" s="469" t="str">
        <f>FHD_NUM_P_5</f>
        <v/>
      </c>
      <c r="F41" s="1439" t="str">
        <f>FHD_P_5</f>
        <v/>
      </c>
      <c r="G41" s="1797" t="s">
        <v>721</v>
      </c>
      <c r="H41" s="480"/>
      <c r="I41" s="480"/>
      <c r="J41" s="204" t="str">
        <f>FHD_NOTE_P_5</f>
        <v/>
      </c>
      <c r="K41" s="1556" t="str">
        <f t="shared" si="0"/>
        <v/>
      </c>
    </row>
    <row r="42" spans="1:31" ht="11.25" hidden="1" customHeight="1">
      <c r="A42" s="7768"/>
      <c r="D42" s="1558"/>
      <c r="E42" s="469" t="str">
        <f>FHD_NUM_P_6</f>
        <v/>
      </c>
      <c r="F42" s="1439" t="str">
        <f>FHD_P_6</f>
        <v/>
      </c>
      <c r="G42" s="1797" t="s">
        <v>721</v>
      </c>
      <c r="H42" s="480"/>
      <c r="I42" s="480"/>
      <c r="J42" s="204" t="str">
        <f>FHD_NOTE_P_6</f>
        <v/>
      </c>
      <c r="K42" s="1556" t="str">
        <f t="shared" si="0"/>
        <v/>
      </c>
    </row>
    <row r="43" spans="1:31" ht="11.25" hidden="1" customHeight="1">
      <c r="A43" s="7768"/>
      <c r="D43" s="1558"/>
      <c r="E43" s="469" t="str">
        <f>FHD_NUM_P_7</f>
        <v/>
      </c>
      <c r="F43" s="1439" t="str">
        <f>FHD_P_7</f>
        <v/>
      </c>
      <c r="G43" s="1797" t="s">
        <v>721</v>
      </c>
      <c r="H43" s="480"/>
      <c r="I43" s="480"/>
      <c r="J43" s="204" t="str">
        <f>FHD_NOTE_P_7</f>
        <v/>
      </c>
      <c r="K43" s="1556" t="str">
        <f t="shared" si="0"/>
        <v/>
      </c>
    </row>
    <row r="44" spans="1:31" ht="11.25" customHeight="1">
      <c r="D44" s="1558"/>
      <c r="E44" s="469" t="str">
        <f>FHD_NUM_P_8</f>
        <v>2.2</v>
      </c>
      <c r="F44" s="1439" t="str">
        <f>FHD_P_8</f>
        <v>Расходы на приобретаемую электрическую энергию (мощность), используемую в технологическом процессе</v>
      </c>
      <c r="G44" s="1797" t="s">
        <v>721</v>
      </c>
      <c r="H44" s="480"/>
      <c r="I44" s="480"/>
      <c r="J44" s="204" t="str">
        <f>FHD_NOTE_P_8</f>
        <v/>
      </c>
      <c r="K44" s="1556" t="str">
        <f t="shared" si="0"/>
        <v>p</v>
      </c>
    </row>
    <row r="45" spans="1:31" ht="11.25" customHeight="1">
      <c r="D45" s="1558"/>
      <c r="E45" s="469" t="str">
        <f>FHD_NUM_P_9</f>
        <v>2.2.1</v>
      </c>
      <c r="F45" s="1570" t="str">
        <f>FHD_P_9</f>
        <v>Средневзвешенная стоимость 1 кВт.ч (с учетом мощности)</v>
      </c>
      <c r="G45" s="1797" t="s">
        <v>740</v>
      </c>
      <c r="H45" s="480"/>
      <c r="I45" s="480"/>
      <c r="J45" s="204" t="str">
        <f>FHD_NOTE_P_9</f>
        <v/>
      </c>
      <c r="K45" s="1556" t="str">
        <f t="shared" si="0"/>
        <v/>
      </c>
    </row>
    <row r="46" spans="1:31" s="1287" customFormat="1" ht="11.25" customHeight="1">
      <c r="A46" s="898"/>
      <c r="C46" s="1556"/>
      <c r="D46" s="497"/>
      <c r="E46" s="469" t="str">
        <f>FHD_NUM_P_10</f>
        <v>2.2.2</v>
      </c>
      <c r="F46" s="1570" t="str">
        <f>FHD_P_10</f>
        <v>Объём приобретения электрической энергии</v>
      </c>
      <c r="G46" s="1797" t="s">
        <v>741</v>
      </c>
      <c r="H46" s="480"/>
      <c r="I46" s="480"/>
      <c r="J46" s="204" t="str">
        <f>FHD_NOTE_P_10</f>
        <v/>
      </c>
      <c r="K46" s="1556" t="str">
        <f t="shared" si="0"/>
        <v/>
      </c>
      <c r="L46" s="1556"/>
      <c r="M46" s="1556"/>
      <c r="R46" s="1556"/>
      <c r="U46" s="467"/>
      <c r="AA46" s="1552"/>
      <c r="AB46" s="1552"/>
      <c r="AC46" s="1552"/>
      <c r="AD46" s="1552"/>
      <c r="AE46" s="1552"/>
    </row>
    <row r="47" spans="1:31" s="1287" customFormat="1" ht="11.25" hidden="1" customHeight="1">
      <c r="A47" s="900" t="s">
        <v>742</v>
      </c>
      <c r="C47" s="1556"/>
      <c r="D47" s="498"/>
      <c r="E47" s="469" t="str">
        <f>FHD_NUM_P_11</f>
        <v/>
      </c>
      <c r="F47" s="1439" t="str">
        <f>FHD_P_11</f>
        <v/>
      </c>
      <c r="G47" s="1797" t="s">
        <v>721</v>
      </c>
      <c r="H47" s="480"/>
      <c r="I47" s="480"/>
      <c r="J47" s="204" t="str">
        <f>FHD_NOTE_P_11</f>
        <v/>
      </c>
      <c r="K47" s="1556" t="str">
        <f t="shared" si="0"/>
        <v/>
      </c>
      <c r="L47" s="1556"/>
      <c r="M47" s="1556"/>
      <c r="R47" s="1556"/>
      <c r="U47" s="467"/>
      <c r="AA47" s="1552"/>
      <c r="AB47" s="1552"/>
      <c r="AC47" s="1552"/>
      <c r="AD47" s="1552"/>
      <c r="AE47" s="1552"/>
    </row>
    <row r="48" spans="1:31" s="1287" customFormat="1" ht="18" customHeight="1">
      <c r="A48" s="900" t="s">
        <v>743</v>
      </c>
      <c r="C48" s="1556"/>
      <c r="D48" s="1558"/>
      <c r="E48" s="469" t="str">
        <f>FHD_NUM_P_12</f>
        <v>2.3</v>
      </c>
      <c r="F48" s="1439" t="str">
        <f>FHD_P_12</f>
        <v>Расходы на химические реагенты, используемые в технологическом процессе</v>
      </c>
      <c r="G48" s="1797" t="s">
        <v>721</v>
      </c>
      <c r="H48" s="500"/>
      <c r="I48" s="500"/>
      <c r="J48" s="204" t="str">
        <f>FHD_NOTE_P_12</f>
        <v/>
      </c>
      <c r="K48" s="1556" t="str">
        <f t="shared" si="0"/>
        <v>p</v>
      </c>
      <c r="L48" s="1556"/>
      <c r="M48" s="1556"/>
      <c r="R48" s="1556"/>
      <c r="U48" s="467"/>
      <c r="AA48" s="1552"/>
      <c r="AB48" s="1552"/>
      <c r="AC48" s="1552"/>
      <c r="AD48" s="1552"/>
      <c r="AE48" s="1552"/>
    </row>
    <row r="49" spans="1:31" s="1286" customFormat="1" ht="11.25" customHeight="1">
      <c r="A49" s="899"/>
      <c r="C49" s="647"/>
      <c r="D49" s="591"/>
      <c r="E49" s="469" t="str">
        <f>FHD_NUM_P_13</f>
        <v>2.4</v>
      </c>
      <c r="F49" s="143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7" t="s">
        <v>721</v>
      </c>
      <c r="H49" s="480"/>
      <c r="I49" s="480"/>
      <c r="J49" s="204" t="str">
        <f>FHD_NOTE_P_13</f>
        <v>Указывается общая сумма расходов на оплату труда и отчислений на социальные нужды основного производственного персонала.</v>
      </c>
      <c r="K49" s="1556" t="str">
        <f t="shared" si="0"/>
        <v>p</v>
      </c>
      <c r="L49" s="647"/>
      <c r="M49" s="647"/>
      <c r="R49" s="647"/>
      <c r="U49" s="648"/>
      <c r="AA49" s="649"/>
      <c r="AB49" s="649"/>
      <c r="AC49" s="649"/>
      <c r="AD49" s="649"/>
      <c r="AE49" s="649"/>
    </row>
    <row r="50" spans="1:31" s="1286" customFormat="1" ht="11.25" customHeight="1">
      <c r="A50" s="899"/>
      <c r="C50" s="647"/>
      <c r="D50" s="591"/>
      <c r="E50" s="469" t="str">
        <f>FHD_NUM_P_14</f>
        <v>2.4.1</v>
      </c>
      <c r="F50" s="1570" t="str">
        <f>FHD_P_14</f>
        <v>Расходы на оплату труда основного производственного персонала</v>
      </c>
      <c r="G50" s="1797" t="s">
        <v>721</v>
      </c>
      <c r="H50" s="480"/>
      <c r="I50" s="480"/>
      <c r="J50" s="204" t="str">
        <f>FHD_NOTE_P_14</f>
        <v/>
      </c>
      <c r="K50" s="1556" t="str">
        <f t="shared" si="0"/>
        <v/>
      </c>
      <c r="L50" s="647"/>
      <c r="M50" s="647"/>
      <c r="R50" s="647"/>
      <c r="U50" s="648"/>
      <c r="AA50" s="649"/>
      <c r="AB50" s="649"/>
      <c r="AC50" s="649"/>
      <c r="AD50" s="649"/>
      <c r="AE50" s="649"/>
    </row>
    <row r="51" spans="1:31" s="1286" customFormat="1" ht="11.25" customHeight="1">
      <c r="A51" s="899"/>
      <c r="C51" s="647"/>
      <c r="D51" s="591"/>
      <c r="E51" s="469" t="str">
        <f>FHD_NUM_P_15</f>
        <v>2.4.2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7" t="s">
        <v>721</v>
      </c>
      <c r="H51" s="480"/>
      <c r="I51" s="480"/>
      <c r="J51" s="204" t="str">
        <f>FHD_NOTE_P_15</f>
        <v/>
      </c>
      <c r="K51" s="1556" t="str">
        <f t="shared" si="0"/>
        <v/>
      </c>
      <c r="L51" s="647"/>
      <c r="M51" s="647"/>
      <c r="R51" s="647"/>
      <c r="U51" s="648"/>
      <c r="AA51" s="649"/>
      <c r="AB51" s="649"/>
      <c r="AC51" s="649"/>
      <c r="AD51" s="649"/>
      <c r="AE51" s="649"/>
    </row>
    <row r="52" spans="1:31" s="1287" customFormat="1" ht="11.25" customHeight="1">
      <c r="A52" s="898"/>
      <c r="C52" s="1556"/>
      <c r="D52" s="1558"/>
      <c r="E52" s="469" t="str">
        <f>FHD_NUM_P_16</f>
        <v>2.5</v>
      </c>
      <c r="F52" s="143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7" t="s">
        <v>721</v>
      </c>
      <c r="H52" s="480"/>
      <c r="I52" s="480"/>
      <c r="J52" s="204" t="str">
        <f>FHD_NOTE_P_16</f>
        <v>Указывается общая сумма расходов на оплату труда и отчислений на социальные нужды административно-управленческого персонала.</v>
      </c>
      <c r="K52" s="1556" t="str">
        <f t="shared" si="0"/>
        <v>p</v>
      </c>
      <c r="L52" s="1556"/>
      <c r="M52" s="1562"/>
      <c r="N52" s="460"/>
      <c r="O52" s="460"/>
      <c r="R52" s="1556"/>
      <c r="U52" s="467"/>
      <c r="AA52" s="1552"/>
      <c r="AB52" s="1552"/>
      <c r="AC52" s="1552"/>
      <c r="AD52" s="1552"/>
      <c r="AE52" s="1552"/>
    </row>
    <row r="53" spans="1:31" s="1287" customFormat="1" ht="11.25" customHeight="1">
      <c r="A53" s="898"/>
      <c r="C53" s="1556"/>
      <c r="D53" s="1558"/>
      <c r="E53" s="469" t="str">
        <f>FHD_NUM_P_17</f>
        <v>2.5.1</v>
      </c>
      <c r="F53" s="1570" t="str">
        <f>FHD_P_17</f>
        <v>Расходы на оплату труда административно-управленческого персонала</v>
      </c>
      <c r="G53" s="1797" t="s">
        <v>721</v>
      </c>
      <c r="H53" s="480"/>
      <c r="I53" s="480"/>
      <c r="J53" s="204" t="str">
        <f>FHD_NOTE_P_17</f>
        <v/>
      </c>
      <c r="K53" s="1556" t="str">
        <f t="shared" si="0"/>
        <v/>
      </c>
      <c r="L53" s="1556"/>
      <c r="M53" s="1562"/>
      <c r="N53" s="460"/>
      <c r="O53" s="460"/>
      <c r="R53" s="1556"/>
      <c r="U53" s="467"/>
      <c r="AA53" s="1552"/>
      <c r="AB53" s="1552"/>
      <c r="AC53" s="1552"/>
      <c r="AD53" s="1552"/>
      <c r="AE53" s="1552"/>
    </row>
    <row r="54" spans="1:31" s="1287" customFormat="1" ht="11.25" customHeight="1">
      <c r="A54" s="898"/>
      <c r="C54" s="1556"/>
      <c r="D54" s="1558"/>
      <c r="E54" s="469" t="str">
        <f>FHD_NUM_P_18</f>
        <v>2.5.2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7" t="s">
        <v>721</v>
      </c>
      <c r="H54" s="480"/>
      <c r="I54" s="480"/>
      <c r="J54" s="204" t="str">
        <f>FHD_NOTE_P_18</f>
        <v/>
      </c>
      <c r="K54" s="1556" t="str">
        <f t="shared" si="0"/>
        <v/>
      </c>
      <c r="L54" s="1556"/>
      <c r="M54" s="1562"/>
      <c r="N54" s="460"/>
      <c r="O54" s="460"/>
      <c r="R54" s="1556"/>
      <c r="U54" s="467"/>
      <c r="AA54" s="1552"/>
      <c r="AB54" s="1552"/>
      <c r="AC54" s="1552"/>
      <c r="AD54" s="1552"/>
      <c r="AE54" s="1552"/>
    </row>
    <row r="55" spans="1:31" s="1287" customFormat="1" ht="11.25" customHeight="1">
      <c r="A55" s="898"/>
      <c r="C55" s="1556"/>
      <c r="D55" s="498"/>
      <c r="E55" s="469" t="str">
        <f>FHD_NUM_P_19</f>
        <v>2.6</v>
      </c>
      <c r="F55" s="1439" t="str">
        <f>FHD_P_19</f>
        <v>Расходы на амортизацию основных средств и нематериальных активов</v>
      </c>
      <c r="G55" s="1797" t="s">
        <v>721</v>
      </c>
      <c r="H55" s="480"/>
      <c r="I55" s="480"/>
      <c r="J55" s="204" t="str">
        <f>FHD_NOTE_P_19</f>
        <v/>
      </c>
      <c r="K55" s="1556" t="str">
        <f t="shared" si="0"/>
        <v>p</v>
      </c>
      <c r="L55" s="1556"/>
      <c r="M55" s="1556"/>
      <c r="R55" s="1556"/>
      <c r="U55" s="467"/>
      <c r="AA55" s="1552"/>
      <c r="AB55" s="1552"/>
      <c r="AC55" s="1552"/>
      <c r="AD55" s="1552"/>
      <c r="AE55" s="1552"/>
    </row>
    <row r="56" spans="1:31" s="1287" customFormat="1" ht="11.25" customHeight="1">
      <c r="A56" s="898"/>
      <c r="C56" s="1556"/>
      <c r="D56" s="498"/>
      <c r="E56" s="469" t="str">
        <f>FHD_NUM_P_20</f>
        <v>2.6.1</v>
      </c>
      <c r="F56" s="1570" t="str">
        <f>FHD_P_20</f>
        <v>Расходы на амортизацию основных средств</v>
      </c>
      <c r="G56" s="1797" t="s">
        <v>721</v>
      </c>
      <c r="H56" s="480"/>
      <c r="I56" s="480"/>
      <c r="J56" s="204" t="str">
        <f>FHD_NOTE_P_20</f>
        <v/>
      </c>
      <c r="K56" s="1556" t="str">
        <f t="shared" si="0"/>
        <v/>
      </c>
      <c r="L56" s="1556"/>
      <c r="M56" s="1556"/>
      <c r="R56" s="1556"/>
      <c r="U56" s="467"/>
      <c r="AA56" s="1552"/>
      <c r="AB56" s="1552"/>
      <c r="AC56" s="1552"/>
      <c r="AD56" s="1552"/>
      <c r="AE56" s="1552"/>
    </row>
    <row r="57" spans="1:31" s="1287" customFormat="1" ht="11.25" customHeight="1">
      <c r="A57" s="898"/>
      <c r="C57" s="1556"/>
      <c r="D57" s="498"/>
      <c r="E57" s="469" t="str">
        <f>FHD_NUM_P_21</f>
        <v>2.6.2</v>
      </c>
      <c r="F57" s="1570" t="str">
        <f>FHD_P_21</f>
        <v>Расходы на амортизацию нематериальных активов</v>
      </c>
      <c r="G57" s="1797" t="s">
        <v>721</v>
      </c>
      <c r="H57" s="480"/>
      <c r="I57" s="480"/>
      <c r="J57" s="204" t="str">
        <f>FHD_NOTE_P_21</f>
        <v/>
      </c>
      <c r="K57" s="1556" t="str">
        <f t="shared" si="0"/>
        <v/>
      </c>
      <c r="L57" s="1556"/>
      <c r="M57" s="1556"/>
      <c r="R57" s="1556"/>
      <c r="U57" s="467"/>
      <c r="AA57" s="1552"/>
      <c r="AB57" s="1552"/>
      <c r="AC57" s="1552"/>
      <c r="AD57" s="1552"/>
      <c r="AE57" s="1552"/>
    </row>
    <row r="58" spans="1:31" s="1287" customFormat="1" ht="11.25" customHeight="1">
      <c r="A58" s="898"/>
      <c r="C58" s="1556"/>
      <c r="D58" s="1558"/>
      <c r="E58" s="469" t="str">
        <f>FHD_NUM_P_22</f>
        <v>2.7</v>
      </c>
      <c r="F58" s="1439" t="str">
        <f>FHD_P_22</f>
        <v>Расходы на аренду имущества, используемого для осуществления регулируемых видов деятельности в сфере холодного водоснабжения</v>
      </c>
      <c r="G58" s="1797" t="s">
        <v>721</v>
      </c>
      <c r="H58" s="480"/>
      <c r="I58" s="480"/>
      <c r="J58" s="204" t="str">
        <f>FHD_NOTE_P_22</f>
        <v/>
      </c>
      <c r="K58" s="1556" t="str">
        <f t="shared" si="0"/>
        <v>p</v>
      </c>
      <c r="L58" s="1556"/>
      <c r="M58" s="1556"/>
      <c r="R58" s="1556"/>
      <c r="U58" s="467"/>
      <c r="AA58" s="1552"/>
      <c r="AB58" s="1552"/>
      <c r="AC58" s="1552"/>
      <c r="AD58" s="1552"/>
      <c r="AE58" s="1552"/>
    </row>
    <row r="59" spans="1:31" s="1287" customFormat="1" ht="11.25" customHeight="1">
      <c r="A59" s="898"/>
      <c r="C59" s="1556"/>
      <c r="D59" s="498"/>
      <c r="E59" s="469" t="str">
        <f>FHD_NUM_P_23</f>
        <v>2.8</v>
      </c>
      <c r="F59" s="1439" t="str">
        <f>FHD_P_23</f>
        <v>Общепроизводственные расходы, в том числе:</v>
      </c>
      <c r="G59" s="1797" t="s">
        <v>721</v>
      </c>
      <c r="H59" s="480"/>
      <c r="I59" s="480"/>
      <c r="J59" s="204" t="str">
        <f>FHD_NOTE_P_23</f>
        <v>Указывается общая сумма общепроизводственных расходов.</v>
      </c>
      <c r="K59" s="1556" t="str">
        <f t="shared" si="0"/>
        <v>p</v>
      </c>
      <c r="L59" s="1556"/>
      <c r="M59" s="1556"/>
      <c r="R59" s="1556"/>
      <c r="U59" s="467"/>
      <c r="AA59" s="1552"/>
      <c r="AB59" s="1552"/>
      <c r="AC59" s="1552"/>
      <c r="AD59" s="1552"/>
      <c r="AE59" s="1552"/>
    </row>
    <row r="60" spans="1:31" s="1287" customFormat="1" ht="11.25" customHeight="1">
      <c r="A60" s="898"/>
      <c r="C60" s="1556"/>
      <c r="D60" s="498"/>
      <c r="E60" s="469" t="str">
        <f>FHD_NUM_P_24</f>
        <v>2.8.1</v>
      </c>
      <c r="F60" s="1570" t="str">
        <f>FHD_P_24</f>
        <v>Расходы на текущий ремонт</v>
      </c>
      <c r="G60" s="1797" t="s">
        <v>721</v>
      </c>
      <c r="H60" s="480"/>
      <c r="I60" s="480"/>
      <c r="J60" s="204" t="str">
        <f>FHD_NOTE_P_24</f>
        <v>Указываются расходы на текущий ремонт, отнесенные к общепроизводственным расходам.</v>
      </c>
      <c r="K60" s="1556" t="str">
        <f t="shared" si="0"/>
        <v/>
      </c>
      <c r="L60" s="1556"/>
      <c r="M60" s="1556"/>
      <c r="R60" s="1556"/>
      <c r="U60" s="467"/>
      <c r="AA60" s="1552"/>
      <c r="AB60" s="1552"/>
      <c r="AC60" s="1552"/>
      <c r="AD60" s="1552"/>
      <c r="AE60" s="1552"/>
    </row>
    <row r="61" spans="1:31" s="1287" customFormat="1" ht="11.25" customHeight="1">
      <c r="A61" s="898"/>
      <c r="C61" s="1556"/>
      <c r="D61" s="498"/>
      <c r="E61" s="469" t="str">
        <f>FHD_NUM_P_25</f>
        <v>2.8.2</v>
      </c>
      <c r="F61" s="1570" t="str">
        <f>FHD_P_25</f>
        <v>Расходы на капитальный ремонт</v>
      </c>
      <c r="G61" s="1797" t="s">
        <v>721</v>
      </c>
      <c r="H61" s="480"/>
      <c r="I61" s="480"/>
      <c r="J61" s="204" t="str">
        <f>FHD_NOTE_P_25</f>
        <v>Указываются расходы на капитальный ремонт, отнесенные к общепроизводственным расходам.</v>
      </c>
      <c r="K61" s="1556" t="str">
        <f t="shared" si="0"/>
        <v/>
      </c>
      <c r="L61" s="1556"/>
      <c r="M61" s="1556"/>
      <c r="R61" s="1556"/>
      <c r="U61" s="467"/>
      <c r="AA61" s="1552"/>
      <c r="AB61" s="1552"/>
      <c r="AC61" s="1552"/>
      <c r="AD61" s="1552"/>
      <c r="AE61" s="1552"/>
    </row>
    <row r="62" spans="1:31" s="1287" customFormat="1" ht="11.25" customHeight="1">
      <c r="A62" s="898"/>
      <c r="C62" s="1556"/>
      <c r="D62" s="1558"/>
      <c r="E62" s="469" t="str">
        <f>FHD_NUM_P_26</f>
        <v>2.9</v>
      </c>
      <c r="F62" s="1439" t="str">
        <f>FHD_P_26</f>
        <v>Общехозяйственные расходы, в том числе:</v>
      </c>
      <c r="G62" s="1797" t="s">
        <v>721</v>
      </c>
      <c r="H62" s="480"/>
      <c r="I62" s="480"/>
      <c r="J62" s="204" t="str">
        <f>FHD_NOTE_P_26</f>
        <v>Указывается общая сумма общехозяйственных расходов.</v>
      </c>
      <c r="K62" s="1556" t="str">
        <f t="shared" si="0"/>
        <v>p</v>
      </c>
      <c r="L62" s="1556"/>
      <c r="M62" s="1556"/>
      <c r="R62" s="1556"/>
      <c r="U62" s="467"/>
      <c r="AA62" s="1552"/>
      <c r="AB62" s="1552"/>
      <c r="AC62" s="1552"/>
      <c r="AD62" s="1552"/>
      <c r="AE62" s="1552"/>
    </row>
    <row r="63" spans="1:31" s="1287" customFormat="1" ht="11.25" customHeight="1">
      <c r="A63" s="898"/>
      <c r="C63" s="1556"/>
      <c r="D63" s="1558"/>
      <c r="E63" s="469" t="str">
        <f>FHD_NUM_P_27</f>
        <v>2.9.1</v>
      </c>
      <c r="F63" s="1570" t="str">
        <f>FHD_P_27</f>
        <v>Расходы на текущий ремонт</v>
      </c>
      <c r="G63" s="1797" t="s">
        <v>721</v>
      </c>
      <c r="H63" s="480"/>
      <c r="I63" s="480"/>
      <c r="J63" s="204" t="str">
        <f>FHD_NOTE_P_27</f>
        <v>Указываются расходы на текущий ремонт, отнесенные к общехозяйственным расходам.</v>
      </c>
      <c r="K63" s="1556" t="str">
        <f t="shared" si="0"/>
        <v/>
      </c>
      <c r="L63" s="1556"/>
      <c r="M63" s="1556"/>
      <c r="R63" s="1556"/>
      <c r="U63" s="467"/>
      <c r="AA63" s="1552"/>
      <c r="AB63" s="1552"/>
      <c r="AC63" s="1552"/>
      <c r="AD63" s="1552"/>
      <c r="AE63" s="1552"/>
    </row>
    <row r="64" spans="1:31" s="1287" customFormat="1" ht="11.25" customHeight="1">
      <c r="A64" s="898"/>
      <c r="C64" s="1556"/>
      <c r="D64" s="1558"/>
      <c r="E64" s="469" t="str">
        <f>FHD_NUM_P_28</f>
        <v>2.9.2</v>
      </c>
      <c r="F64" s="1570" t="str">
        <f>FHD_P_28</f>
        <v>Расходы на капитальный ремонт</v>
      </c>
      <c r="G64" s="1797" t="s">
        <v>721</v>
      </c>
      <c r="H64" s="480"/>
      <c r="I64" s="480"/>
      <c r="J64" s="204" t="str">
        <f>FHD_NOTE_P_28</f>
        <v>Указываются расходы на капитальный ремонт, отнесенные к общехозяйственным расходам.</v>
      </c>
      <c r="K64" s="1556" t="str">
        <f t="shared" si="0"/>
        <v/>
      </c>
      <c r="L64" s="1556"/>
      <c r="M64" s="1556"/>
      <c r="R64" s="1556"/>
      <c r="U64" s="467"/>
      <c r="AA64" s="1552"/>
      <c r="AB64" s="1552"/>
      <c r="AC64" s="1552"/>
      <c r="AD64" s="1552"/>
      <c r="AE64" s="1552"/>
    </row>
    <row r="65" spans="1:31" s="1287" customFormat="1" ht="11.25" customHeight="1">
      <c r="A65" s="898"/>
      <c r="C65" s="1556"/>
      <c r="D65" s="1558"/>
      <c r="E65" s="469" t="str">
        <f>FHD_NUM_P_29</f>
        <v>2.10</v>
      </c>
      <c r="F65" s="1439" t="str">
        <f>FHD_P_29</f>
        <v>Расходы на капитальный и текущий ремонт основных средств</v>
      </c>
      <c r="G65" s="1797" t="s">
        <v>721</v>
      </c>
      <c r="H65" s="480"/>
      <c r="I65" s="480"/>
      <c r="J65" s="20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67"/>
      <c r="AA65" s="1552"/>
      <c r="AB65" s="1552"/>
      <c r="AC65" s="1552"/>
      <c r="AD65" s="1552"/>
      <c r="AE65" s="1552"/>
    </row>
    <row r="66" spans="1:31" s="1287" customFormat="1" ht="11.25" customHeight="1">
      <c r="A66" s="898"/>
      <c r="C66" s="1556"/>
      <c r="D66" s="1558"/>
      <c r="E66" s="469" t="str">
        <f>FHD_NUM_P_30</f>
        <v>2.10.1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7" t="s">
        <v>480</v>
      </c>
      <c r="H66" s="1569" t="s">
        <v>744</v>
      </c>
      <c r="I66" s="1569" t="s">
        <v>744</v>
      </c>
      <c r="J66" s="204" t="str">
        <f>FHD_NOTE_P_30</f>
        <v/>
      </c>
      <c r="K66" s="1556" t="str">
        <f t="shared" si="0"/>
        <v/>
      </c>
      <c r="L66" s="1556">
        <f>IFERROR(MATCH("есть",B_FHD_FLAG_INDEX_1,0),0)</f>
        <v>0</v>
      </c>
      <c r="M66" s="1556"/>
      <c r="R66" s="1556"/>
      <c r="U66" s="467"/>
      <c r="AA66" s="1552"/>
      <c r="AB66" s="1552"/>
      <c r="AC66" s="1552"/>
      <c r="AD66" s="1552"/>
      <c r="AE66" s="1552"/>
    </row>
    <row r="67" spans="1:31" s="1287" customFormat="1" ht="22.5" customHeight="1">
      <c r="A67" s="7768" t="s">
        <v>745</v>
      </c>
      <c r="C67" s="1556"/>
      <c r="D67" s="1558"/>
      <c r="E67" s="469" t="str">
        <f>FHD_NUM_P_31</f>
        <v>2.11</v>
      </c>
      <c r="F67" s="1439"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7" t="s">
        <v>721</v>
      </c>
      <c r="H67" s="480"/>
      <c r="I67" s="480"/>
      <c r="J67" s="20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6" t="str">
        <f t="shared" si="0"/>
        <v>p</v>
      </c>
      <c r="L67" s="1556"/>
      <c r="M67" s="1556"/>
      <c r="R67" s="1556"/>
      <c r="U67" s="467"/>
      <c r="AA67" s="1552"/>
      <c r="AB67" s="1552"/>
      <c r="AC67" s="1552"/>
      <c r="AD67" s="1552"/>
      <c r="AE67" s="1552"/>
    </row>
    <row r="68" spans="1:31" s="1287" customFormat="1" ht="45" customHeight="1">
      <c r="A68" s="7768"/>
      <c r="C68" s="1556"/>
      <c r="D68" s="1558"/>
      <c r="E68" s="469" t="str">
        <f>FHD_NUM_P_32</f>
        <v>2.11.1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7" t="s">
        <v>480</v>
      </c>
      <c r="H68" s="1569" t="s">
        <v>744</v>
      </c>
      <c r="I68" s="1569" t="s">
        <v>744</v>
      </c>
      <c r="J68" s="204" t="str">
        <f>FHD_NOTE_P_32</f>
        <v/>
      </c>
      <c r="K68" s="1556" t="str">
        <f t="shared" si="0"/>
        <v/>
      </c>
      <c r="L68" s="1556">
        <f>IFERROR(MATCH("есть",B_FHD_FLAG_INDEX_2,0),0)</f>
        <v>0</v>
      </c>
      <c r="M68" s="1556"/>
      <c r="R68" s="1556"/>
      <c r="U68" s="467"/>
      <c r="AA68" s="1552"/>
      <c r="AB68" s="1552"/>
      <c r="AC68" s="1552"/>
      <c r="AD68" s="1552"/>
      <c r="AE68" s="1552"/>
    </row>
    <row r="69" spans="1:31" s="1287" customFormat="1" ht="11.25" customHeight="1">
      <c r="A69" s="898"/>
      <c r="C69" s="1556"/>
      <c r="D69" s="1558"/>
      <c r="E69" s="469" t="str">
        <f>FHD_NUM_P_33</f>
        <v>2.12</v>
      </c>
      <c r="F69" s="1439"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8" t="s">
        <v>721</v>
      </c>
      <c r="H69" s="502">
        <f>SUM(H70:H71)</f>
        <v>0</v>
      </c>
      <c r="I69" s="502">
        <f>SUM(I70:I71)</f>
        <v>0</v>
      </c>
      <c r="J69" s="20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6" t="str">
        <f t="shared" si="0"/>
        <v>p</v>
      </c>
      <c r="L69" s="1556"/>
      <c r="M69" s="1556"/>
      <c r="R69" s="1556"/>
      <c r="U69" s="467"/>
      <c r="AA69" s="1552"/>
      <c r="AB69" s="1552"/>
      <c r="AC69" s="1552"/>
      <c r="AD69" s="1552"/>
      <c r="AE69" s="1552"/>
    </row>
    <row r="70" spans="1:31" s="1562" customFormat="1" ht="0.75" customHeight="1">
      <c r="A70" s="1072"/>
      <c r="D70" s="471"/>
      <c r="E70" s="924" t="str">
        <f>E69&amp;".0"</f>
        <v>2.12.0</v>
      </c>
      <c r="F70" s="902"/>
      <c r="G70" s="924"/>
      <c r="H70" s="903"/>
      <c r="I70" s="903"/>
      <c r="J70" s="904"/>
      <c r="K70" s="1556" t="str">
        <f t="shared" si="0"/>
        <v/>
      </c>
    </row>
    <row r="71" spans="1:31" s="1287" customFormat="1" ht="14.25" customHeight="1">
      <c r="A71" s="898"/>
      <c r="C71" s="1556"/>
      <c r="D71" s="1553"/>
      <c r="E71" s="493"/>
      <c r="F71" s="494" t="s">
        <v>746</v>
      </c>
      <c r="G71" s="495"/>
      <c r="H71" s="496"/>
      <c r="I71" s="496"/>
      <c r="J71" s="215"/>
      <c r="K71" s="1556"/>
      <c r="L71" s="1556"/>
      <c r="M71" s="1556"/>
      <c r="R71" s="1556"/>
      <c r="U71" s="467"/>
      <c r="AA71" s="1552"/>
      <c r="AB71" s="1552"/>
      <c r="AC71" s="1552"/>
      <c r="AD71" s="1552"/>
      <c r="AE71" s="1552"/>
    </row>
    <row r="72" spans="1:31" s="1287" customFormat="1" ht="18.75" hidden="1" customHeight="1">
      <c r="A72" s="900" t="s">
        <v>747</v>
      </c>
      <c r="C72" s="1556"/>
      <c r="D72" s="1558"/>
      <c r="E72" s="469" t="str">
        <f>FHD_NUM_P_34</f>
        <v/>
      </c>
      <c r="F72" s="1799" t="str">
        <f>FHD_P_34</f>
        <v/>
      </c>
      <c r="G72" s="1797" t="s">
        <v>721</v>
      </c>
      <c r="H72" s="480"/>
      <c r="I72" s="480"/>
      <c r="J72" s="204" t="str">
        <f>FHD_NOTE_P_34</f>
        <v/>
      </c>
      <c r="K72" s="466"/>
      <c r="L72" s="1556"/>
      <c r="M72" s="1556"/>
      <c r="R72" s="1556"/>
      <c r="U72" s="467"/>
      <c r="AA72" s="1552"/>
      <c r="AB72" s="1552"/>
      <c r="AC72" s="1552"/>
      <c r="AD72" s="1552"/>
      <c r="AE72" s="1552"/>
    </row>
    <row r="73" spans="1:31" s="1287" customFormat="1" ht="18.75" customHeight="1">
      <c r="A73" s="898"/>
      <c r="C73" s="1556"/>
      <c r="D73" s="498"/>
      <c r="E73" s="469" t="str">
        <f>FHD_NUM_P_35</f>
        <v>3</v>
      </c>
      <c r="F73" s="1799" t="str">
        <f>FHD_P_35</f>
        <v>Чистая прибыль, полученная от регулируемого вида деятельности в сфере холодного водоснабжения, в том числе:</v>
      </c>
      <c r="G73" s="1797" t="s">
        <v>721</v>
      </c>
      <c r="H73" s="480"/>
      <c r="I73" s="480"/>
      <c r="J73" s="204" t="str">
        <f>FHD_NOTE_P_35</f>
        <v>Указывается общая сумма чистой прибыли, полученной от регулируемого вида деятельности.</v>
      </c>
      <c r="K73" s="466"/>
      <c r="L73" s="1556"/>
      <c r="M73" s="1556"/>
      <c r="R73" s="1556"/>
      <c r="U73" s="467"/>
      <c r="AA73" s="1552"/>
      <c r="AB73" s="1552"/>
      <c r="AC73" s="1552"/>
      <c r="AD73" s="1552"/>
      <c r="AE73" s="1552"/>
    </row>
    <row r="74" spans="1:31" s="1287" customFormat="1" ht="18.75" customHeight="1">
      <c r="A74" s="898"/>
      <c r="C74" s="1556"/>
      <c r="D74" s="1558"/>
      <c r="E74" s="469" t="str">
        <f>FHD_NUM_P_36</f>
        <v>3.1</v>
      </c>
      <c r="F74" s="143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7" t="s">
        <v>721</v>
      </c>
      <c r="H74" s="480"/>
      <c r="I74" s="480"/>
      <c r="J74" s="204" t="str">
        <f>FHD_NOTE_P_36</f>
        <v/>
      </c>
      <c r="K74" s="466"/>
      <c r="L74" s="1556"/>
      <c r="M74" s="1556"/>
      <c r="R74" s="1556"/>
      <c r="U74" s="467"/>
      <c r="AA74" s="1552"/>
      <c r="AB74" s="1552"/>
      <c r="AC74" s="1552"/>
      <c r="AD74" s="1552"/>
      <c r="AE74" s="1552"/>
    </row>
    <row r="75" spans="1:31" s="1287" customFormat="1" ht="18.75" customHeight="1">
      <c r="A75" s="898"/>
      <c r="C75" s="1556"/>
      <c r="D75" s="1558"/>
      <c r="E75" s="469" t="str">
        <f>FHD_NUM_P_37</f>
        <v>4</v>
      </c>
      <c r="F75" s="1799" t="str">
        <f>FHD_P_37</f>
        <v>Изменение стоимости основных фондов, в том числе:</v>
      </c>
      <c r="G75" s="1797" t="s">
        <v>721</v>
      </c>
      <c r="H75" s="480"/>
      <c r="I75" s="480"/>
      <c r="J75" s="204" t="str">
        <f>FHD_NOTE_P_37</f>
        <v>Указывается общее изменение стоимости основных фондов.</v>
      </c>
      <c r="K75" s="466"/>
      <c r="L75" s="1556"/>
      <c r="M75" s="1556"/>
      <c r="R75" s="1556"/>
      <c r="U75" s="467"/>
      <c r="AA75" s="1552"/>
      <c r="AB75" s="1552"/>
      <c r="AC75" s="1552"/>
      <c r="AD75" s="1552"/>
      <c r="AE75" s="1552"/>
    </row>
    <row r="76" spans="1:31" s="1287" customFormat="1" ht="18.75" customHeight="1">
      <c r="A76" s="898"/>
      <c r="C76" s="1556"/>
      <c r="D76" s="1558"/>
      <c r="E76" s="469" t="str">
        <f>FHD_NUM_P_38</f>
        <v>4.1</v>
      </c>
      <c r="F76" s="1439" t="str">
        <f>FHD_P_38</f>
        <v>Изменение стоимости основных фондов за счет их ввода в эксплуатацию (вывода из эксплуатации)</v>
      </c>
      <c r="G76" s="1797" t="s">
        <v>721</v>
      </c>
      <c r="H76" s="480"/>
      <c r="I76" s="480"/>
      <c r="J76" s="204" t="str">
        <f>FHD_NOTE_P_38</f>
        <v>Указываются общее изменение стоимости основных фондов за счет их ввода в эксплуатацию и вывода из эксплуатации.</v>
      </c>
      <c r="K76" s="466"/>
      <c r="L76" s="1556"/>
      <c r="M76" s="1556"/>
      <c r="R76" s="1556"/>
      <c r="U76" s="467"/>
      <c r="AA76" s="1552"/>
      <c r="AB76" s="1552"/>
      <c r="AC76" s="1552"/>
      <c r="AD76" s="1552"/>
      <c r="AE76" s="1552"/>
    </row>
    <row r="77" spans="1:31" s="1287" customFormat="1" ht="18.75" customHeight="1">
      <c r="A77" s="898"/>
      <c r="C77" s="1556"/>
      <c r="D77" s="1558"/>
      <c r="E77" s="469" t="str">
        <f>FHD_NUM_P_39</f>
        <v>4.1.1</v>
      </c>
      <c r="F77" s="1570" t="str">
        <f>FHD_P_39</f>
        <v>Изменение стоимости основных фондов за счет их ввода в эксплуатацию</v>
      </c>
      <c r="G77" s="1797" t="s">
        <v>721</v>
      </c>
      <c r="H77" s="480"/>
      <c r="I77" s="480"/>
      <c r="J77" s="204" t="str">
        <f>FHD_NOTE_P_39</f>
        <v>Указываются изменение стоимости основных фондов за счет их ввода в эксплуатацию.</v>
      </c>
      <c r="K77" s="466"/>
      <c r="L77" s="1556"/>
      <c r="M77" s="1556"/>
      <c r="R77" s="1556"/>
      <c r="U77" s="467"/>
      <c r="AA77" s="1552"/>
      <c r="AB77" s="1552"/>
      <c r="AC77" s="1552"/>
      <c r="AD77" s="1552"/>
      <c r="AE77" s="1552"/>
    </row>
    <row r="78" spans="1:31" s="1287" customFormat="1" ht="18.75" customHeight="1">
      <c r="A78" s="898"/>
      <c r="C78" s="1556"/>
      <c r="D78" s="1558"/>
      <c r="E78" s="469" t="str">
        <f>FHD_NUM_P_40</f>
        <v>4.1.2</v>
      </c>
      <c r="F78" s="1570" t="str">
        <f>FHD_P_40</f>
        <v>Изменение стоимости основных фондов за счет их вывода в эксплуатацию</v>
      </c>
      <c r="G78" s="1797" t="s">
        <v>721</v>
      </c>
      <c r="H78" s="480"/>
      <c r="I78" s="480"/>
      <c r="J78" s="204" t="str">
        <f>FHD_NOTE_P_40</f>
        <v>Указываются изменение стоимости основных фондов за счет их вывода из эксплуатации.</v>
      </c>
      <c r="K78" s="466"/>
      <c r="L78" s="1556"/>
      <c r="M78" s="1556"/>
      <c r="R78" s="1556"/>
      <c r="U78" s="467"/>
      <c r="AA78" s="1552"/>
      <c r="AB78" s="1552"/>
      <c r="AC78" s="1552"/>
      <c r="AD78" s="1552"/>
      <c r="AE78" s="1552"/>
    </row>
    <row r="79" spans="1:31" s="1287" customFormat="1" ht="18.75" customHeight="1">
      <c r="A79" s="898"/>
      <c r="C79" s="1556"/>
      <c r="D79" s="1558"/>
      <c r="E79" s="469" t="str">
        <f>FHD_NUM_P_41</f>
        <v>4.2</v>
      </c>
      <c r="F79" s="1439" t="str">
        <f>FHD_P_41</f>
        <v>Изменение стоимости основных фондов за счет их переоценки</v>
      </c>
      <c r="G79" s="1798" t="s">
        <v>721</v>
      </c>
      <c r="H79" s="480"/>
      <c r="I79" s="480"/>
      <c r="J79" s="204" t="str">
        <f>FHD_NOTE_P_41</f>
        <v/>
      </c>
      <c r="K79" s="466"/>
      <c r="L79" s="1556"/>
      <c r="M79" s="1556"/>
      <c r="R79" s="1556"/>
      <c r="U79" s="467"/>
      <c r="AA79" s="1552"/>
      <c r="AB79" s="1552"/>
      <c r="AC79" s="1552"/>
      <c r="AD79" s="1552"/>
      <c r="AE79" s="1552"/>
    </row>
    <row r="80" spans="1:31" s="1287" customFormat="1" ht="18.75" customHeight="1">
      <c r="A80" s="900" t="s">
        <v>748</v>
      </c>
      <c r="C80" s="1556"/>
      <c r="D80" s="1558"/>
      <c r="E80" s="469" t="str">
        <f>FHD_NUM_P_42</f>
        <v>5</v>
      </c>
      <c r="F80" s="1799" t="str">
        <f>FHD_P_42</f>
        <v>Валовая прибыль (убытки) от продажи товаров и услуг по регулируемым видам деятельности в сфере холодного водоснабжения</v>
      </c>
      <c r="G80" s="1797" t="s">
        <v>721</v>
      </c>
      <c r="H80" s="887"/>
      <c r="I80" s="480"/>
      <c r="J80" s="204" t="str">
        <f>FHD_NOTE_P_42</f>
        <v/>
      </c>
      <c r="K80" s="466"/>
      <c r="L80" s="1556"/>
      <c r="M80" s="1556"/>
      <c r="R80" s="1556"/>
      <c r="U80" s="467"/>
      <c r="AA80" s="1552"/>
      <c r="AB80" s="1552"/>
      <c r="AC80" s="1552"/>
      <c r="AD80" s="1552"/>
      <c r="AE80" s="1552"/>
    </row>
    <row r="81" spans="1:31" s="1287" customFormat="1" ht="18.75" customHeight="1">
      <c r="A81" s="898"/>
      <c r="C81" s="1556"/>
      <c r="D81" s="1558"/>
      <c r="E81" s="469" t="str">
        <f>FHD_NUM_P_43</f>
        <v>6</v>
      </c>
      <c r="F81" s="1799" t="str">
        <f>FHD_P_43</f>
        <v>Годовая бухгалтерская (финансовая) отчетность, включая бухгалтерский баланс и приложения к нему</v>
      </c>
      <c r="G81" s="1797" t="s">
        <v>480</v>
      </c>
      <c r="H81" s="966"/>
      <c r="I81" s="732"/>
      <c r="J81" s="20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66"/>
      <c r="L81" s="1556"/>
      <c r="M81" s="1556"/>
      <c r="R81" s="1556"/>
      <c r="U81" s="467"/>
      <c r="AA81" s="1552"/>
      <c r="AB81" s="1552"/>
      <c r="AC81" s="1552"/>
      <c r="AD81" s="1552"/>
      <c r="AE81" s="1552"/>
    </row>
    <row r="82" spans="1:31" s="1287" customFormat="1" ht="18.75" customHeight="1">
      <c r="A82" s="7768" t="s">
        <v>749</v>
      </c>
      <c r="C82" s="652"/>
      <c r="D82" s="650"/>
      <c r="E82" s="469" t="str">
        <f>FHD_NUM_P_44</f>
        <v>7</v>
      </c>
      <c r="F82" s="1799" t="str">
        <f>FHD_P_44</f>
        <v>Объём поднятой воды</v>
      </c>
      <c r="G82" s="1800" t="s">
        <v>750</v>
      </c>
      <c r="H82" s="888"/>
      <c r="I82" s="500"/>
      <c r="J82" s="204" t="str">
        <f>FHD_NOTE_P_44</f>
        <v/>
      </c>
      <c r="K82" s="651"/>
      <c r="L82" s="652"/>
      <c r="M82" s="652"/>
      <c r="R82" s="652"/>
      <c r="U82" s="653"/>
      <c r="AA82" s="654"/>
      <c r="AB82" s="654"/>
      <c r="AC82" s="654"/>
      <c r="AD82" s="654"/>
      <c r="AE82" s="654"/>
    </row>
    <row r="83" spans="1:31" s="1287" customFormat="1" ht="18.75" customHeight="1">
      <c r="A83" s="7768"/>
      <c r="C83" s="652"/>
      <c r="D83" s="650"/>
      <c r="E83" s="469" t="str">
        <f>FHD_NUM_P_45</f>
        <v>8</v>
      </c>
      <c r="F83" s="1799" t="str">
        <f>FHD_P_45</f>
        <v>Объём покупной воды</v>
      </c>
      <c r="G83" s="1800" t="s">
        <v>750</v>
      </c>
      <c r="H83" s="888"/>
      <c r="I83" s="500"/>
      <c r="J83" s="204" t="str">
        <f>FHD_NOTE_P_45</f>
        <v/>
      </c>
      <c r="K83" s="651"/>
      <c r="L83" s="652"/>
      <c r="M83" s="652"/>
      <c r="R83" s="652"/>
      <c r="U83" s="653"/>
      <c r="AA83" s="654"/>
      <c r="AB83" s="654"/>
      <c r="AC83" s="654"/>
      <c r="AD83" s="654"/>
      <c r="AE83" s="654"/>
    </row>
    <row r="84" spans="1:31" s="1287" customFormat="1" ht="18.75" customHeight="1">
      <c r="A84" s="7768"/>
      <c r="C84" s="652"/>
      <c r="D84" s="655"/>
      <c r="E84" s="469" t="str">
        <f>FHD_NUM_P_46</f>
        <v>9</v>
      </c>
      <c r="F84" s="1799" t="str">
        <f>FHD_P_46</f>
        <v>Объём воды, пропущенной через очистные сооружения</v>
      </c>
      <c r="G84" s="1800" t="s">
        <v>750</v>
      </c>
      <c r="H84" s="888"/>
      <c r="I84" s="500"/>
      <c r="J84" s="204" t="str">
        <f>FHD_NOTE_P_46</f>
        <v/>
      </c>
      <c r="K84" s="651"/>
      <c r="L84" s="652"/>
      <c r="M84" s="652"/>
      <c r="R84" s="652"/>
      <c r="U84" s="653"/>
      <c r="AA84" s="654"/>
      <c r="AB84" s="654"/>
      <c r="AC84" s="654"/>
      <c r="AD84" s="654"/>
      <c r="AE84" s="654"/>
    </row>
    <row r="85" spans="1:31" s="1287" customFormat="1" ht="18.75" customHeight="1">
      <c r="A85" s="7768"/>
      <c r="C85" s="652"/>
      <c r="D85" s="650"/>
      <c r="E85" s="469" t="str">
        <f>FHD_NUM_P_47</f>
        <v>10</v>
      </c>
      <c r="F85" s="1799" t="str">
        <f>FHD_P_47</f>
        <v>Объём отпущенной потребителям воды, в том числе:</v>
      </c>
      <c r="G85" s="1800" t="s">
        <v>750</v>
      </c>
      <c r="H85" s="888"/>
      <c r="I85" s="500"/>
      <c r="J85" s="204" t="str">
        <f>FHD_NOTE_P_47</f>
        <v>Указывается общий объем отпущенной потребителям воды.</v>
      </c>
      <c r="K85" s="651"/>
      <c r="L85" s="652"/>
      <c r="M85" s="652"/>
      <c r="R85" s="652"/>
      <c r="U85" s="653"/>
      <c r="AA85" s="654"/>
      <c r="AB85" s="654"/>
      <c r="AC85" s="654"/>
      <c r="AD85" s="654"/>
      <c r="AE85" s="654"/>
    </row>
    <row r="86" spans="1:31" s="1555" customFormat="1" ht="18.75" customHeight="1">
      <c r="A86" s="7768"/>
      <c r="B86" s="824"/>
      <c r="C86" s="652"/>
      <c r="D86" s="650"/>
      <c r="E86" s="469" t="str">
        <f>FHD_NUM_P_48</f>
        <v>10.1</v>
      </c>
      <c r="F86" s="1799" t="str">
        <f>FHD_P_48</f>
        <v>Объём отпущенной потребителям воды, определенный по приборам учета</v>
      </c>
      <c r="G86" s="1800" t="s">
        <v>750</v>
      </c>
      <c r="H86" s="888"/>
      <c r="I86" s="500"/>
      <c r="J86" s="204" t="str">
        <f>FHD_NOTE_P_48</f>
        <v/>
      </c>
      <c r="K86" s="651"/>
      <c r="L86" s="652"/>
      <c r="M86" s="652"/>
      <c r="N86" s="824"/>
      <c r="O86" s="824"/>
      <c r="P86" s="824"/>
      <c r="Q86" s="824"/>
      <c r="R86" s="652"/>
      <c r="S86" s="824"/>
      <c r="T86" s="824"/>
      <c r="U86" s="653"/>
      <c r="V86" s="824"/>
      <c r="W86" s="824"/>
      <c r="X86" s="824"/>
      <c r="Y86" s="824"/>
      <c r="Z86" s="824"/>
      <c r="AA86" s="654"/>
      <c r="AB86" s="654"/>
      <c r="AC86" s="654"/>
      <c r="AD86" s="654"/>
      <c r="AE86" s="654"/>
    </row>
    <row r="87" spans="1:31" s="1555" customFormat="1" ht="18.75" customHeight="1">
      <c r="A87" s="7768"/>
      <c r="B87" s="824"/>
      <c r="C87" s="652"/>
      <c r="D87" s="650"/>
      <c r="E87" s="469" t="str">
        <f>FHD_NUM_P_49</f>
        <v>10.2</v>
      </c>
      <c r="F87" s="1799" t="str">
        <f>FHD_P_49</f>
        <v>Объём отпущенной потребителям воды, определенный расчетным способом</v>
      </c>
      <c r="G87" s="1800" t="s">
        <v>750</v>
      </c>
      <c r="H87" s="889">
        <f>SUM(H88:H89)</f>
        <v>0</v>
      </c>
      <c r="I87" s="665">
        <f>SUM(I88:I89)</f>
        <v>0</v>
      </c>
      <c r="J87" s="204" t="str">
        <f>FHD_NOTE_P_49</f>
        <v/>
      </c>
      <c r="K87" s="651"/>
      <c r="L87" s="652"/>
      <c r="M87" s="652"/>
      <c r="N87" s="824"/>
      <c r="O87" s="824"/>
      <c r="P87" s="824"/>
      <c r="Q87" s="824"/>
      <c r="R87" s="652"/>
      <c r="S87" s="824"/>
      <c r="T87" s="824"/>
      <c r="U87" s="653"/>
      <c r="V87" s="824"/>
      <c r="W87" s="824"/>
      <c r="X87" s="824"/>
      <c r="Y87" s="824"/>
      <c r="Z87" s="824"/>
      <c r="AA87" s="654"/>
      <c r="AB87" s="654"/>
      <c r="AC87" s="654"/>
      <c r="AD87" s="654"/>
      <c r="AE87" s="654"/>
    </row>
    <row r="88" spans="1:31" s="1555" customFormat="1" ht="18.75" customHeight="1">
      <c r="A88" s="7768"/>
      <c r="B88" s="824"/>
      <c r="C88" s="652"/>
      <c r="D88" s="650"/>
      <c r="E88" s="469" t="str">
        <f>FHD_NUM_P_50</f>
        <v>10.2.1</v>
      </c>
      <c r="F88" s="1799" t="str">
        <f>FHD_P_50</f>
        <v>Объём отпущенной потребителям воды, определенный по нормативам потребления коммунальных услуг</v>
      </c>
      <c r="G88" s="1800" t="s">
        <v>750</v>
      </c>
      <c r="H88" s="888"/>
      <c r="I88" s="500"/>
      <c r="J88" s="204" t="str">
        <f>FHD_NOTE_P_50</f>
        <v/>
      </c>
      <c r="K88" s="651"/>
      <c r="L88" s="652"/>
      <c r="M88" s="652"/>
      <c r="N88" s="824"/>
      <c r="O88" s="824"/>
      <c r="P88" s="824"/>
      <c r="Q88" s="824"/>
      <c r="R88" s="652"/>
      <c r="S88" s="824"/>
      <c r="T88" s="824"/>
      <c r="U88" s="653"/>
      <c r="V88" s="824"/>
      <c r="W88" s="824"/>
      <c r="X88" s="824"/>
      <c r="Y88" s="824"/>
      <c r="Z88" s="824"/>
      <c r="AA88" s="654"/>
      <c r="AB88" s="654"/>
      <c r="AC88" s="654"/>
      <c r="AD88" s="654"/>
      <c r="AE88" s="654"/>
    </row>
    <row r="89" spans="1:31" s="1555" customFormat="1" ht="18.75" customHeight="1">
      <c r="A89" s="7768"/>
      <c r="B89" s="824"/>
      <c r="C89" s="652"/>
      <c r="D89" s="650"/>
      <c r="E89" s="469" t="str">
        <f>FHD_NUM_P_51</f>
        <v>10.2.2</v>
      </c>
      <c r="F89" s="1799" t="str">
        <f>FHD_P_51</f>
        <v xml:space="preserve">Объём отпущенной потребителям воды, определенный по нормативам потребления коммунальных ресурсов </v>
      </c>
      <c r="G89" s="1800" t="s">
        <v>750</v>
      </c>
      <c r="H89" s="888"/>
      <c r="I89" s="500"/>
      <c r="J89" s="204" t="str">
        <f>FHD_NOTE_P_51</f>
        <v/>
      </c>
      <c r="K89" s="651"/>
      <c r="L89" s="652"/>
      <c r="M89" s="652"/>
      <c r="N89" s="824"/>
      <c r="O89" s="824"/>
      <c r="P89" s="824"/>
      <c r="Q89" s="824"/>
      <c r="R89" s="652"/>
      <c r="S89" s="824"/>
      <c r="T89" s="824"/>
      <c r="U89" s="653"/>
      <c r="V89" s="824"/>
      <c r="W89" s="824"/>
      <c r="X89" s="824"/>
      <c r="Y89" s="824"/>
      <c r="Z89" s="824"/>
      <c r="AA89" s="654"/>
      <c r="AB89" s="654"/>
      <c r="AC89" s="654"/>
      <c r="AD89" s="654"/>
      <c r="AE89" s="654"/>
    </row>
    <row r="90" spans="1:31" s="1555" customFormat="1" ht="18.75" customHeight="1">
      <c r="A90" s="7768"/>
      <c r="B90" s="824"/>
      <c r="C90" s="652"/>
      <c r="D90" s="650"/>
      <c r="E90" s="469" t="str">
        <f>FHD_NUM_P_52</f>
        <v>11</v>
      </c>
      <c r="F90" s="1799" t="str">
        <f>FHD_P_52</f>
        <v>Потери воды в сетях</v>
      </c>
      <c r="G90" s="1800" t="s">
        <v>727</v>
      </c>
      <c r="H90" s="887"/>
      <c r="I90" s="480"/>
      <c r="J90" s="204" t="str">
        <f>FHD_NOTE_P_52</f>
        <v/>
      </c>
      <c r="K90" s="651"/>
      <c r="L90" s="652"/>
      <c r="M90" s="652"/>
      <c r="N90" s="824"/>
      <c r="O90" s="824"/>
      <c r="P90" s="824"/>
      <c r="Q90" s="824"/>
      <c r="R90" s="652"/>
      <c r="S90" s="824"/>
      <c r="T90" s="824"/>
      <c r="U90" s="653"/>
      <c r="V90" s="824"/>
      <c r="W90" s="824"/>
      <c r="X90" s="824"/>
      <c r="Y90" s="824"/>
      <c r="Z90" s="824"/>
      <c r="AA90" s="654"/>
      <c r="AB90" s="654"/>
      <c r="AC90" s="654"/>
      <c r="AD90" s="654"/>
      <c r="AE90" s="654"/>
    </row>
    <row r="91" spans="1:31" s="1287" customFormat="1" ht="18.75" hidden="1" customHeight="1">
      <c r="A91" s="7768" t="s">
        <v>751</v>
      </c>
      <c r="C91" s="652"/>
      <c r="D91" s="650"/>
      <c r="E91" s="469" t="str">
        <f>FHD_NUM_P_53</f>
        <v/>
      </c>
      <c r="F91" s="1799" t="str">
        <f>FHD_P_53</f>
        <v/>
      </c>
      <c r="G91" s="1800" t="s">
        <v>750</v>
      </c>
      <c r="H91" s="888"/>
      <c r="I91" s="500"/>
      <c r="J91" s="204" t="str">
        <f>FHD_NOTE_P_53</f>
        <v/>
      </c>
      <c r="K91" s="651"/>
      <c r="L91" s="652"/>
      <c r="M91" s="652"/>
      <c r="R91" s="652"/>
      <c r="U91" s="653"/>
      <c r="AA91" s="654"/>
      <c r="AB91" s="654"/>
      <c r="AC91" s="654"/>
      <c r="AD91" s="654"/>
      <c r="AE91" s="654"/>
    </row>
    <row r="92" spans="1:31" s="1287" customFormat="1" ht="18.75" hidden="1" customHeight="1">
      <c r="A92" s="7768"/>
      <c r="C92" s="652"/>
      <c r="D92" s="650"/>
      <c r="E92" s="469" t="str">
        <f>FHD_NUM_P_54</f>
        <v/>
      </c>
      <c r="F92" s="1799" t="str">
        <f>FHD_P_54</f>
        <v/>
      </c>
      <c r="G92" s="1800" t="s">
        <v>750</v>
      </c>
      <c r="H92" s="888"/>
      <c r="I92" s="500"/>
      <c r="J92" s="204" t="str">
        <f>FHD_NOTE_P_54</f>
        <v/>
      </c>
      <c r="K92" s="651"/>
      <c r="L92" s="652"/>
      <c r="M92" s="652"/>
      <c r="R92" s="652"/>
      <c r="U92" s="653"/>
      <c r="AA92" s="654"/>
      <c r="AB92" s="654"/>
      <c r="AC92" s="654"/>
      <c r="AD92" s="654"/>
      <c r="AE92" s="654"/>
    </row>
    <row r="93" spans="1:31" s="1287" customFormat="1" ht="18.75" hidden="1" customHeight="1">
      <c r="A93" s="7768"/>
      <c r="C93" s="652"/>
      <c r="D93" s="655"/>
      <c r="E93" s="469" t="str">
        <f>FHD_NUM_P_55</f>
        <v/>
      </c>
      <c r="F93" s="1799" t="str">
        <f>FHD_P_55</f>
        <v/>
      </c>
      <c r="G93" s="1803"/>
      <c r="H93" s="888"/>
      <c r="I93" s="500"/>
      <c r="J93" s="204" t="str">
        <f>FHD_NOTE_P_55</f>
        <v/>
      </c>
      <c r="K93" s="651"/>
      <c r="L93" s="652"/>
      <c r="M93" s="652"/>
      <c r="R93" s="652"/>
      <c r="U93" s="653"/>
      <c r="AA93" s="654"/>
      <c r="AB93" s="654"/>
      <c r="AC93" s="654"/>
      <c r="AD93" s="654"/>
      <c r="AE93" s="654"/>
    </row>
    <row r="94" spans="1:31" s="1287" customFormat="1" ht="18.75" hidden="1" customHeight="1">
      <c r="A94" s="7768"/>
      <c r="C94" s="652"/>
      <c r="D94" s="650"/>
      <c r="E94" s="469" t="str">
        <f>FHD_NUM_P_56</f>
        <v/>
      </c>
      <c r="F94" s="1799" t="str">
        <f>FHD_P_56</f>
        <v/>
      </c>
      <c r="G94" s="1800" t="s">
        <v>752</v>
      </c>
      <c r="H94" s="888"/>
      <c r="I94" s="500"/>
      <c r="J94" s="204" t="str">
        <f>FHD_NOTE_P_56</f>
        <v/>
      </c>
      <c r="K94" s="651"/>
      <c r="L94" s="652"/>
      <c r="M94" s="652"/>
      <c r="R94" s="652"/>
      <c r="U94" s="653"/>
      <c r="AA94" s="654"/>
      <c r="AB94" s="654"/>
      <c r="AC94" s="654"/>
      <c r="AD94" s="654"/>
      <c r="AE94" s="654"/>
    </row>
    <row r="95" spans="1:31" s="1555" customFormat="1" ht="18.75" hidden="1" customHeight="1">
      <c r="A95" s="7768"/>
      <c r="B95" s="824"/>
      <c r="C95" s="652"/>
      <c r="D95" s="650"/>
      <c r="E95" s="469" t="str">
        <f>FHD_NUM_P_57</f>
        <v/>
      </c>
      <c r="F95" s="1799" t="str">
        <f>FHD_P_57</f>
        <v/>
      </c>
      <c r="G95" s="1800" t="s">
        <v>727</v>
      </c>
      <c r="H95" s="887"/>
      <c r="I95" s="480"/>
      <c r="J95" s="204" t="str">
        <f>FHD_NOTE_P_57</f>
        <v/>
      </c>
      <c r="K95" s="651"/>
      <c r="L95" s="652"/>
      <c r="M95" s="652"/>
      <c r="N95" s="824"/>
      <c r="O95" s="824"/>
      <c r="P95" s="824"/>
      <c r="Q95" s="824"/>
      <c r="R95" s="652"/>
      <c r="S95" s="824"/>
      <c r="T95" s="824"/>
      <c r="U95" s="653"/>
      <c r="V95" s="824"/>
      <c r="W95" s="824"/>
      <c r="X95" s="824"/>
      <c r="Y95" s="824"/>
      <c r="Z95" s="824"/>
      <c r="AA95" s="654"/>
      <c r="AB95" s="654"/>
      <c r="AC95" s="654"/>
      <c r="AD95" s="654"/>
      <c r="AE95" s="654"/>
    </row>
    <row r="96" spans="1:31" ht="18.75" hidden="1" customHeight="1">
      <c r="A96" s="7768" t="s">
        <v>753</v>
      </c>
      <c r="D96" s="1558"/>
      <c r="E96" s="469" t="str">
        <f>FHD_NUM_P_58</f>
        <v/>
      </c>
      <c r="F96" s="1799" t="str">
        <f>FHD_P_58</f>
        <v/>
      </c>
      <c r="G96" s="1800" t="s">
        <v>750</v>
      </c>
      <c r="H96" s="888"/>
      <c r="I96" s="500"/>
      <c r="J96" s="204" t="str">
        <f>FHD_NOTE_P_58</f>
        <v/>
      </c>
      <c r="K96" s="466"/>
    </row>
    <row r="97" spans="1:31" ht="18.75" hidden="1" customHeight="1">
      <c r="A97" s="7768"/>
      <c r="D97" s="1558"/>
      <c r="E97" s="469" t="str">
        <f>FHD_NUM_P_59</f>
        <v/>
      </c>
      <c r="F97" s="1799" t="str">
        <f>FHD_P_59</f>
        <v/>
      </c>
      <c r="G97" s="1800" t="s">
        <v>750</v>
      </c>
      <c r="H97" s="888"/>
      <c r="I97" s="500"/>
      <c r="J97" s="204" t="str">
        <f>FHD_NOTE_P_59</f>
        <v/>
      </c>
      <c r="K97" s="466"/>
    </row>
    <row r="98" spans="1:31" ht="18.75" hidden="1" customHeight="1">
      <c r="A98" s="7768"/>
      <c r="D98" s="1558"/>
      <c r="E98" s="469" t="str">
        <f>FHD_NUM_P_60</f>
        <v/>
      </c>
      <c r="F98" s="1799" t="str">
        <f>FHD_P_60</f>
        <v/>
      </c>
      <c r="G98" s="1800" t="s">
        <v>750</v>
      </c>
      <c r="H98" s="888"/>
      <c r="I98" s="500"/>
      <c r="J98" s="204" t="str">
        <f>FHD_NOTE_P_60</f>
        <v/>
      </c>
      <c r="K98" s="466"/>
    </row>
    <row r="99" spans="1:31" s="1287" customFormat="1" ht="18.75" hidden="1" customHeight="1">
      <c r="A99" s="7768" t="s">
        <v>754</v>
      </c>
      <c r="C99" s="1556"/>
      <c r="D99" s="1558"/>
      <c r="E99" s="469" t="str">
        <f>FHD_NUM_P_61</f>
        <v/>
      </c>
      <c r="F99" s="1799" t="str">
        <f>FHD_P_61</f>
        <v/>
      </c>
      <c r="G99" s="1797" t="s">
        <v>725</v>
      </c>
      <c r="H99" s="890"/>
      <c r="I99" s="658"/>
      <c r="J99" s="204" t="str">
        <f>FHD_NOTE_P_61</f>
        <v/>
      </c>
      <c r="K99" s="466"/>
      <c r="L99" s="1556"/>
      <c r="M99" s="1556"/>
      <c r="R99" s="1556"/>
      <c r="U99" s="467"/>
      <c r="AA99" s="1552"/>
      <c r="AB99" s="1552"/>
      <c r="AC99" s="1552"/>
      <c r="AD99" s="1552"/>
      <c r="AE99" s="1552"/>
    </row>
    <row r="100" spans="1:31" s="1562" customFormat="1" ht="0.75" hidden="1" customHeight="1">
      <c r="A100" s="7768"/>
      <c r="D100" s="471"/>
      <c r="E100" s="924" t="str">
        <f>E99&amp;".0"</f>
        <v>.0</v>
      </c>
      <c r="F100" s="905"/>
      <c r="G100" s="906"/>
      <c r="H100" s="903"/>
      <c r="I100" s="903"/>
      <c r="J100" s="907"/>
    </row>
    <row r="101" spans="1:31" ht="15" hidden="1" customHeight="1">
      <c r="A101" s="7768"/>
      <c r="D101" s="1553"/>
      <c r="E101" s="882"/>
      <c r="F101" s="883" t="s">
        <v>755</v>
      </c>
      <c r="G101" s="495"/>
      <c r="H101" s="496"/>
      <c r="I101" s="496"/>
      <c r="J101" s="915" t="s">
        <v>756</v>
      </c>
      <c r="K101" s="466"/>
    </row>
    <row r="102" spans="1:31" s="1287" customFormat="1" ht="18.75" hidden="1" customHeight="1">
      <c r="A102" s="7768"/>
      <c r="C102" s="1556"/>
      <c r="D102" s="1558"/>
      <c r="E102" s="469" t="str">
        <f>FHD_NUM_P_62</f>
        <v/>
      </c>
      <c r="F102" s="1799" t="str">
        <f>FHD_P_62</f>
        <v/>
      </c>
      <c r="G102" s="1796" t="s">
        <v>725</v>
      </c>
      <c r="H102" s="480"/>
      <c r="I102" s="480"/>
      <c r="J102" s="204" t="str">
        <f>FHD_NOTE_P_62</f>
        <v/>
      </c>
      <c r="K102" s="466"/>
      <c r="L102" s="1556"/>
      <c r="M102" s="1556"/>
      <c r="R102" s="1556"/>
      <c r="U102" s="467"/>
      <c r="AA102" s="1552"/>
      <c r="AB102" s="1552"/>
      <c r="AC102" s="1552"/>
      <c r="AD102" s="1552"/>
      <c r="AE102" s="1552"/>
    </row>
    <row r="103" spans="1:31" s="1287" customFormat="1" ht="18.75" hidden="1" customHeight="1">
      <c r="A103" s="7768"/>
      <c r="C103" s="1556"/>
      <c r="D103" s="1558"/>
      <c r="E103" s="469" t="str">
        <f>FHD_NUM_P_63</f>
        <v/>
      </c>
      <c r="F103" s="1799" t="str">
        <f>FHD_P_63</f>
        <v/>
      </c>
      <c r="G103" s="1796" t="s">
        <v>752</v>
      </c>
      <c r="H103" s="500"/>
      <c r="I103" s="500"/>
      <c r="J103" s="204" t="str">
        <f>FHD_NOTE_P_63</f>
        <v/>
      </c>
      <c r="K103" s="466"/>
      <c r="L103" s="1556"/>
      <c r="M103" s="1556"/>
      <c r="R103" s="1556"/>
      <c r="U103" s="467"/>
      <c r="AA103" s="1552"/>
      <c r="AB103" s="1552"/>
      <c r="AC103" s="1552"/>
      <c r="AD103" s="1552"/>
      <c r="AE103" s="1552"/>
    </row>
    <row r="104" spans="1:31" s="1287" customFormat="1" ht="18.75" hidden="1" customHeight="1">
      <c r="A104" s="7768"/>
      <c r="C104" s="1556" t="s">
        <v>757</v>
      </c>
      <c r="D104" s="1558"/>
      <c r="E104" s="469" t="str">
        <f>FHD_NUM_P_64</f>
        <v/>
      </c>
      <c r="F104" s="1799" t="str">
        <f>FHD_P_64</f>
        <v/>
      </c>
      <c r="G104" s="1796" t="s">
        <v>752</v>
      </c>
      <c r="H104" s="468"/>
      <c r="I104" s="468"/>
      <c r="J104" s="204" t="str">
        <f>FHD_NOTE_P_64</f>
        <v/>
      </c>
      <c r="K104" s="466"/>
      <c r="L104" s="1556"/>
      <c r="M104" s="1556"/>
      <c r="R104" s="1556"/>
      <c r="U104" s="467"/>
      <c r="AA104" s="1552"/>
      <c r="AB104" s="1552"/>
      <c r="AC104" s="1552"/>
      <c r="AD104" s="1552"/>
      <c r="AE104" s="1552"/>
    </row>
    <row r="105" spans="1:31" s="1287" customFormat="1" ht="18.75" hidden="1" customHeight="1">
      <c r="A105" s="7768"/>
      <c r="C105" s="1556"/>
      <c r="D105" s="1558"/>
      <c r="E105" s="469" t="str">
        <f>FHD_NUM_P_65</f>
        <v/>
      </c>
      <c r="F105" s="1799" t="str">
        <f>FHD_P_65</f>
        <v/>
      </c>
      <c r="G105" s="1796" t="s">
        <v>752</v>
      </c>
      <c r="H105" s="500"/>
      <c r="I105" s="500"/>
      <c r="J105" s="204" t="str">
        <f>FHD_NOTE_P_65</f>
        <v/>
      </c>
      <c r="K105" s="466"/>
      <c r="L105" s="1556"/>
      <c r="M105" s="1556"/>
      <c r="R105" s="1556"/>
      <c r="U105" s="467"/>
      <c r="AA105" s="1552"/>
      <c r="AB105" s="1552"/>
      <c r="AC105" s="1552"/>
      <c r="AD105" s="1552"/>
      <c r="AE105" s="1552"/>
    </row>
    <row r="106" spans="1:31" s="1287" customFormat="1" ht="18.75" hidden="1" customHeight="1">
      <c r="A106" s="7768"/>
      <c r="C106" s="1556"/>
      <c r="D106" s="1558"/>
      <c r="E106" s="469" t="str">
        <f>FHD_NUM_P_66</f>
        <v/>
      </c>
      <c r="F106" s="1439" t="str">
        <f>FHD_P_66</f>
        <v/>
      </c>
      <c r="G106" s="1796" t="s">
        <v>752</v>
      </c>
      <c r="H106" s="500"/>
      <c r="I106" s="500"/>
      <c r="J106" s="204" t="str">
        <f>FHD_NOTE_P_66</f>
        <v/>
      </c>
      <c r="K106" s="466"/>
      <c r="L106" s="1556"/>
      <c r="M106" s="1556"/>
      <c r="R106" s="1556"/>
      <c r="U106" s="467"/>
      <c r="AA106" s="1552"/>
      <c r="AB106" s="1552"/>
      <c r="AC106" s="1552"/>
      <c r="AD106" s="1552"/>
      <c r="AE106" s="1552"/>
    </row>
    <row r="107" spans="1:31" s="1287" customFormat="1" ht="18.75" hidden="1" customHeight="1">
      <c r="A107" s="7768"/>
      <c r="C107" s="1556"/>
      <c r="D107" s="1558"/>
      <c r="E107" s="469" t="str">
        <f>FHD_NUM_P_67</f>
        <v/>
      </c>
      <c r="F107" s="1570" t="str">
        <f>FHD_P_67</f>
        <v/>
      </c>
      <c r="G107" s="1796" t="s">
        <v>752</v>
      </c>
      <c r="H107" s="500"/>
      <c r="I107" s="500"/>
      <c r="J107" s="204" t="str">
        <f>FHD_NOTE_P_67</f>
        <v/>
      </c>
      <c r="K107" s="466"/>
      <c r="L107" s="1556"/>
      <c r="M107" s="1556"/>
      <c r="R107" s="1556"/>
      <c r="U107" s="467"/>
      <c r="AA107" s="1552"/>
      <c r="AB107" s="1552"/>
      <c r="AC107" s="1552"/>
      <c r="AD107" s="1552"/>
      <c r="AE107" s="1552"/>
    </row>
    <row r="108" spans="1:31" s="1287" customFormat="1" ht="18.75" hidden="1" customHeight="1">
      <c r="A108" s="7768"/>
      <c r="C108" s="1556"/>
      <c r="D108" s="1558"/>
      <c r="E108" s="469" t="str">
        <f>FHD_NUM_P_68</f>
        <v/>
      </c>
      <c r="F108" s="1439" t="str">
        <f>FHD_P_68</f>
        <v/>
      </c>
      <c r="G108" s="1796" t="s">
        <v>752</v>
      </c>
      <c r="H108" s="500"/>
      <c r="I108" s="500"/>
      <c r="J108" s="204" t="str">
        <f>FHD_NOTE_P_68</f>
        <v/>
      </c>
      <c r="K108" s="466"/>
      <c r="L108" s="1556"/>
      <c r="M108" s="1556"/>
      <c r="R108" s="1556"/>
      <c r="U108" s="467"/>
      <c r="AA108" s="1552"/>
      <c r="AB108" s="1552"/>
      <c r="AC108" s="1552"/>
      <c r="AD108" s="1552"/>
      <c r="AE108" s="1552"/>
    </row>
    <row r="109" spans="1:31" s="1287" customFormat="1" ht="18.75" hidden="1" customHeight="1">
      <c r="A109" s="7768"/>
      <c r="C109" s="1556"/>
      <c r="D109" s="1558"/>
      <c r="E109" s="469" t="str">
        <f>FHD_NUM_P_69</f>
        <v/>
      </c>
      <c r="F109" s="1439" t="str">
        <f>FHD_P_69</f>
        <v/>
      </c>
      <c r="G109" s="1796" t="s">
        <v>752</v>
      </c>
      <c r="H109" s="500"/>
      <c r="I109" s="500"/>
      <c r="J109" s="204" t="str">
        <f>FHD_NOTE_P_69</f>
        <v/>
      </c>
      <c r="K109" s="466"/>
      <c r="L109" s="1556"/>
      <c r="M109" s="1556"/>
      <c r="R109" s="1556"/>
      <c r="U109" s="467"/>
      <c r="AA109" s="1552"/>
      <c r="AB109" s="1552"/>
      <c r="AC109" s="1552"/>
      <c r="AD109" s="1552"/>
      <c r="AE109" s="1552"/>
    </row>
    <row r="110" spans="1:31" s="1287" customFormat="1" ht="22.5" hidden="1" customHeight="1">
      <c r="A110" s="7768"/>
      <c r="C110" s="1556"/>
      <c r="D110" s="1558"/>
      <c r="E110" s="469" t="str">
        <f>FHD_NUM_P_70</f>
        <v/>
      </c>
      <c r="F110" s="1799" t="str">
        <f>FHD_P_70</f>
        <v/>
      </c>
      <c r="G110" s="1796" t="s">
        <v>758</v>
      </c>
      <c r="H110" s="480"/>
      <c r="I110" s="480"/>
      <c r="J110" s="204" t="str">
        <f>FHD_NOTE_P_70</f>
        <v/>
      </c>
      <c r="K110" s="466"/>
      <c r="L110" s="1556"/>
      <c r="M110" s="1556"/>
      <c r="R110" s="1556"/>
      <c r="U110" s="467"/>
      <c r="AA110" s="1552"/>
      <c r="AB110" s="1552"/>
      <c r="AC110" s="1552"/>
      <c r="AD110" s="1552"/>
      <c r="AE110" s="1552"/>
    </row>
    <row r="111" spans="1:31" s="1287" customFormat="1" ht="22.5" hidden="1" customHeight="1">
      <c r="A111" s="7768"/>
      <c r="C111" s="1556"/>
      <c r="D111" s="1558"/>
      <c r="E111" s="469" t="str">
        <f>FHD_NUM_P_71</f>
        <v/>
      </c>
      <c r="F111" s="1799" t="str">
        <f>FHD_P_71</f>
        <v/>
      </c>
      <c r="G111" s="1796" t="s">
        <v>758</v>
      </c>
      <c r="H111" s="480"/>
      <c r="I111" s="480"/>
      <c r="J111" s="204" t="str">
        <f>FHD_NOTE_P_71</f>
        <v/>
      </c>
      <c r="K111" s="466"/>
      <c r="L111" s="1556"/>
      <c r="M111" s="1556"/>
      <c r="R111" s="1556"/>
      <c r="U111" s="467"/>
      <c r="AA111" s="1552"/>
      <c r="AB111" s="1552"/>
      <c r="AC111" s="1552"/>
      <c r="AD111" s="1552"/>
      <c r="AE111" s="1552"/>
    </row>
    <row r="112" spans="1:31" ht="18.75" customHeight="1">
      <c r="D112" s="1558"/>
      <c r="E112" s="469" t="str">
        <f>FHD_NUM_P_72</f>
        <v>12</v>
      </c>
      <c r="F112" s="1799" t="str">
        <f>FHD_P_72</f>
        <v>Среднесписочная численность основного производственного персонала</v>
      </c>
      <c r="G112" s="1795" t="s">
        <v>759</v>
      </c>
      <c r="H112" s="500"/>
      <c r="I112" s="500"/>
      <c r="J112" s="204" t="str">
        <f>FHD_NOTE_P_72</f>
        <v/>
      </c>
      <c r="K112" s="466"/>
    </row>
    <row r="113" spans="1:31" ht="18.75" hidden="1" customHeight="1">
      <c r="A113" s="900" t="s">
        <v>760</v>
      </c>
      <c r="D113" s="1558"/>
      <c r="E113" s="469" t="str">
        <f>FHD_NUM_P_73</f>
        <v/>
      </c>
      <c r="F113" s="1799" t="str">
        <f>FHD_P_73</f>
        <v/>
      </c>
      <c r="G113" s="881" t="s">
        <v>759</v>
      </c>
      <c r="H113" s="879"/>
      <c r="I113" s="879"/>
      <c r="J113" s="204" t="str">
        <f>FHD_NOTE_P_73</f>
        <v/>
      </c>
      <c r="K113" s="466"/>
    </row>
    <row r="114" spans="1:31" ht="33.75" customHeight="1">
      <c r="A114" s="900" t="s">
        <v>761</v>
      </c>
      <c r="D114" s="1558"/>
      <c r="E114" s="469" t="str">
        <f>FHD_NUM_P_74</f>
        <v>13</v>
      </c>
      <c r="F114" s="1799" t="str">
        <f>FHD_P_74</f>
        <v>Удельный расход электрической энергии на подачу воды в сеть</v>
      </c>
      <c r="G114" s="1795" t="s">
        <v>762</v>
      </c>
      <c r="H114" s="500"/>
      <c r="I114" s="500"/>
      <c r="J114" s="204" t="str">
        <f>FHD_NOTE_P_74</f>
        <v/>
      </c>
      <c r="K114" s="466"/>
    </row>
    <row r="115" spans="1:31" s="1555" customFormat="1" ht="18.75" customHeight="1">
      <c r="A115" s="7768" t="s">
        <v>763</v>
      </c>
      <c r="B115" s="824"/>
      <c r="C115" s="652"/>
      <c r="D115" s="650"/>
      <c r="E115" s="469" t="str">
        <f>FHD_NUM_P_75</f>
        <v>14</v>
      </c>
      <c r="F115" s="1799" t="str">
        <f>FHD_P_75</f>
        <v>Расход воды на собственные нужды, в том числе:</v>
      </c>
      <c r="G115" s="1795" t="s">
        <v>727</v>
      </c>
      <c r="H115" s="480"/>
      <c r="I115" s="480"/>
      <c r="J115" s="204" t="str">
        <f>FHD_NOTE_P_75</f>
        <v>Указывается доля общего расхода воды на собственные нужны от объема отпуска воды потребителям.</v>
      </c>
      <c r="K115" s="651"/>
      <c r="L115" s="652"/>
      <c r="M115" s="652"/>
      <c r="N115" s="824"/>
      <c r="O115" s="824"/>
      <c r="P115" s="824"/>
      <c r="Q115" s="824"/>
      <c r="R115" s="652"/>
      <c r="S115" s="824"/>
      <c r="T115" s="824"/>
      <c r="U115" s="653"/>
      <c r="V115" s="824"/>
      <c r="W115" s="824"/>
      <c r="X115" s="824"/>
      <c r="Y115" s="824"/>
      <c r="Z115" s="824"/>
      <c r="AA115" s="654"/>
      <c r="AB115" s="654"/>
      <c r="AC115" s="654"/>
      <c r="AD115" s="654"/>
      <c r="AE115" s="654"/>
    </row>
    <row r="116" spans="1:31" s="1555" customFormat="1" ht="18.75" customHeight="1">
      <c r="A116" s="7768"/>
      <c r="B116" s="824"/>
      <c r="C116" s="652"/>
      <c r="D116" s="650"/>
      <c r="E116" s="469" t="str">
        <f>FHD_NUM_P_76</f>
        <v>14.1</v>
      </c>
      <c r="F116" s="1799" t="str">
        <f>FHD_P_76</f>
        <v>Расход воды на хозяйственно-бытовые нужды</v>
      </c>
      <c r="G116" s="1795" t="s">
        <v>727</v>
      </c>
      <c r="H116" s="480"/>
      <c r="I116" s="480"/>
      <c r="J116" s="204" t="str">
        <f>FHD_NOTE_P_76</f>
        <v>Указывается доля расхода воды на хозяйственно-бытовые нужны от объема отпуска воды потребителям.</v>
      </c>
      <c r="K116" s="651"/>
      <c r="L116" s="652"/>
      <c r="M116" s="652"/>
      <c r="N116" s="824"/>
      <c r="O116" s="824"/>
      <c r="P116" s="824"/>
      <c r="Q116" s="824"/>
      <c r="R116" s="652"/>
      <c r="S116" s="824"/>
      <c r="T116" s="824"/>
      <c r="U116" s="653"/>
      <c r="V116" s="824"/>
      <c r="W116" s="824"/>
      <c r="X116" s="824"/>
      <c r="Y116" s="824"/>
      <c r="Z116" s="824"/>
      <c r="AA116" s="654"/>
      <c r="AB116" s="654"/>
      <c r="AC116" s="654"/>
      <c r="AD116" s="654"/>
      <c r="AE116" s="654"/>
    </row>
    <row r="117" spans="1:31" s="1555" customFormat="1" ht="18.75" customHeight="1">
      <c r="A117" s="7768"/>
      <c r="B117" s="824"/>
      <c r="C117" s="652"/>
      <c r="D117" s="650"/>
      <c r="E117" s="469" t="str">
        <f>FHD_NUM_P_77</f>
        <v>15</v>
      </c>
      <c r="F117" s="1799" t="str">
        <f>FHD_P_77</f>
        <v>Показатель использования производственных объектов (по объему перекачки), в том числе:</v>
      </c>
      <c r="G117" s="1795" t="s">
        <v>727</v>
      </c>
      <c r="H117" s="480"/>
      <c r="I117" s="480"/>
      <c r="J117" s="20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51"/>
      <c r="L117" s="652"/>
      <c r="M117" s="652"/>
      <c r="N117" s="824"/>
      <c r="O117" s="824"/>
      <c r="P117" s="824"/>
      <c r="Q117" s="824"/>
      <c r="R117" s="652"/>
      <c r="S117" s="824"/>
      <c r="T117" s="824"/>
      <c r="U117" s="653"/>
      <c r="V117" s="824"/>
      <c r="W117" s="824"/>
      <c r="X117" s="824"/>
      <c r="Y117" s="824"/>
      <c r="Z117" s="824"/>
      <c r="AA117" s="654"/>
      <c r="AB117" s="654"/>
      <c r="AC117" s="654"/>
      <c r="AD117" s="654"/>
      <c r="AE117" s="654"/>
    </row>
    <row r="118" spans="1:31" s="1562" customFormat="1" ht="0.75" customHeight="1">
      <c r="A118" s="7768"/>
      <c r="D118" s="471"/>
      <c r="E118" s="924" t="str">
        <f>E117&amp;".0"</f>
        <v>15.0</v>
      </c>
      <c r="F118" s="908"/>
      <c r="G118" s="1571"/>
      <c r="H118" s="903"/>
      <c r="I118" s="903"/>
      <c r="J118" s="907"/>
    </row>
    <row r="119" spans="1:31" s="1555" customFormat="1" ht="15" customHeight="1">
      <c r="A119" s="7768"/>
      <c r="B119" s="824"/>
      <c r="C119" s="652"/>
      <c r="D119" s="662"/>
      <c r="E119" s="884"/>
      <c r="F119" s="885" t="s">
        <v>764</v>
      </c>
      <c r="G119" s="663"/>
      <c r="H119" s="664"/>
      <c r="I119" s="664"/>
      <c r="J119" s="914" t="s">
        <v>765</v>
      </c>
      <c r="K119" s="651"/>
      <c r="L119" s="652"/>
      <c r="M119" s="652"/>
      <c r="N119" s="824"/>
      <c r="O119" s="824"/>
      <c r="P119" s="824"/>
      <c r="Q119" s="824"/>
      <c r="R119" s="652"/>
      <c r="S119" s="824"/>
      <c r="T119" s="824"/>
      <c r="U119" s="653"/>
      <c r="V119" s="824"/>
      <c r="W119" s="824"/>
      <c r="X119" s="824"/>
      <c r="Y119" s="824"/>
      <c r="Z119" s="824"/>
      <c r="AA119" s="654"/>
      <c r="AB119" s="654"/>
      <c r="AC119" s="654"/>
      <c r="AD119" s="654"/>
      <c r="AE119" s="654"/>
    </row>
    <row r="120" spans="1:31" ht="22.5" hidden="1" customHeight="1">
      <c r="A120" s="7768" t="s">
        <v>766</v>
      </c>
      <c r="D120" s="1558"/>
      <c r="E120" s="469" t="str">
        <f>FHD_NUM_P_78</f>
        <v/>
      </c>
      <c r="F120" s="1799" t="str">
        <f>FHD_P_78</f>
        <v/>
      </c>
      <c r="G120" s="1796" t="s">
        <v>729</v>
      </c>
      <c r="H120" s="500"/>
      <c r="I120" s="500"/>
      <c r="J120" s="204" t="str">
        <f>FHD_NOTE_P_78</f>
        <v/>
      </c>
      <c r="K120" s="466"/>
    </row>
    <row r="121" spans="1:31" s="1562" customFormat="1" ht="0.75" hidden="1" customHeight="1">
      <c r="A121" s="7768"/>
      <c r="D121" s="471"/>
      <c r="E121" s="924" t="str">
        <f>E120&amp;".0"</f>
        <v>.0</v>
      </c>
      <c r="F121" s="908"/>
      <c r="G121" s="1571"/>
      <c r="H121" s="903"/>
      <c r="I121" s="903"/>
      <c r="J121" s="907"/>
    </row>
    <row r="122" spans="1:31" ht="15" hidden="1" customHeight="1">
      <c r="A122" s="7768"/>
      <c r="D122" s="1553"/>
      <c r="E122" s="493"/>
      <c r="F122" s="1073" t="s">
        <v>755</v>
      </c>
      <c r="G122" s="495"/>
      <c r="H122" s="496"/>
      <c r="I122" s="496"/>
      <c r="J122" s="915" t="s">
        <v>767</v>
      </c>
      <c r="K122" s="466"/>
    </row>
    <row r="123" spans="1:31" ht="22.5" hidden="1" customHeight="1">
      <c r="A123" s="7768"/>
      <c r="D123" s="1558"/>
      <c r="E123" s="469" t="str">
        <f>FHD_NUM_P_79</f>
        <v/>
      </c>
      <c r="F123" s="1799" t="str">
        <f>FHD_P_79</f>
        <v/>
      </c>
      <c r="G123" s="1797" t="s">
        <v>731</v>
      </c>
      <c r="H123" s="500"/>
      <c r="I123" s="500"/>
      <c r="J123" s="204" t="str">
        <f>FHD_NOTE_P_79</f>
        <v/>
      </c>
      <c r="K123" s="466"/>
    </row>
    <row r="124" spans="1:31" s="1562" customFormat="1" ht="0.75" hidden="1" customHeight="1">
      <c r="A124" s="7768"/>
      <c r="D124" s="471"/>
      <c r="E124" s="924" t="str">
        <f>E123&amp;".0"</f>
        <v>.0</v>
      </c>
      <c r="F124" s="909"/>
      <c r="G124" s="1571"/>
      <c r="H124" s="903"/>
      <c r="I124" s="903"/>
      <c r="J124" s="907"/>
    </row>
    <row r="125" spans="1:31" ht="15" hidden="1" customHeight="1">
      <c r="A125" s="7768"/>
      <c r="D125" s="1553"/>
      <c r="E125" s="493"/>
      <c r="F125" s="1073" t="s">
        <v>755</v>
      </c>
      <c r="G125" s="495"/>
      <c r="H125" s="496"/>
      <c r="I125" s="496"/>
      <c r="J125" s="915" t="s">
        <v>768</v>
      </c>
      <c r="K125" s="466"/>
    </row>
    <row r="126" spans="1:31" ht="22.5" hidden="1" customHeight="1">
      <c r="A126" s="7768"/>
      <c r="D126" s="1558"/>
      <c r="E126" s="469" t="str">
        <f>FHD_NUM_P_80</f>
        <v/>
      </c>
      <c r="F126" s="1799" t="str">
        <f>FHD_P_80</f>
        <v/>
      </c>
      <c r="G126" s="1797" t="s">
        <v>769</v>
      </c>
      <c r="H126" s="480"/>
      <c r="I126" s="480"/>
      <c r="J126" s="204" t="str">
        <f>FHD_NOTE_P_80</f>
        <v/>
      </c>
      <c r="K126" s="466"/>
    </row>
    <row r="127" spans="1:31" ht="18.75" hidden="1" customHeight="1">
      <c r="A127" s="7768"/>
      <c r="D127" s="1558"/>
      <c r="E127" s="469" t="str">
        <f>FHD_NUM_P_81</f>
        <v/>
      </c>
      <c r="F127" s="1799" t="str">
        <f>FHD_P_81</f>
        <v/>
      </c>
      <c r="G127" s="1797" t="s">
        <v>770</v>
      </c>
      <c r="H127" s="480"/>
      <c r="I127" s="480"/>
      <c r="J127" s="204" t="str">
        <f>FHD_NOTE_P_81</f>
        <v/>
      </c>
      <c r="K127" s="466"/>
    </row>
    <row r="128" spans="1:31" ht="18.75" hidden="1" customHeight="1">
      <c r="A128" s="7768"/>
      <c r="C128" s="1556" t="s">
        <v>757</v>
      </c>
      <c r="D128" s="1558"/>
      <c r="E128" s="469" t="str">
        <f>FHD_NUM_P_82</f>
        <v/>
      </c>
      <c r="F128" s="1799" t="str">
        <f>FHD_P_82</f>
        <v/>
      </c>
      <c r="G128" s="1797" t="s">
        <v>480</v>
      </c>
      <c r="H128" s="330"/>
      <c r="I128" s="330"/>
      <c r="J128" s="204" t="str">
        <f>FHD_NOTE_P_82</f>
        <v/>
      </c>
      <c r="K128" s="466"/>
    </row>
    <row r="129" spans="1:31" ht="18.75" hidden="1" customHeight="1">
      <c r="A129" s="7768"/>
      <c r="C129" s="1556" t="s">
        <v>757</v>
      </c>
      <c r="D129" s="1558"/>
      <c r="E129" s="469" t="str">
        <f>FHD_NUM_P_83</f>
        <v/>
      </c>
      <c r="F129" s="1439" t="str">
        <f>FHD_P_83</f>
        <v/>
      </c>
      <c r="G129" s="1797" t="s">
        <v>480</v>
      </c>
      <c r="H129" s="330"/>
      <c r="I129" s="330"/>
      <c r="J129" s="204" t="str">
        <f>FHD_NOTE_P_83</f>
        <v/>
      </c>
      <c r="K129" s="466"/>
    </row>
    <row r="130" spans="1:31" ht="18.75" hidden="1" customHeight="1">
      <c r="A130" s="7768"/>
      <c r="C130" s="1556" t="s">
        <v>757</v>
      </c>
      <c r="D130" s="1558"/>
      <c r="E130" s="469" t="str">
        <f>FHD_NUM_P_84</f>
        <v/>
      </c>
      <c r="F130" s="1439" t="str">
        <f>FHD_P_84</f>
        <v/>
      </c>
      <c r="G130" s="1797" t="s">
        <v>480</v>
      </c>
      <c r="H130" s="330"/>
      <c r="I130" s="330"/>
      <c r="J130" s="204" t="str">
        <f>FHD_NOTE_P_84</f>
        <v/>
      </c>
      <c r="K130" s="466"/>
    </row>
    <row r="131" spans="1:31" ht="11.25" customHeight="1">
      <c r="D131" s="1558"/>
    </row>
    <row r="132" spans="1:31" ht="12.75" customHeight="1">
      <c r="D132" s="1558"/>
      <c r="E132" s="258"/>
      <c r="F132" s="293"/>
      <c r="G132" s="293"/>
      <c r="H132" s="293"/>
      <c r="I132" s="1567"/>
      <c r="J132" s="504"/>
    </row>
    <row r="133" spans="1:31" s="1561" customFormat="1" ht="11.25" customHeight="1">
      <c r="A133" s="898"/>
      <c r="B133" s="1556"/>
      <c r="C133" s="1556"/>
      <c r="D133" s="272"/>
      <c r="F133" s="1560"/>
      <c r="G133" s="1551"/>
      <c r="H133" s="1551"/>
      <c r="I133" s="1551"/>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H136" s="489" t="str">
        <f>IF(H30-H31&lt;&gt;H72,"WARNING","")</f>
        <v/>
      </c>
      <c r="I136" s="489" t="str">
        <f>IF(I30-I31&lt;&gt;I72,"WARNING","")</f>
        <v/>
      </c>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6" spans="1:31" s="1561" customFormat="1" ht="11.25" customHeight="1">
      <c r="A196" s="898"/>
      <c r="B196" s="1556"/>
      <c r="C196" s="1556"/>
      <c r="D196" s="272"/>
      <c r="K196" s="1065"/>
      <c r="L196" s="1556"/>
      <c r="M196" s="1556"/>
      <c r="N196" s="1065"/>
      <c r="O196" s="1065"/>
      <c r="P196" s="1065"/>
      <c r="Q196" s="1065"/>
      <c r="R196" s="1556"/>
      <c r="S196" s="1065"/>
      <c r="T196" s="1065"/>
      <c r="U196" s="467"/>
      <c r="V196" s="1065"/>
      <c r="W196" s="1065"/>
      <c r="X196" s="1065"/>
      <c r="Y196" s="1065"/>
      <c r="Z196" s="1065"/>
      <c r="AA196" s="1552"/>
      <c r="AB196" s="489"/>
      <c r="AC196" s="489"/>
      <c r="AD196" s="489"/>
      <c r="AE196" s="489"/>
    </row>
    <row r="197" spans="1:31" s="1561" customFormat="1" ht="11.25" customHeight="1">
      <c r="A197" s="898"/>
      <c r="B197" s="1556"/>
      <c r="C197" s="1556"/>
      <c r="D197" s="272"/>
      <c r="K197" s="1065"/>
      <c r="L197" s="1556"/>
      <c r="M197" s="1556"/>
      <c r="N197" s="1065"/>
      <c r="O197" s="1065"/>
      <c r="P197" s="1065"/>
      <c r="Q197" s="1065"/>
      <c r="R197" s="1556"/>
      <c r="S197" s="1065"/>
      <c r="T197" s="1065"/>
      <c r="U197" s="467"/>
      <c r="V197" s="1065"/>
      <c r="W197" s="1065"/>
      <c r="X197" s="1065"/>
      <c r="Y197" s="1065"/>
      <c r="Z197" s="1065"/>
      <c r="AA197" s="1552"/>
      <c r="AB197" s="489"/>
      <c r="AC197" s="489"/>
      <c r="AD197" s="489"/>
      <c r="AE197" s="489"/>
    </row>
    <row r="198" spans="1:31" s="1561" customFormat="1" ht="11.25" customHeight="1">
      <c r="A198" s="898"/>
      <c r="B198" s="1556"/>
      <c r="C198" s="1556"/>
      <c r="D198" s="272"/>
      <c r="K198" s="1065"/>
      <c r="L198" s="1556"/>
      <c r="M198" s="1556"/>
      <c r="N198" s="1065"/>
      <c r="O198" s="1065"/>
      <c r="P198" s="1065"/>
      <c r="Q198" s="1065"/>
      <c r="R198" s="1556"/>
      <c r="S198" s="1065"/>
      <c r="T198" s="1065"/>
      <c r="U198" s="467"/>
      <c r="V198" s="1065"/>
      <c r="W198" s="1065"/>
      <c r="X198" s="1065"/>
      <c r="Y198" s="1065"/>
      <c r="Z198" s="1065"/>
      <c r="AA198" s="1552"/>
      <c r="AB198" s="489"/>
      <c r="AC198" s="489"/>
      <c r="AD198" s="489"/>
      <c r="AE198" s="489"/>
    </row>
    <row r="199" spans="1:31" s="1561" customFormat="1" ht="11.25" customHeight="1">
      <c r="A199" s="898"/>
      <c r="B199" s="1556"/>
      <c r="C199" s="1556"/>
      <c r="D199" s="272"/>
      <c r="K199" s="1065"/>
      <c r="L199" s="1556"/>
      <c r="M199" s="1556"/>
      <c r="N199" s="1065"/>
      <c r="O199" s="1065"/>
      <c r="P199" s="1065"/>
      <c r="Q199" s="1065"/>
      <c r="R199" s="1556"/>
      <c r="S199" s="1065"/>
      <c r="T199" s="1065"/>
      <c r="U199" s="467"/>
      <c r="V199" s="1065"/>
      <c r="W199" s="1065"/>
      <c r="X199" s="1065"/>
      <c r="Y199" s="1065"/>
      <c r="Z199" s="1065"/>
      <c r="AA199" s="1552"/>
      <c r="AB199" s="489"/>
      <c r="AC199" s="489"/>
      <c r="AD199" s="489"/>
      <c r="AE199" s="489"/>
    </row>
    <row r="200" spans="1:31" s="1561" customFormat="1" ht="11.25" customHeight="1">
      <c r="A200" s="898"/>
      <c r="B200" s="1556"/>
      <c r="C200" s="1556"/>
      <c r="D200" s="272"/>
      <c r="K200" s="1065"/>
      <c r="L200" s="1556"/>
      <c r="M200" s="1556"/>
      <c r="N200" s="1065"/>
      <c r="O200" s="1065"/>
      <c r="P200" s="1065"/>
      <c r="Q200" s="1065"/>
      <c r="R200" s="1556"/>
      <c r="S200" s="1065"/>
      <c r="T200" s="1065"/>
      <c r="U200" s="467"/>
      <c r="V200" s="1065"/>
      <c r="W200" s="1065"/>
      <c r="X200" s="1065"/>
      <c r="Y200" s="1065"/>
      <c r="Z200" s="1065"/>
      <c r="AA200" s="1552"/>
      <c r="AB200" s="489"/>
      <c r="AC200" s="489"/>
      <c r="AD200" s="489"/>
      <c r="AE200" s="489"/>
    </row>
    <row r="201" spans="1:31" s="1561" customFormat="1" ht="11.25" customHeight="1">
      <c r="A201" s="898"/>
      <c r="B201" s="1556"/>
      <c r="C201" s="1556"/>
      <c r="D201" s="272"/>
      <c r="K201" s="1065"/>
      <c r="L201" s="1556"/>
      <c r="M201" s="1556"/>
      <c r="N201" s="1065"/>
      <c r="O201" s="1065"/>
      <c r="P201" s="1065"/>
      <c r="Q201" s="1065"/>
      <c r="R201" s="1556"/>
      <c r="S201" s="1065"/>
      <c r="T201" s="1065"/>
      <c r="U201" s="467"/>
      <c r="V201" s="1065"/>
      <c r="W201" s="1065"/>
      <c r="X201" s="1065"/>
      <c r="Y201" s="1065"/>
      <c r="Z201" s="1065"/>
      <c r="AA201" s="1552"/>
      <c r="AB201" s="489"/>
      <c r="AC201" s="489"/>
      <c r="AD201" s="489"/>
      <c r="AE201" s="489"/>
    </row>
    <row r="202" spans="1:31" s="1561" customFormat="1" ht="11.25" customHeight="1">
      <c r="A202" s="898"/>
      <c r="B202" s="1556"/>
      <c r="C202" s="1556"/>
      <c r="D202" s="272"/>
      <c r="K202" s="1065"/>
      <c r="L202" s="1556"/>
      <c r="M202" s="1556"/>
      <c r="N202" s="1065"/>
      <c r="O202" s="1065"/>
      <c r="P202" s="1065"/>
      <c r="Q202" s="1065"/>
      <c r="R202" s="1556"/>
      <c r="S202" s="1065"/>
      <c r="T202" s="1065"/>
      <c r="U202" s="467"/>
      <c r="V202" s="1065"/>
      <c r="W202" s="1065"/>
      <c r="X202" s="1065"/>
      <c r="Y202" s="1065"/>
      <c r="Z202" s="1065"/>
      <c r="AA202" s="1552"/>
      <c r="AB202" s="489"/>
      <c r="AC202" s="489"/>
      <c r="AD202" s="489"/>
      <c r="AE202" s="489"/>
    </row>
    <row r="203" spans="1:31" s="1561" customFormat="1" ht="11.25" customHeight="1">
      <c r="A203" s="898"/>
      <c r="B203" s="1556"/>
      <c r="C203" s="1556"/>
      <c r="D203" s="272"/>
      <c r="K203" s="1065"/>
      <c r="L203" s="1556"/>
      <c r="M203" s="1556"/>
      <c r="N203" s="1065"/>
      <c r="O203" s="1065"/>
      <c r="P203" s="1065"/>
      <c r="Q203" s="1065"/>
      <c r="R203" s="1556"/>
      <c r="S203" s="1065"/>
      <c r="T203" s="1065"/>
      <c r="U203" s="467"/>
      <c r="V203" s="1065"/>
      <c r="W203" s="1065"/>
      <c r="X203" s="1065"/>
      <c r="Y203" s="1065"/>
      <c r="Z203" s="1065"/>
      <c r="AA203" s="1552"/>
      <c r="AB203" s="489"/>
      <c r="AC203" s="489"/>
      <c r="AD203" s="489"/>
      <c r="AE203" s="489"/>
    </row>
    <row r="204" spans="1:31" s="1561" customFormat="1" ht="11.25" customHeight="1">
      <c r="A204" s="898"/>
      <c r="B204" s="1556"/>
      <c r="C204" s="1556"/>
      <c r="D204" s="272"/>
      <c r="K204" s="1065"/>
      <c r="L204" s="1556"/>
      <c r="M204" s="1556"/>
      <c r="N204" s="1065"/>
      <c r="O204" s="1065"/>
      <c r="P204" s="1065"/>
      <c r="Q204" s="1065"/>
      <c r="R204" s="1556"/>
      <c r="S204" s="1065"/>
      <c r="T204" s="1065"/>
      <c r="U204" s="467"/>
      <c r="V204" s="1065"/>
      <c r="W204" s="1065"/>
      <c r="X204" s="1065"/>
      <c r="Y204" s="1065"/>
      <c r="Z204" s="1065"/>
      <c r="AA204" s="1552"/>
      <c r="AB204" s="489"/>
      <c r="AC204" s="489"/>
      <c r="AD204" s="489"/>
      <c r="AE204" s="489"/>
    </row>
    <row r="205" spans="1:31" s="1561" customFormat="1" ht="11.25" customHeight="1">
      <c r="A205" s="898"/>
      <c r="B205" s="1556"/>
      <c r="C205" s="1556"/>
      <c r="D205" s="272"/>
      <c r="K205" s="1065"/>
      <c r="L205" s="1556"/>
      <c r="M205" s="1556"/>
      <c r="N205" s="1065"/>
      <c r="O205" s="1065"/>
      <c r="P205" s="1065"/>
      <c r="Q205" s="1065"/>
      <c r="R205" s="1556"/>
      <c r="S205" s="1065"/>
      <c r="T205" s="1065"/>
      <c r="U205" s="467"/>
      <c r="V205" s="1065"/>
      <c r="W205" s="1065"/>
      <c r="X205" s="1065"/>
      <c r="Y205" s="1065"/>
      <c r="Z205" s="1065"/>
      <c r="AA205" s="1552"/>
      <c r="AB205" s="489"/>
      <c r="AC205" s="489"/>
      <c r="AD205" s="489"/>
      <c r="AE205" s="489"/>
    </row>
    <row r="206" spans="1:31" s="1561" customFormat="1" ht="11.25" customHeight="1">
      <c r="A206" s="898"/>
      <c r="B206" s="1556"/>
      <c r="C206" s="1556"/>
      <c r="D206" s="272"/>
      <c r="K206" s="1065"/>
      <c r="L206" s="1556"/>
      <c r="M206" s="1556"/>
      <c r="N206" s="1065"/>
      <c r="O206" s="1065"/>
      <c r="P206" s="1065"/>
      <c r="Q206" s="1065"/>
      <c r="R206" s="1556"/>
      <c r="S206" s="1065"/>
      <c r="T206" s="1065"/>
      <c r="U206" s="467"/>
      <c r="V206" s="1065"/>
      <c r="W206" s="1065"/>
      <c r="X206" s="1065"/>
      <c r="Y206" s="1065"/>
      <c r="Z206" s="1065"/>
      <c r="AA206" s="1552"/>
      <c r="AB206" s="489"/>
      <c r="AC206" s="489"/>
      <c r="AD206" s="489"/>
      <c r="AE206" s="489"/>
    </row>
    <row r="207" spans="1:31" s="1561" customFormat="1" ht="11.25" customHeight="1">
      <c r="A207" s="898"/>
      <c r="B207" s="1556"/>
      <c r="C207" s="1556"/>
      <c r="D207" s="272"/>
      <c r="K207" s="1065"/>
      <c r="L207" s="1556"/>
      <c r="M207" s="1556"/>
      <c r="N207" s="1065"/>
      <c r="O207" s="1065"/>
      <c r="P207" s="1065"/>
      <c r="Q207" s="1065"/>
      <c r="R207" s="1556"/>
      <c r="S207" s="1065"/>
      <c r="T207" s="1065"/>
      <c r="U207" s="467"/>
      <c r="V207" s="1065"/>
      <c r="W207" s="1065"/>
      <c r="X207" s="1065"/>
      <c r="Y207" s="1065"/>
      <c r="Z207" s="1065"/>
      <c r="AA207" s="1552"/>
      <c r="AB207" s="489"/>
      <c r="AC207" s="489"/>
      <c r="AD207" s="489"/>
      <c r="AE207" s="489"/>
    </row>
    <row r="208" spans="1:31" s="1561" customFormat="1" ht="11.25" customHeight="1">
      <c r="A208" s="898"/>
      <c r="B208" s="1556"/>
      <c r="C208" s="1556"/>
      <c r="D208" s="272"/>
      <c r="K208" s="1065"/>
      <c r="L208" s="1556"/>
      <c r="M208" s="1556"/>
      <c r="N208" s="1065"/>
      <c r="O208" s="1065"/>
      <c r="P208" s="1065"/>
      <c r="Q208" s="1065"/>
      <c r="R208" s="1556"/>
      <c r="S208" s="1065"/>
      <c r="T208" s="1065"/>
      <c r="U208" s="467"/>
      <c r="V208" s="1065"/>
      <c r="W208" s="1065"/>
      <c r="X208" s="1065"/>
      <c r="Y208" s="1065"/>
      <c r="Z208" s="1065"/>
      <c r="AA208" s="1552"/>
      <c r="AB208" s="489"/>
      <c r="AC208" s="489"/>
      <c r="AD208" s="489"/>
      <c r="AE208" s="489"/>
    </row>
    <row r="209" spans="1:31" s="1561" customFormat="1" ht="11.25" customHeight="1">
      <c r="A209" s="898"/>
      <c r="B209" s="1556"/>
      <c r="C209" s="1556"/>
      <c r="D209" s="272"/>
      <c r="K209" s="1065"/>
      <c r="L209" s="1556"/>
      <c r="M209" s="1556"/>
      <c r="N209" s="1065"/>
      <c r="O209" s="1065"/>
      <c r="P209" s="1065"/>
      <c r="Q209" s="1065"/>
      <c r="R209" s="1556"/>
      <c r="S209" s="1065"/>
      <c r="T209" s="1065"/>
      <c r="U209" s="467"/>
      <c r="V209" s="1065"/>
      <c r="W209" s="1065"/>
      <c r="X209" s="1065"/>
      <c r="Y209" s="1065"/>
      <c r="Z209" s="1065"/>
      <c r="AA209" s="1552"/>
      <c r="AB209" s="489"/>
      <c r="AC209" s="489"/>
      <c r="AD209" s="489"/>
      <c r="AE209" s="489"/>
    </row>
    <row r="210" spans="1:31" s="1561" customFormat="1" ht="11.25" customHeight="1">
      <c r="A210" s="898"/>
      <c r="B210" s="1556"/>
      <c r="C210" s="1556"/>
      <c r="D210" s="272"/>
      <c r="K210" s="1065"/>
      <c r="L210" s="1556"/>
      <c r="M210" s="1556"/>
      <c r="N210" s="1065"/>
      <c r="O210" s="1065"/>
      <c r="P210" s="1065"/>
      <c r="Q210" s="1065"/>
      <c r="R210" s="1556"/>
      <c r="S210" s="1065"/>
      <c r="T210" s="1065"/>
      <c r="U210" s="467"/>
      <c r="V210" s="1065"/>
      <c r="W210" s="1065"/>
      <c r="X210" s="1065"/>
      <c r="Y210" s="1065"/>
      <c r="Z210" s="1065"/>
      <c r="AA210" s="1552"/>
      <c r="AB210" s="489"/>
      <c r="AC210" s="489"/>
      <c r="AD210" s="489"/>
      <c r="AE210" s="489"/>
    </row>
    <row r="211" spans="1:31" s="1561" customFormat="1" ht="11.25" customHeight="1">
      <c r="A211" s="898"/>
      <c r="B211" s="1556"/>
      <c r="C211" s="1556"/>
      <c r="D211" s="272"/>
      <c r="K211" s="1065"/>
      <c r="L211" s="1556"/>
      <c r="M211" s="1556"/>
      <c r="N211" s="1065"/>
      <c r="O211" s="1065"/>
      <c r="P211" s="1065"/>
      <c r="Q211" s="1065"/>
      <c r="R211" s="1556"/>
      <c r="S211" s="1065"/>
      <c r="T211" s="1065"/>
      <c r="U211" s="467"/>
      <c r="V211" s="1065"/>
      <c r="W211" s="1065"/>
      <c r="X211" s="1065"/>
      <c r="Y211" s="1065"/>
      <c r="Z211" s="1065"/>
      <c r="AA211" s="1552"/>
      <c r="AB211" s="489"/>
      <c r="AC211" s="489"/>
      <c r="AD211" s="489"/>
      <c r="AE211" s="489"/>
    </row>
    <row r="212" spans="1:31" s="1561" customFormat="1" ht="11.25" customHeight="1">
      <c r="A212" s="898"/>
      <c r="B212" s="1556"/>
      <c r="C212" s="1556"/>
      <c r="D212" s="272"/>
      <c r="K212" s="1065"/>
      <c r="L212" s="1556"/>
      <c r="M212" s="1556"/>
      <c r="N212" s="1065"/>
      <c r="O212" s="1065"/>
      <c r="P212" s="1065"/>
      <c r="Q212" s="1065"/>
      <c r="R212" s="1556"/>
      <c r="S212" s="1065"/>
      <c r="T212" s="1065"/>
      <c r="U212" s="467"/>
      <c r="V212" s="1065"/>
      <c r="W212" s="1065"/>
      <c r="X212" s="1065"/>
      <c r="Y212" s="1065"/>
      <c r="Z212" s="1065"/>
      <c r="AA212" s="1552"/>
      <c r="AB212" s="489"/>
      <c r="AC212" s="489"/>
      <c r="AD212" s="489"/>
      <c r="AE212" s="489"/>
    </row>
    <row r="213" spans="1:31" s="1561" customFormat="1" ht="11.25" customHeight="1">
      <c r="A213" s="898"/>
      <c r="B213" s="1556"/>
      <c r="C213" s="1556"/>
      <c r="D213" s="272"/>
      <c r="K213" s="1065"/>
      <c r="L213" s="1556"/>
      <c r="M213" s="1556"/>
      <c r="N213" s="1065"/>
      <c r="O213" s="1065"/>
      <c r="P213" s="1065"/>
      <c r="Q213" s="1065"/>
      <c r="R213" s="1556"/>
      <c r="S213" s="1065"/>
      <c r="T213" s="1065"/>
      <c r="U213" s="467"/>
      <c r="V213" s="1065"/>
      <c r="W213" s="1065"/>
      <c r="X213" s="1065"/>
      <c r="Y213" s="1065"/>
      <c r="Z213" s="1065"/>
      <c r="AA213" s="1552"/>
      <c r="AB213" s="489"/>
      <c r="AC213" s="489"/>
      <c r="AD213" s="489"/>
      <c r="AE213" s="489"/>
    </row>
    <row r="214" spans="1:31" s="1561" customFormat="1" ht="11.25" customHeight="1">
      <c r="A214" s="898"/>
      <c r="B214" s="1556"/>
      <c r="C214" s="1556"/>
      <c r="D214" s="272"/>
      <c r="K214" s="1065"/>
      <c r="L214" s="1556"/>
      <c r="M214" s="1556"/>
      <c r="N214" s="1065"/>
      <c r="O214" s="1065"/>
      <c r="P214" s="1065"/>
      <c r="Q214" s="1065"/>
      <c r="R214" s="1556"/>
      <c r="S214" s="1065"/>
      <c r="T214" s="1065"/>
      <c r="U214" s="467"/>
      <c r="V214" s="1065"/>
      <c r="W214" s="1065"/>
      <c r="X214" s="1065"/>
      <c r="Y214" s="1065"/>
      <c r="Z214" s="1065"/>
      <c r="AA214" s="1552"/>
      <c r="AB214" s="489"/>
      <c r="AC214" s="489"/>
      <c r="AD214" s="489"/>
      <c r="AE214" s="489"/>
    </row>
    <row r="215" spans="1:31" s="1561" customFormat="1" ht="11.25" customHeight="1">
      <c r="A215" s="898"/>
      <c r="B215" s="1556"/>
      <c r="C215" s="1556"/>
      <c r="D215" s="272"/>
      <c r="K215" s="1065"/>
      <c r="L215" s="1556"/>
      <c r="M215" s="1556"/>
      <c r="N215" s="1065"/>
      <c r="O215" s="1065"/>
      <c r="P215" s="1065"/>
      <c r="Q215" s="1065"/>
      <c r="R215" s="1556"/>
      <c r="S215" s="1065"/>
      <c r="T215" s="1065"/>
      <c r="U215" s="467"/>
      <c r="V215" s="1065"/>
      <c r="W215" s="1065"/>
      <c r="X215" s="1065"/>
      <c r="Y215" s="1065"/>
      <c r="Z215" s="1065"/>
      <c r="AA215" s="1552"/>
      <c r="AB215" s="489"/>
      <c r="AC215" s="489"/>
      <c r="AD215" s="489"/>
      <c r="AE215" s="489"/>
    </row>
    <row r="216" spans="1:31" s="1561" customFormat="1" ht="11.25" customHeight="1">
      <c r="A216" s="898"/>
      <c r="B216" s="1556"/>
      <c r="C216" s="1556"/>
      <c r="D216" s="272"/>
      <c r="K216" s="1065"/>
      <c r="L216" s="1556"/>
      <c r="M216" s="1556"/>
      <c r="N216" s="1065"/>
      <c r="O216" s="1065"/>
      <c r="P216" s="1065"/>
      <c r="Q216" s="1065"/>
      <c r="R216" s="1556"/>
      <c r="S216" s="1065"/>
      <c r="T216" s="1065"/>
      <c r="U216" s="467"/>
      <c r="V216" s="1065"/>
      <c r="W216" s="1065"/>
      <c r="X216" s="1065"/>
      <c r="Y216" s="1065"/>
      <c r="Z216" s="1065"/>
      <c r="AA216" s="1552"/>
      <c r="AB216" s="489"/>
      <c r="AC216" s="489"/>
      <c r="AD216" s="489"/>
      <c r="AE216" s="489"/>
    </row>
    <row r="217" spans="1:31" s="1561" customFormat="1" ht="11.25" customHeight="1">
      <c r="A217" s="898"/>
      <c r="B217" s="1556"/>
      <c r="C217" s="1556"/>
      <c r="D217" s="272"/>
      <c r="K217" s="1065"/>
      <c r="L217" s="1556"/>
      <c r="M217" s="1556"/>
      <c r="N217" s="1065"/>
      <c r="O217" s="1065"/>
      <c r="P217" s="1065"/>
      <c r="Q217" s="1065"/>
      <c r="R217" s="1556"/>
      <c r="S217" s="1065"/>
      <c r="T217" s="1065"/>
      <c r="U217" s="467"/>
      <c r="V217" s="1065"/>
      <c r="W217" s="1065"/>
      <c r="X217" s="1065"/>
      <c r="Y217" s="1065"/>
      <c r="Z217" s="1065"/>
      <c r="AA217" s="1552"/>
      <c r="AB217" s="489"/>
      <c r="AC217" s="489"/>
      <c r="AD217" s="489"/>
      <c r="AE217" s="489"/>
    </row>
    <row r="218" spans="1:31" s="1561" customFormat="1" ht="11.25" customHeight="1">
      <c r="A218" s="898"/>
      <c r="B218" s="1556"/>
      <c r="C218" s="1556"/>
      <c r="D218" s="272"/>
      <c r="K218" s="1065"/>
      <c r="L218" s="1556"/>
      <c r="M218" s="1556"/>
      <c r="N218" s="1065"/>
      <c r="O218" s="1065"/>
      <c r="P218" s="1065"/>
      <c r="Q218" s="1065"/>
      <c r="R218" s="1556"/>
      <c r="S218" s="1065"/>
      <c r="T218" s="1065"/>
      <c r="U218" s="467"/>
      <c r="V218" s="1065"/>
      <c r="W218" s="1065"/>
      <c r="X218" s="1065"/>
      <c r="Y218" s="1065"/>
      <c r="Z218" s="1065"/>
      <c r="AA218" s="1552"/>
      <c r="AB218" s="489"/>
      <c r="AC218" s="489"/>
      <c r="AD218" s="489"/>
      <c r="AE218" s="489"/>
    </row>
    <row r="219" spans="1:31" s="1561" customFormat="1" ht="11.25" customHeight="1">
      <c r="A219" s="898"/>
      <c r="B219" s="1556"/>
      <c r="C219" s="1556"/>
      <c r="D219" s="272"/>
      <c r="K219" s="1065"/>
      <c r="L219" s="1556"/>
      <c r="M219" s="1556"/>
      <c r="N219" s="1065"/>
      <c r="O219" s="1065"/>
      <c r="P219" s="1065"/>
      <c r="Q219" s="1065"/>
      <c r="R219" s="1556"/>
      <c r="S219" s="1065"/>
      <c r="T219" s="1065"/>
      <c r="U219" s="467"/>
      <c r="V219" s="1065"/>
      <c r="W219" s="1065"/>
      <c r="X219" s="1065"/>
      <c r="Y219" s="1065"/>
      <c r="Z219" s="1065"/>
      <c r="AA219" s="1552"/>
      <c r="AB219" s="489"/>
      <c r="AC219" s="489"/>
      <c r="AD219" s="489"/>
      <c r="AE219" s="489"/>
    </row>
    <row r="220" spans="1:31" s="1561" customFormat="1" ht="11.25" customHeight="1">
      <c r="A220" s="898"/>
      <c r="B220" s="1556"/>
      <c r="C220" s="1556"/>
      <c r="D220" s="272"/>
      <c r="K220" s="1065"/>
      <c r="L220" s="1556"/>
      <c r="M220" s="1556"/>
      <c r="N220" s="1065"/>
      <c r="O220" s="1065"/>
      <c r="P220" s="1065"/>
      <c r="Q220" s="1065"/>
      <c r="R220" s="1556"/>
      <c r="S220" s="1065"/>
      <c r="T220" s="1065"/>
      <c r="U220" s="467"/>
      <c r="V220" s="1065"/>
      <c r="W220" s="1065"/>
      <c r="X220" s="1065"/>
      <c r="Y220" s="1065"/>
      <c r="Z220" s="1065"/>
      <c r="AA220" s="1552"/>
      <c r="AB220" s="489"/>
      <c r="AC220" s="489"/>
      <c r="AD220" s="489"/>
      <c r="AE220" s="489"/>
    </row>
    <row r="221" spans="1:31" s="1561" customFormat="1" ht="11.25" customHeight="1">
      <c r="A221" s="898"/>
      <c r="B221" s="1556"/>
      <c r="C221" s="1556"/>
      <c r="D221" s="272"/>
      <c r="K221" s="1065"/>
      <c r="L221" s="1556"/>
      <c r="M221" s="1556"/>
      <c r="N221" s="1065"/>
      <c r="O221" s="1065"/>
      <c r="P221" s="1065"/>
      <c r="Q221" s="1065"/>
      <c r="R221" s="1556"/>
      <c r="S221" s="1065"/>
      <c r="T221" s="1065"/>
      <c r="U221" s="467"/>
      <c r="V221" s="1065"/>
      <c r="W221" s="1065"/>
      <c r="X221" s="1065"/>
      <c r="Y221" s="1065"/>
      <c r="Z221" s="1065"/>
      <c r="AA221" s="1552"/>
      <c r="AB221" s="489"/>
      <c r="AC221" s="489"/>
      <c r="AD221" s="489"/>
      <c r="AE221" s="489"/>
    </row>
    <row r="222" spans="1:31" s="1561" customFormat="1" ht="11.25" customHeight="1">
      <c r="A222" s="898"/>
      <c r="B222" s="1556"/>
      <c r="C222" s="1556"/>
      <c r="D222" s="272"/>
      <c r="K222" s="1065"/>
      <c r="L222" s="1556"/>
      <c r="M222" s="1556"/>
      <c r="N222" s="1065"/>
      <c r="O222" s="1065"/>
      <c r="P222" s="1065"/>
      <c r="Q222" s="1065"/>
      <c r="R222" s="1556"/>
      <c r="S222" s="1065"/>
      <c r="T222" s="1065"/>
      <c r="U222" s="467"/>
      <c r="V222" s="1065"/>
      <c r="W222" s="1065"/>
      <c r="X222" s="1065"/>
      <c r="Y222" s="1065"/>
      <c r="Z222" s="1065"/>
      <c r="AA222" s="1552"/>
      <c r="AB222" s="489"/>
      <c r="AC222" s="489"/>
      <c r="AD222" s="489"/>
      <c r="AE222" s="489"/>
    </row>
    <row r="223" spans="1:31" s="1561" customFormat="1" ht="11.25" customHeight="1">
      <c r="A223" s="898"/>
      <c r="B223" s="1556"/>
      <c r="C223" s="1556"/>
      <c r="D223" s="272"/>
      <c r="K223" s="1065"/>
      <c r="L223" s="1556"/>
      <c r="M223" s="1556"/>
      <c r="N223" s="1065"/>
      <c r="O223" s="1065"/>
      <c r="P223" s="1065"/>
      <c r="Q223" s="1065"/>
      <c r="R223" s="1556"/>
      <c r="S223" s="1065"/>
      <c r="T223" s="1065"/>
      <c r="U223" s="467"/>
      <c r="V223" s="1065"/>
      <c r="W223" s="1065"/>
      <c r="X223" s="1065"/>
      <c r="Y223" s="1065"/>
      <c r="Z223" s="1065"/>
      <c r="AA223" s="1552"/>
      <c r="AB223" s="489"/>
      <c r="AC223" s="489"/>
      <c r="AD223" s="489"/>
      <c r="AE223" s="489"/>
    </row>
    <row r="224" spans="1:31" s="1561" customFormat="1" ht="11.25" customHeight="1">
      <c r="A224" s="898"/>
      <c r="B224" s="1556"/>
      <c r="C224" s="1556"/>
      <c r="D224" s="272"/>
      <c r="K224" s="1065"/>
      <c r="L224" s="1556"/>
      <c r="M224" s="1556"/>
      <c r="N224" s="1065"/>
      <c r="O224" s="1065"/>
      <c r="P224" s="1065"/>
      <c r="Q224" s="1065"/>
      <c r="R224" s="1556"/>
      <c r="S224" s="1065"/>
      <c r="T224" s="1065"/>
      <c r="U224" s="467"/>
      <c r="V224" s="1065"/>
      <c r="W224" s="1065"/>
      <c r="X224" s="1065"/>
      <c r="Y224" s="1065"/>
      <c r="Z224" s="1065"/>
      <c r="AA224" s="1552"/>
      <c r="AB224" s="489"/>
      <c r="AC224" s="489"/>
      <c r="AD224" s="489"/>
      <c r="AE224" s="489"/>
    </row>
    <row r="225" spans="1:31" s="1561" customFormat="1" ht="11.25" customHeight="1">
      <c r="A225" s="898"/>
      <c r="B225" s="1556"/>
      <c r="C225" s="1556"/>
      <c r="D225" s="272"/>
      <c r="K225" s="1065"/>
      <c r="L225" s="1556"/>
      <c r="M225" s="1556"/>
      <c r="N225" s="1065"/>
      <c r="O225" s="1065"/>
      <c r="P225" s="1065"/>
      <c r="Q225" s="1065"/>
      <c r="R225" s="1556"/>
      <c r="S225" s="1065"/>
      <c r="T225" s="1065"/>
      <c r="U225" s="467"/>
      <c r="V225" s="1065"/>
      <c r="W225" s="1065"/>
      <c r="X225" s="1065"/>
      <c r="Y225" s="1065"/>
      <c r="Z225" s="1065"/>
      <c r="AA225" s="1552"/>
      <c r="AB225" s="489"/>
      <c r="AC225" s="489"/>
      <c r="AD225" s="489"/>
      <c r="AE225" s="489"/>
    </row>
    <row r="226" spans="1:31" s="1561" customFormat="1" ht="11.25" customHeight="1">
      <c r="A226" s="898"/>
      <c r="B226" s="1556"/>
      <c r="C226" s="1556"/>
      <c r="D226" s="272"/>
      <c r="K226" s="1065"/>
      <c r="L226" s="1556"/>
      <c r="M226" s="1556"/>
      <c r="N226" s="1065"/>
      <c r="O226" s="1065"/>
      <c r="P226" s="1065"/>
      <c r="Q226" s="1065"/>
      <c r="R226" s="1556"/>
      <c r="S226" s="1065"/>
      <c r="T226" s="1065"/>
      <c r="U226" s="467"/>
      <c r="V226" s="1065"/>
      <c r="W226" s="1065"/>
      <c r="X226" s="1065"/>
      <c r="Y226" s="1065"/>
      <c r="Z226" s="1065"/>
      <c r="AA226" s="1552"/>
      <c r="AB226" s="489"/>
      <c r="AC226" s="489"/>
      <c r="AD226" s="489"/>
      <c r="AE226" s="489"/>
    </row>
    <row r="227" spans="1:31" s="1561" customFormat="1" ht="11.25" customHeight="1">
      <c r="A227" s="898"/>
      <c r="B227" s="1556"/>
      <c r="C227" s="1556"/>
      <c r="D227" s="272"/>
      <c r="K227" s="1065"/>
      <c r="L227" s="1556"/>
      <c r="M227" s="1556"/>
      <c r="N227" s="1065"/>
      <c r="O227" s="1065"/>
      <c r="P227" s="1065"/>
      <c r="Q227" s="1065"/>
      <c r="R227" s="1556"/>
      <c r="S227" s="1065"/>
      <c r="T227" s="1065"/>
      <c r="U227" s="467"/>
      <c r="V227" s="1065"/>
      <c r="W227" s="1065"/>
      <c r="X227" s="1065"/>
      <c r="Y227" s="1065"/>
      <c r="Z227" s="1065"/>
      <c r="AA227" s="1552"/>
      <c r="AB227" s="489"/>
      <c r="AC227" s="489"/>
      <c r="AD227" s="489"/>
      <c r="AE227" s="489"/>
    </row>
    <row r="228" spans="1:31" s="1561" customFormat="1" ht="11.25" customHeight="1">
      <c r="A228" s="898"/>
      <c r="B228" s="1556"/>
      <c r="C228" s="1556"/>
      <c r="D228" s="272"/>
      <c r="K228" s="1065"/>
      <c r="L228" s="1556"/>
      <c r="M228" s="1556"/>
      <c r="N228" s="1065"/>
      <c r="O228" s="1065"/>
      <c r="P228" s="1065"/>
      <c r="Q228" s="1065"/>
      <c r="R228" s="1556"/>
      <c r="S228" s="1065"/>
      <c r="T228" s="1065"/>
      <c r="U228" s="467"/>
      <c r="V228" s="1065"/>
      <c r="W228" s="1065"/>
      <c r="X228" s="1065"/>
      <c r="Y228" s="1065"/>
      <c r="Z228" s="1065"/>
      <c r="AA228" s="1552"/>
      <c r="AB228" s="489"/>
      <c r="AC228" s="489"/>
      <c r="AD228" s="489"/>
      <c r="AE228" s="489"/>
    </row>
    <row r="229" spans="1:31" s="1561" customFormat="1" ht="11.25" customHeight="1">
      <c r="A229" s="898"/>
      <c r="B229" s="1556"/>
      <c r="C229" s="1556"/>
      <c r="D229" s="272"/>
      <c r="K229" s="1065"/>
      <c r="L229" s="1556"/>
      <c r="M229" s="1556"/>
      <c r="N229" s="1065"/>
      <c r="O229" s="1065"/>
      <c r="P229" s="1065"/>
      <c r="Q229" s="1065"/>
      <c r="R229" s="1556"/>
      <c r="S229" s="1065"/>
      <c r="T229" s="1065"/>
      <c r="U229" s="467"/>
      <c r="V229" s="1065"/>
      <c r="W229" s="1065"/>
      <c r="X229" s="1065"/>
      <c r="Y229" s="1065"/>
      <c r="Z229" s="1065"/>
      <c r="AA229" s="1552"/>
      <c r="AB229" s="489"/>
      <c r="AC229" s="489"/>
      <c r="AD229" s="489"/>
      <c r="AE229" s="489"/>
    </row>
    <row r="230" spans="1:31" s="1561" customFormat="1" ht="11.25" customHeight="1">
      <c r="A230" s="898"/>
      <c r="B230" s="1556"/>
      <c r="C230" s="1556"/>
      <c r="D230" s="272"/>
      <c r="K230" s="1065"/>
      <c r="L230" s="1556"/>
      <c r="M230" s="1556"/>
      <c r="N230" s="1065"/>
      <c r="O230" s="1065"/>
      <c r="P230" s="1065"/>
      <c r="Q230" s="1065"/>
      <c r="R230" s="1556"/>
      <c r="S230" s="1065"/>
      <c r="T230" s="1065"/>
      <c r="U230" s="467"/>
      <c r="V230" s="1065"/>
      <c r="W230" s="1065"/>
      <c r="X230" s="1065"/>
      <c r="Y230" s="1065"/>
      <c r="Z230" s="1065"/>
      <c r="AA230" s="1552"/>
      <c r="AB230" s="489"/>
      <c r="AC230" s="489"/>
      <c r="AD230" s="489"/>
      <c r="AE230" s="489"/>
    </row>
    <row r="231" spans="1:31" s="1561" customFormat="1" ht="11.25" customHeight="1">
      <c r="A231" s="898"/>
      <c r="B231" s="1556"/>
      <c r="C231" s="1556"/>
      <c r="D231" s="272"/>
      <c r="K231" s="1065"/>
      <c r="L231" s="1556"/>
      <c r="M231" s="1556"/>
      <c r="N231" s="1065"/>
      <c r="O231" s="1065"/>
      <c r="P231" s="1065"/>
      <c r="Q231" s="1065"/>
      <c r="R231" s="1556"/>
      <c r="S231" s="1065"/>
      <c r="T231" s="1065"/>
      <c r="U231" s="467"/>
      <c r="V231" s="1065"/>
      <c r="W231" s="1065"/>
      <c r="X231" s="1065"/>
      <c r="Y231" s="1065"/>
      <c r="Z231" s="1065"/>
      <c r="AA231" s="1552"/>
      <c r="AB231" s="489"/>
      <c r="AC231" s="489"/>
      <c r="AD231" s="489"/>
      <c r="AE231" s="489"/>
    </row>
    <row r="232" spans="1:31" s="1561" customFormat="1" ht="11.25" customHeight="1">
      <c r="A232" s="898"/>
      <c r="B232" s="1556"/>
      <c r="C232" s="1556"/>
      <c r="D232" s="272"/>
      <c r="K232" s="1065"/>
      <c r="L232" s="1556"/>
      <c r="M232" s="1556"/>
      <c r="N232" s="1065"/>
      <c r="O232" s="1065"/>
      <c r="P232" s="1065"/>
      <c r="Q232" s="1065"/>
      <c r="R232" s="1556"/>
      <c r="S232" s="1065"/>
      <c r="T232" s="1065"/>
      <c r="U232" s="467"/>
      <c r="V232" s="1065"/>
      <c r="W232" s="1065"/>
      <c r="X232" s="1065"/>
      <c r="Y232" s="1065"/>
      <c r="Z232" s="1065"/>
      <c r="AA232" s="1552"/>
      <c r="AB232" s="489"/>
      <c r="AC232" s="489"/>
      <c r="AD232" s="489"/>
      <c r="AE232" s="489"/>
    </row>
    <row r="233" spans="1:31" s="1561" customFormat="1" ht="11.25" customHeight="1">
      <c r="A233" s="898"/>
      <c r="B233" s="1556"/>
      <c r="C233" s="1556"/>
      <c r="D233" s="272"/>
      <c r="K233" s="1065"/>
      <c r="L233" s="1556"/>
      <c r="M233" s="1556"/>
      <c r="N233" s="1065"/>
      <c r="O233" s="1065"/>
      <c r="P233" s="1065"/>
      <c r="Q233" s="1065"/>
      <c r="R233" s="1556"/>
      <c r="S233" s="1065"/>
      <c r="T233" s="1065"/>
      <c r="U233" s="467"/>
      <c r="V233" s="1065"/>
      <c r="W233" s="1065"/>
      <c r="X233" s="1065"/>
      <c r="Y233" s="1065"/>
      <c r="Z233" s="1065"/>
      <c r="AA233" s="1552"/>
      <c r="AB233" s="489"/>
      <c r="AC233" s="489"/>
      <c r="AD233" s="489"/>
      <c r="AE233" s="489"/>
    </row>
    <row r="234" spans="1:31" s="1561" customFormat="1" ht="11.25" customHeight="1">
      <c r="A234" s="898"/>
      <c r="B234" s="1556"/>
      <c r="C234" s="1556"/>
      <c r="D234" s="272"/>
      <c r="K234" s="1065"/>
      <c r="L234" s="1556"/>
      <c r="M234" s="1556"/>
      <c r="N234" s="1065"/>
      <c r="O234" s="1065"/>
      <c r="P234" s="1065"/>
      <c r="Q234" s="1065"/>
      <c r="R234" s="1556"/>
      <c r="S234" s="1065"/>
      <c r="T234" s="1065"/>
      <c r="U234" s="467"/>
      <c r="V234" s="1065"/>
      <c r="W234" s="1065"/>
      <c r="X234" s="1065"/>
      <c r="Y234" s="1065"/>
      <c r="Z234" s="1065"/>
      <c r="AA234" s="1552"/>
      <c r="AB234" s="489"/>
      <c r="AC234" s="489"/>
      <c r="AD234" s="489"/>
      <c r="AE234" s="489"/>
    </row>
    <row r="235" spans="1:31" s="1561" customFormat="1" ht="11.25" customHeight="1">
      <c r="A235" s="898"/>
      <c r="B235" s="1556"/>
      <c r="C235" s="1556"/>
      <c r="D235" s="272"/>
      <c r="K235" s="1065"/>
      <c r="L235" s="1556"/>
      <c r="M235" s="1556"/>
      <c r="N235" s="1065"/>
      <c r="O235" s="1065"/>
      <c r="P235" s="1065"/>
      <c r="Q235" s="1065"/>
      <c r="R235" s="1556"/>
      <c r="S235" s="1065"/>
      <c r="T235" s="1065"/>
      <c r="U235" s="467"/>
      <c r="V235" s="1065"/>
      <c r="W235" s="1065"/>
      <c r="X235" s="1065"/>
      <c r="Y235" s="1065"/>
      <c r="Z235" s="1065"/>
      <c r="AA235" s="1552"/>
      <c r="AB235" s="489"/>
      <c r="AC235" s="489"/>
      <c r="AD235" s="489"/>
      <c r="AE235" s="489"/>
    </row>
    <row r="236" spans="1:31" s="1561" customFormat="1" ht="11.25" customHeight="1">
      <c r="A236" s="898"/>
      <c r="B236" s="1556"/>
      <c r="C236" s="1556"/>
      <c r="D236" s="272"/>
      <c r="K236" s="1065"/>
      <c r="L236" s="1556"/>
      <c r="M236" s="1556"/>
      <c r="N236" s="1065"/>
      <c r="O236" s="1065"/>
      <c r="P236" s="1065"/>
      <c r="Q236" s="1065"/>
      <c r="R236" s="1556"/>
      <c r="S236" s="1065"/>
      <c r="T236" s="1065"/>
      <c r="U236" s="467"/>
      <c r="V236" s="1065"/>
      <c r="W236" s="1065"/>
      <c r="X236" s="1065"/>
      <c r="Y236" s="1065"/>
      <c r="Z236" s="1065"/>
      <c r="AA236" s="1552"/>
      <c r="AB236" s="489"/>
      <c r="AC236" s="489"/>
      <c r="AD236" s="489"/>
      <c r="AE236" s="489"/>
    </row>
    <row r="237" spans="1:31" s="1561" customFormat="1" ht="11.25" customHeight="1">
      <c r="A237" s="898"/>
      <c r="B237" s="1556"/>
      <c r="C237" s="1556"/>
      <c r="D237" s="272"/>
      <c r="K237" s="1065"/>
      <c r="L237" s="1556"/>
      <c r="M237" s="1556"/>
      <c r="N237" s="1065"/>
      <c r="O237" s="1065"/>
      <c r="P237" s="1065"/>
      <c r="Q237" s="1065"/>
      <c r="R237" s="1556"/>
      <c r="S237" s="1065"/>
      <c r="T237" s="1065"/>
      <c r="U237" s="467"/>
      <c r="V237" s="1065"/>
      <c r="W237" s="1065"/>
      <c r="X237" s="1065"/>
      <c r="Y237" s="1065"/>
      <c r="Z237" s="1065"/>
      <c r="AA237" s="1552"/>
      <c r="AB237" s="489"/>
      <c r="AC237" s="489"/>
      <c r="AD237" s="489"/>
      <c r="AE237" s="489"/>
    </row>
    <row r="238" spans="1:31" s="1561" customFormat="1" ht="11.25" customHeight="1">
      <c r="A238" s="898"/>
      <c r="B238" s="1556"/>
      <c r="C238" s="1556"/>
      <c r="D238" s="272"/>
      <c r="K238" s="1065"/>
      <c r="L238" s="1556"/>
      <c r="M238" s="1556"/>
      <c r="N238" s="1065"/>
      <c r="O238" s="1065"/>
      <c r="P238" s="1065"/>
      <c r="Q238" s="1065"/>
      <c r="R238" s="1556"/>
      <c r="S238" s="1065"/>
      <c r="T238" s="1065"/>
      <c r="U238" s="467"/>
      <c r="V238" s="1065"/>
      <c r="W238" s="1065"/>
      <c r="X238" s="1065"/>
      <c r="Y238" s="1065"/>
      <c r="Z238" s="1065"/>
      <c r="AA238" s="1552"/>
      <c r="AB238" s="489"/>
      <c r="AC238" s="489"/>
      <c r="AD238" s="489"/>
      <c r="AE238" s="489"/>
    </row>
    <row r="239" spans="1:31" s="1561" customFormat="1" ht="11.25" customHeight="1">
      <c r="A239" s="898"/>
      <c r="B239" s="1556"/>
      <c r="C239" s="1556"/>
      <c r="D239" s="272"/>
      <c r="K239" s="1065"/>
      <c r="L239" s="1556"/>
      <c r="M239" s="1556"/>
      <c r="N239" s="1065"/>
      <c r="O239" s="1065"/>
      <c r="P239" s="1065"/>
      <c r="Q239" s="1065"/>
      <c r="R239" s="1556"/>
      <c r="S239" s="1065"/>
      <c r="T239" s="1065"/>
      <c r="U239" s="467"/>
      <c r="V239" s="1065"/>
      <c r="W239" s="1065"/>
      <c r="X239" s="1065"/>
      <c r="Y239" s="1065"/>
      <c r="Z239" s="1065"/>
      <c r="AA239" s="1552"/>
      <c r="AB239" s="489"/>
      <c r="AC239" s="489"/>
      <c r="AD239" s="489"/>
      <c r="AE239" s="489"/>
    </row>
    <row r="240" spans="1:31" s="1561" customFormat="1" ht="11.25" customHeight="1">
      <c r="A240" s="898"/>
      <c r="B240" s="1556"/>
      <c r="C240" s="1556"/>
      <c r="D240" s="272"/>
      <c r="K240" s="1065"/>
      <c r="L240" s="1556"/>
      <c r="M240" s="1556"/>
      <c r="N240" s="1065"/>
      <c r="O240" s="1065"/>
      <c r="P240" s="1065"/>
      <c r="Q240" s="1065"/>
      <c r="R240" s="1556"/>
      <c r="S240" s="1065"/>
      <c r="T240" s="1065"/>
      <c r="U240" s="467"/>
      <c r="V240" s="1065"/>
      <c r="W240" s="1065"/>
      <c r="X240" s="1065"/>
      <c r="Y240" s="1065"/>
      <c r="Z240" s="1065"/>
      <c r="AA240" s="1552"/>
      <c r="AB240" s="489"/>
      <c r="AC240" s="489"/>
      <c r="AD240" s="489"/>
      <c r="AE240" s="489"/>
    </row>
    <row r="241" spans="1:31" s="1561" customFormat="1" ht="11.25" customHeight="1">
      <c r="A241" s="898"/>
      <c r="B241" s="1556"/>
      <c r="C241" s="1556"/>
      <c r="D241" s="272"/>
      <c r="K241" s="1065"/>
      <c r="L241" s="1556"/>
      <c r="M241" s="1556"/>
      <c r="N241" s="1065"/>
      <c r="O241" s="1065"/>
      <c r="P241" s="1065"/>
      <c r="Q241" s="1065"/>
      <c r="R241" s="1556"/>
      <c r="S241" s="1065"/>
      <c r="T241" s="1065"/>
      <c r="U241" s="467"/>
      <c r="V241" s="1065"/>
      <c r="W241" s="1065"/>
      <c r="X241" s="1065"/>
      <c r="Y241" s="1065"/>
      <c r="Z241" s="1065"/>
      <c r="AA241" s="1552"/>
      <c r="AB241" s="489"/>
      <c r="AC241" s="489"/>
      <c r="AD241" s="489"/>
      <c r="AE241" s="489"/>
    </row>
    <row r="242" spans="1:31" s="1561" customFormat="1" ht="11.25" customHeight="1">
      <c r="A242" s="898"/>
      <c r="B242" s="1556"/>
      <c r="C242" s="1556"/>
      <c r="D242" s="272"/>
      <c r="K242" s="1065"/>
      <c r="L242" s="1556"/>
      <c r="M242" s="1556"/>
      <c r="N242" s="1065"/>
      <c r="O242" s="1065"/>
      <c r="P242" s="1065"/>
      <c r="Q242" s="1065"/>
      <c r="R242" s="1556"/>
      <c r="S242" s="1065"/>
      <c r="T242" s="1065"/>
      <c r="U242" s="467"/>
      <c r="V242" s="1065"/>
      <c r="W242" s="1065"/>
      <c r="X242" s="1065"/>
      <c r="Y242" s="1065"/>
      <c r="Z242" s="1065"/>
      <c r="AA242" s="1552"/>
      <c r="AB242" s="489"/>
      <c r="AC242" s="489"/>
      <c r="AD242" s="489"/>
      <c r="AE242" s="489"/>
    </row>
    <row r="243" spans="1:31" s="1561" customFormat="1" ht="11.25" customHeight="1">
      <c r="A243" s="898"/>
      <c r="B243" s="1556"/>
      <c r="C243" s="1556"/>
      <c r="D243" s="272"/>
      <c r="K243" s="1065"/>
      <c r="L243" s="1556"/>
      <c r="M243" s="1556"/>
      <c r="N243" s="1065"/>
      <c r="O243" s="1065"/>
      <c r="P243" s="1065"/>
      <c r="Q243" s="1065"/>
      <c r="R243" s="1556"/>
      <c r="S243" s="1065"/>
      <c r="T243" s="1065"/>
      <c r="U243" s="467"/>
      <c r="V243" s="1065"/>
      <c r="W243" s="1065"/>
      <c r="X243" s="1065"/>
      <c r="Y243" s="1065"/>
      <c r="Z243" s="1065"/>
      <c r="AA243" s="1552"/>
      <c r="AB243" s="489"/>
      <c r="AC243" s="489"/>
      <c r="AD243" s="489"/>
      <c r="AE243" s="489"/>
    </row>
    <row r="244" spans="1:31" s="1561" customFormat="1" ht="11.25" customHeight="1">
      <c r="A244" s="898"/>
      <c r="B244" s="1556"/>
      <c r="C244" s="1556"/>
      <c r="D244" s="272"/>
      <c r="K244" s="1065"/>
      <c r="L244" s="1556"/>
      <c r="M244" s="1556"/>
      <c r="N244" s="1065"/>
      <c r="O244" s="1065"/>
      <c r="P244" s="1065"/>
      <c r="Q244" s="1065"/>
      <c r="R244" s="1556"/>
      <c r="S244" s="1065"/>
      <c r="T244" s="1065"/>
      <c r="U244" s="467"/>
      <c r="V244" s="1065"/>
      <c r="W244" s="1065"/>
      <c r="X244" s="1065"/>
      <c r="Y244" s="1065"/>
      <c r="Z244" s="1065"/>
      <c r="AA244" s="1552"/>
      <c r="AB244" s="489"/>
      <c r="AC244" s="489"/>
      <c r="AD244" s="489"/>
      <c r="AE244" s="489"/>
    </row>
    <row r="245" spans="1:31" s="1561" customFormat="1" ht="11.25" customHeight="1">
      <c r="A245" s="898"/>
      <c r="B245" s="1556"/>
      <c r="C245" s="1556"/>
      <c r="D245" s="272"/>
      <c r="K245" s="1065"/>
      <c r="L245" s="1556"/>
      <c r="M245" s="1556"/>
      <c r="N245" s="1065"/>
      <c r="O245" s="1065"/>
      <c r="P245" s="1065"/>
      <c r="Q245" s="1065"/>
      <c r="R245" s="1556"/>
      <c r="S245" s="1065"/>
      <c r="T245" s="1065"/>
      <c r="U245" s="467"/>
      <c r="V245" s="1065"/>
      <c r="W245" s="1065"/>
      <c r="X245" s="1065"/>
      <c r="Y245" s="1065"/>
      <c r="Z245" s="1065"/>
      <c r="AA245" s="1552"/>
      <c r="AB245" s="489"/>
      <c r="AC245" s="489"/>
      <c r="AD245" s="489"/>
      <c r="AE245" s="489"/>
    </row>
    <row r="246" spans="1:31" s="1561" customFormat="1" ht="11.25" customHeight="1">
      <c r="A246" s="898"/>
      <c r="B246" s="1556"/>
      <c r="C246" s="1556"/>
      <c r="D246" s="272"/>
      <c r="K246" s="1065"/>
      <c r="L246" s="1556"/>
      <c r="M246" s="1556"/>
      <c r="N246" s="1065"/>
      <c r="O246" s="1065"/>
      <c r="P246" s="1065"/>
      <c r="Q246" s="1065"/>
      <c r="R246" s="1556"/>
      <c r="S246" s="1065"/>
      <c r="T246" s="1065"/>
      <c r="U246" s="467"/>
      <c r="V246" s="1065"/>
      <c r="W246" s="1065"/>
      <c r="X246" s="1065"/>
      <c r="Y246" s="1065"/>
      <c r="Z246" s="1065"/>
      <c r="AA246" s="1552"/>
      <c r="AB246" s="489"/>
      <c r="AC246" s="489"/>
      <c r="AD246" s="489"/>
      <c r="AE246" s="489"/>
    </row>
    <row r="247" spans="1:31" s="1561" customFormat="1" ht="11.25" customHeight="1">
      <c r="A247" s="898"/>
      <c r="B247" s="1556"/>
      <c r="C247" s="1556"/>
      <c r="D247" s="272"/>
      <c r="K247" s="1065"/>
      <c r="L247" s="1556"/>
      <c r="M247" s="1556"/>
      <c r="N247" s="1065"/>
      <c r="O247" s="1065"/>
      <c r="P247" s="1065"/>
      <c r="Q247" s="1065"/>
      <c r="R247" s="1556"/>
      <c r="S247" s="1065"/>
      <c r="T247" s="1065"/>
      <c r="U247" s="467"/>
      <c r="V247" s="1065"/>
      <c r="W247" s="1065"/>
      <c r="X247" s="1065"/>
      <c r="Y247" s="1065"/>
      <c r="Z247" s="1065"/>
      <c r="AA247" s="1552"/>
      <c r="AB247" s="489"/>
      <c r="AC247" s="489"/>
      <c r="AD247" s="489"/>
      <c r="AE247" s="489"/>
    </row>
    <row r="248" spans="1:31" s="1561" customFormat="1" ht="11.25" customHeight="1">
      <c r="A248" s="898"/>
      <c r="B248" s="1556"/>
      <c r="C248" s="1556"/>
      <c r="D248" s="272"/>
      <c r="K248" s="1065"/>
      <c r="L248" s="1556"/>
      <c r="M248" s="1556"/>
      <c r="N248" s="1065"/>
      <c r="O248" s="1065"/>
      <c r="P248" s="1065"/>
      <c r="Q248" s="1065"/>
      <c r="R248" s="1556"/>
      <c r="S248" s="1065"/>
      <c r="T248" s="1065"/>
      <c r="U248" s="467"/>
      <c r="V248" s="1065"/>
      <c r="W248" s="1065"/>
      <c r="X248" s="1065"/>
      <c r="Y248" s="1065"/>
      <c r="Z248" s="1065"/>
      <c r="AA248" s="1552"/>
      <c r="AB248" s="489"/>
      <c r="AC248" s="489"/>
      <c r="AD248" s="489"/>
      <c r="AE248" s="489"/>
    </row>
    <row r="249" spans="1:31" s="1561" customFormat="1" ht="11.25" customHeight="1">
      <c r="A249" s="898"/>
      <c r="B249" s="1556"/>
      <c r="C249" s="1556"/>
      <c r="D249" s="272"/>
      <c r="K249" s="1065"/>
      <c r="L249" s="1556"/>
      <c r="M249" s="1556"/>
      <c r="N249" s="1065"/>
      <c r="O249" s="1065"/>
      <c r="P249" s="1065"/>
      <c r="Q249" s="1065"/>
      <c r="R249" s="1556"/>
      <c r="S249" s="1065"/>
      <c r="T249" s="1065"/>
      <c r="U249" s="467"/>
      <c r="V249" s="1065"/>
      <c r="W249" s="1065"/>
      <c r="X249" s="1065"/>
      <c r="Y249" s="1065"/>
      <c r="Z249" s="1065"/>
      <c r="AA249" s="1552"/>
      <c r="AB249" s="489"/>
      <c r="AC249" s="489"/>
      <c r="AD249" s="489"/>
      <c r="AE249" s="489"/>
    </row>
    <row r="250" spans="1:31" s="1561" customFormat="1" ht="11.25" customHeight="1">
      <c r="A250" s="898"/>
      <c r="B250" s="1556"/>
      <c r="C250" s="1556"/>
      <c r="D250" s="272"/>
      <c r="K250" s="1065"/>
      <c r="L250" s="1556"/>
      <c r="M250" s="1556"/>
      <c r="N250" s="1065"/>
      <c r="O250" s="1065"/>
      <c r="P250" s="1065"/>
      <c r="Q250" s="1065"/>
      <c r="R250" s="1556"/>
      <c r="S250" s="1065"/>
      <c r="T250" s="1065"/>
      <c r="U250" s="467"/>
      <c r="V250" s="1065"/>
      <c r="W250" s="1065"/>
      <c r="X250" s="1065"/>
      <c r="Y250" s="1065"/>
      <c r="Z250" s="1065"/>
      <c r="AA250" s="1552"/>
      <c r="AB250" s="489"/>
      <c r="AC250" s="489"/>
      <c r="AD250" s="489"/>
      <c r="AE250" s="489"/>
    </row>
    <row r="251" spans="1:31" s="1561" customFormat="1" ht="11.25" customHeight="1">
      <c r="A251" s="898"/>
      <c r="B251" s="1556"/>
      <c r="C251" s="1556"/>
      <c r="D251" s="272"/>
      <c r="K251" s="1065"/>
      <c r="L251" s="1556"/>
      <c r="M251" s="1556"/>
      <c r="N251" s="1065"/>
      <c r="O251" s="1065"/>
      <c r="P251" s="1065"/>
      <c r="Q251" s="1065"/>
      <c r="R251" s="1556"/>
      <c r="S251" s="1065"/>
      <c r="T251" s="1065"/>
      <c r="U251" s="467"/>
      <c r="V251" s="1065"/>
      <c r="W251" s="1065"/>
      <c r="X251" s="1065"/>
      <c r="Y251" s="1065"/>
      <c r="Z251" s="1065"/>
      <c r="AA251" s="1552"/>
      <c r="AB251" s="489"/>
      <c r="AC251" s="489"/>
      <c r="AD251" s="489"/>
      <c r="AE251" s="489"/>
    </row>
    <row r="252" spans="1:31" s="1561" customFormat="1" ht="11.25" customHeight="1">
      <c r="A252" s="898"/>
      <c r="B252" s="1556"/>
      <c r="C252" s="1556"/>
      <c r="D252" s="272"/>
      <c r="K252" s="1065"/>
      <c r="L252" s="1556"/>
      <c r="M252" s="1556"/>
      <c r="N252" s="1065"/>
      <c r="O252" s="1065"/>
      <c r="P252" s="1065"/>
      <c r="Q252" s="1065"/>
      <c r="R252" s="1556"/>
      <c r="S252" s="1065"/>
      <c r="T252" s="1065"/>
      <c r="U252" s="467"/>
      <c r="V252" s="1065"/>
      <c r="W252" s="1065"/>
      <c r="X252" s="1065"/>
      <c r="Y252" s="1065"/>
      <c r="Z252" s="1065"/>
      <c r="AA252" s="1552"/>
      <c r="AB252" s="489"/>
      <c r="AC252" s="489"/>
      <c r="AD252" s="489"/>
      <c r="AE252" s="489"/>
    </row>
    <row r="253" spans="1:31" s="1561" customFormat="1" ht="11.25" customHeight="1">
      <c r="A253" s="898"/>
      <c r="B253" s="1556"/>
      <c r="C253" s="1556"/>
      <c r="D253" s="272"/>
      <c r="K253" s="1065"/>
      <c r="L253" s="1556"/>
      <c r="M253" s="1556"/>
      <c r="N253" s="1065"/>
      <c r="O253" s="1065"/>
      <c r="P253" s="1065"/>
      <c r="Q253" s="1065"/>
      <c r="R253" s="1556"/>
      <c r="S253" s="1065"/>
      <c r="T253" s="1065"/>
      <c r="U253" s="467"/>
      <c r="V253" s="1065"/>
      <c r="W253" s="1065"/>
      <c r="X253" s="1065"/>
      <c r="Y253" s="1065"/>
      <c r="Z253" s="1065"/>
      <c r="AA253" s="1552"/>
      <c r="AB253" s="489"/>
      <c r="AC253" s="489"/>
      <c r="AD253" s="489"/>
      <c r="AE253" s="489"/>
    </row>
    <row r="254" spans="1:31" s="1561" customFormat="1" ht="11.25" customHeight="1">
      <c r="A254" s="898"/>
      <c r="B254" s="1556"/>
      <c r="C254" s="1556"/>
      <c r="D254" s="272"/>
      <c r="K254" s="1065"/>
      <c r="L254" s="1556"/>
      <c r="M254" s="1556"/>
      <c r="N254" s="1065"/>
      <c r="O254" s="1065"/>
      <c r="P254" s="1065"/>
      <c r="Q254" s="1065"/>
      <c r="R254" s="1556"/>
      <c r="S254" s="1065"/>
      <c r="T254" s="1065"/>
      <c r="U254" s="467"/>
      <c r="V254" s="1065"/>
      <c r="W254" s="1065"/>
      <c r="X254" s="1065"/>
      <c r="Y254" s="1065"/>
      <c r="Z254" s="1065"/>
      <c r="AA254" s="1552"/>
      <c r="AB254" s="489"/>
      <c r="AC254" s="489"/>
      <c r="AD254" s="489"/>
      <c r="AE254" s="489"/>
    </row>
    <row r="255" spans="1:31" s="1561" customFormat="1" ht="11.25" customHeight="1">
      <c r="A255" s="898"/>
      <c r="B255" s="1556"/>
      <c r="C255" s="1556"/>
      <c r="D255" s="272"/>
      <c r="K255" s="1065"/>
      <c r="L255" s="1556"/>
      <c r="M255" s="1556"/>
      <c r="N255" s="1065"/>
      <c r="O255" s="1065"/>
      <c r="P255" s="1065"/>
      <c r="Q255" s="1065"/>
      <c r="R255" s="1556"/>
      <c r="S255" s="1065"/>
      <c r="T255" s="1065"/>
      <c r="U255" s="467"/>
      <c r="V255" s="1065"/>
      <c r="W255" s="1065"/>
      <c r="X255" s="1065"/>
      <c r="Y255" s="1065"/>
      <c r="Z255" s="1065"/>
      <c r="AA255" s="1552"/>
      <c r="AB255" s="489"/>
      <c r="AC255" s="489"/>
      <c r="AD255" s="489"/>
      <c r="AE255" s="489"/>
    </row>
    <row r="256" spans="1:31" s="1561" customFormat="1" ht="11.25" customHeight="1">
      <c r="A256" s="898"/>
      <c r="B256" s="1556"/>
      <c r="C256" s="1556"/>
      <c r="D256" s="272"/>
      <c r="K256" s="1065"/>
      <c r="L256" s="1556"/>
      <c r="M256" s="1556"/>
      <c r="N256" s="1065"/>
      <c r="O256" s="1065"/>
      <c r="P256" s="1065"/>
      <c r="Q256" s="1065"/>
      <c r="R256" s="1556"/>
      <c r="S256" s="1065"/>
      <c r="T256" s="1065"/>
      <c r="U256" s="467"/>
      <c r="V256" s="1065"/>
      <c r="W256" s="1065"/>
      <c r="X256" s="1065"/>
      <c r="Y256" s="1065"/>
      <c r="Z256" s="1065"/>
      <c r="AA256" s="1552"/>
      <c r="AB256" s="489"/>
      <c r="AC256" s="489"/>
      <c r="AD256" s="489"/>
      <c r="AE256" s="489"/>
    </row>
    <row r="257" spans="1:31" s="1561" customFormat="1" ht="11.25" customHeight="1">
      <c r="A257" s="898"/>
      <c r="B257" s="1556"/>
      <c r="C257" s="1556"/>
      <c r="D257" s="272"/>
      <c r="K257" s="1065"/>
      <c r="L257" s="1556"/>
      <c r="M257" s="1556"/>
      <c r="N257" s="1065"/>
      <c r="O257" s="1065"/>
      <c r="P257" s="1065"/>
      <c r="Q257" s="1065"/>
      <c r="R257" s="1556"/>
      <c r="S257" s="1065"/>
      <c r="T257" s="1065"/>
      <c r="U257" s="467"/>
      <c r="V257" s="1065"/>
      <c r="W257" s="1065"/>
      <c r="X257" s="1065"/>
      <c r="Y257" s="1065"/>
      <c r="Z257" s="1065"/>
      <c r="AA257" s="1552"/>
      <c r="AB257" s="489"/>
      <c r="AC257" s="489"/>
      <c r="AD257" s="489"/>
      <c r="AE257" s="489"/>
    </row>
    <row r="258" spans="1:31" s="1561" customFormat="1" ht="11.25" customHeight="1">
      <c r="A258" s="898"/>
      <c r="B258" s="1556"/>
      <c r="C258" s="1556"/>
      <c r="D258" s="272"/>
      <c r="K258" s="1065"/>
      <c r="L258" s="1556"/>
      <c r="M258" s="1556"/>
      <c r="N258" s="1065"/>
      <c r="O258" s="1065"/>
      <c r="P258" s="1065"/>
      <c r="Q258" s="1065"/>
      <c r="R258" s="1556"/>
      <c r="S258" s="1065"/>
      <c r="T258" s="1065"/>
      <c r="U258" s="467"/>
      <c r="V258" s="1065"/>
      <c r="W258" s="1065"/>
      <c r="X258" s="1065"/>
      <c r="Y258" s="1065"/>
      <c r="Z258" s="1065"/>
      <c r="AA258" s="1552"/>
      <c r="AB258" s="489"/>
      <c r="AC258" s="489"/>
      <c r="AD258" s="489"/>
      <c r="AE258" s="489"/>
    </row>
    <row r="259" spans="1:31" s="1561" customFormat="1" ht="11.25" customHeight="1">
      <c r="A259" s="898"/>
      <c r="B259" s="1556"/>
      <c r="C259" s="1556"/>
      <c r="D259" s="272"/>
      <c r="K259" s="1065"/>
      <c r="L259" s="1556"/>
      <c r="M259" s="1556"/>
      <c r="N259" s="1065"/>
      <c r="O259" s="1065"/>
      <c r="P259" s="1065"/>
      <c r="Q259" s="1065"/>
      <c r="R259" s="1556"/>
      <c r="S259" s="1065"/>
      <c r="T259" s="1065"/>
      <c r="U259" s="467"/>
      <c r="V259" s="1065"/>
      <c r="W259" s="1065"/>
      <c r="X259" s="1065"/>
      <c r="Y259" s="1065"/>
      <c r="Z259" s="1065"/>
      <c r="AA259" s="1552"/>
      <c r="AB259" s="489"/>
      <c r="AC259" s="489"/>
      <c r="AD259" s="489"/>
      <c r="AE259" s="489"/>
    </row>
    <row r="260" spans="1:31" s="1561" customFormat="1" ht="11.25" customHeight="1">
      <c r="A260" s="898"/>
      <c r="B260" s="1556"/>
      <c r="C260" s="1556"/>
      <c r="D260" s="272"/>
      <c r="K260" s="1065"/>
      <c r="L260" s="1556"/>
      <c r="M260" s="1556"/>
      <c r="N260" s="1065"/>
      <c r="O260" s="1065"/>
      <c r="P260" s="1065"/>
      <c r="Q260" s="1065"/>
      <c r="R260" s="1556"/>
      <c r="S260" s="1065"/>
      <c r="T260" s="1065"/>
      <c r="U260" s="467"/>
      <c r="V260" s="1065"/>
      <c r="W260" s="1065"/>
      <c r="X260" s="1065"/>
      <c r="Y260" s="1065"/>
      <c r="Z260" s="1065"/>
      <c r="AA260" s="1552"/>
      <c r="AB260" s="489"/>
      <c r="AC260" s="489"/>
      <c r="AD260" s="489"/>
      <c r="AE260" s="489"/>
    </row>
    <row r="261" spans="1:31" s="1561" customFormat="1" ht="11.25" customHeight="1">
      <c r="A261" s="898"/>
      <c r="B261" s="1556"/>
      <c r="C261" s="1556"/>
      <c r="D261" s="272"/>
      <c r="K261" s="1065"/>
      <c r="L261" s="1556"/>
      <c r="M261" s="1556"/>
      <c r="N261" s="1065"/>
      <c r="O261" s="1065"/>
      <c r="P261" s="1065"/>
      <c r="Q261" s="1065"/>
      <c r="R261" s="1556"/>
      <c r="S261" s="1065"/>
      <c r="T261" s="1065"/>
      <c r="U261" s="467"/>
      <c r="V261" s="1065"/>
      <c r="W261" s="1065"/>
      <c r="X261" s="1065"/>
      <c r="Y261" s="1065"/>
      <c r="Z261" s="1065"/>
      <c r="AA261" s="1552"/>
      <c r="AB261" s="489"/>
      <c r="AC261" s="489"/>
      <c r="AD261" s="489"/>
      <c r="AE261" s="489"/>
    </row>
    <row r="262" spans="1:31" s="1561" customFormat="1" ht="11.25" customHeight="1">
      <c r="A262" s="898"/>
      <c r="B262" s="1556"/>
      <c r="C262" s="1556"/>
      <c r="D262" s="272"/>
      <c r="K262" s="1065"/>
      <c r="L262" s="1556"/>
      <c r="M262" s="1556"/>
      <c r="N262" s="1065"/>
      <c r="O262" s="1065"/>
      <c r="P262" s="1065"/>
      <c r="Q262" s="1065"/>
      <c r="R262" s="1556"/>
      <c r="S262" s="1065"/>
      <c r="T262" s="1065"/>
      <c r="U262" s="467"/>
      <c r="V262" s="1065"/>
      <c r="W262" s="1065"/>
      <c r="X262" s="1065"/>
      <c r="Y262" s="1065"/>
      <c r="Z262" s="1065"/>
      <c r="AA262" s="1552"/>
      <c r="AB262" s="489"/>
      <c r="AC262" s="489"/>
      <c r="AD262" s="489"/>
      <c r="AE262" s="489"/>
    </row>
    <row r="263" spans="1:31" s="1561" customFormat="1" ht="11.25" customHeight="1">
      <c r="A263" s="898"/>
      <c r="B263" s="1556"/>
      <c r="C263" s="1556"/>
      <c r="D263" s="272"/>
      <c r="K263" s="1065"/>
      <c r="L263" s="1556"/>
      <c r="M263" s="1556"/>
      <c r="N263" s="1065"/>
      <c r="O263" s="1065"/>
      <c r="P263" s="1065"/>
      <c r="Q263" s="1065"/>
      <c r="R263" s="1556"/>
      <c r="S263" s="1065"/>
      <c r="T263" s="1065"/>
      <c r="U263" s="467"/>
      <c r="V263" s="1065"/>
      <c r="W263" s="1065"/>
      <c r="X263" s="1065"/>
      <c r="Y263" s="1065"/>
      <c r="Z263" s="1065"/>
      <c r="AA263" s="1552"/>
      <c r="AB263" s="489"/>
      <c r="AC263" s="489"/>
      <c r="AD263" s="489"/>
      <c r="AE263" s="489"/>
    </row>
    <row r="264" spans="1:31" s="1561" customFormat="1" ht="11.25" customHeight="1">
      <c r="A264" s="898"/>
      <c r="B264" s="1556"/>
      <c r="C264" s="1556"/>
      <c r="D264" s="272"/>
      <c r="K264" s="1065"/>
      <c r="L264" s="1556"/>
      <c r="M264" s="1556"/>
      <c r="N264" s="1065"/>
      <c r="O264" s="1065"/>
      <c r="P264" s="1065"/>
      <c r="Q264" s="1065"/>
      <c r="R264" s="1556"/>
      <c r="S264" s="1065"/>
      <c r="T264" s="1065"/>
      <c r="U264" s="467"/>
      <c r="V264" s="1065"/>
      <c r="W264" s="1065"/>
      <c r="X264" s="1065"/>
      <c r="Y264" s="1065"/>
      <c r="Z264" s="1065"/>
      <c r="AA264" s="1552"/>
      <c r="AB264" s="489"/>
      <c r="AC264" s="489"/>
      <c r="AD264" s="489"/>
      <c r="AE264" s="489"/>
    </row>
    <row r="265" spans="1:31" s="1561" customFormat="1" ht="11.25" customHeight="1">
      <c r="A265" s="898"/>
      <c r="B265" s="1556"/>
      <c r="C265" s="1556"/>
      <c r="D265" s="272"/>
      <c r="K265" s="1065"/>
      <c r="L265" s="1556"/>
      <c r="M265" s="1556"/>
      <c r="N265" s="1065"/>
      <c r="O265" s="1065"/>
      <c r="P265" s="1065"/>
      <c r="Q265" s="1065"/>
      <c r="R265" s="1556"/>
      <c r="S265" s="1065"/>
      <c r="T265" s="1065"/>
      <c r="U265" s="467"/>
      <c r="V265" s="1065"/>
      <c r="W265" s="1065"/>
      <c r="X265" s="1065"/>
      <c r="Y265" s="1065"/>
      <c r="Z265" s="1065"/>
      <c r="AA265" s="1552"/>
      <c r="AB265" s="489"/>
      <c r="AC265" s="489"/>
      <c r="AD265" s="489"/>
      <c r="AE265" s="489"/>
    </row>
    <row r="266" spans="1:31" s="1561" customFormat="1" ht="11.25" customHeight="1">
      <c r="A266" s="898"/>
      <c r="B266" s="1556"/>
      <c r="C266" s="1556"/>
      <c r="D266" s="272"/>
      <c r="K266" s="1065"/>
      <c r="L266" s="1556"/>
      <c r="M266" s="1556"/>
      <c r="N266" s="1065"/>
      <c r="O266" s="1065"/>
      <c r="P266" s="1065"/>
      <c r="Q266" s="1065"/>
      <c r="R266" s="1556"/>
      <c r="S266" s="1065"/>
      <c r="T266" s="1065"/>
      <c r="U266" s="467"/>
      <c r="V266" s="1065"/>
      <c r="W266" s="1065"/>
      <c r="X266" s="1065"/>
      <c r="Y266" s="1065"/>
      <c r="Z266" s="1065"/>
      <c r="AA266" s="1552"/>
      <c r="AB266" s="489"/>
      <c r="AC266" s="489"/>
      <c r="AD266" s="489"/>
      <c r="AE266" s="489"/>
    </row>
    <row r="267" spans="1:31" s="1561" customFormat="1" ht="11.25" customHeight="1">
      <c r="A267" s="898"/>
      <c r="B267" s="1556"/>
      <c r="C267" s="1556"/>
      <c r="D267" s="272"/>
      <c r="K267" s="1065"/>
      <c r="L267" s="1556"/>
      <c r="M267" s="1556"/>
      <c r="N267" s="1065"/>
      <c r="O267" s="1065"/>
      <c r="P267" s="1065"/>
      <c r="Q267" s="1065"/>
      <c r="R267" s="1556"/>
      <c r="S267" s="1065"/>
      <c r="T267" s="1065"/>
      <c r="U267" s="467"/>
      <c r="V267" s="1065"/>
      <c r="W267" s="1065"/>
      <c r="X267" s="1065"/>
      <c r="Y267" s="1065"/>
      <c r="Z267" s="1065"/>
      <c r="AA267" s="1552"/>
      <c r="AB267" s="489"/>
      <c r="AC267" s="489"/>
      <c r="AD267" s="489"/>
      <c r="AE267" s="489"/>
    </row>
    <row r="268" spans="1:31" s="1561" customFormat="1" ht="11.25" customHeight="1">
      <c r="A268" s="898"/>
      <c r="B268" s="1556"/>
      <c r="C268" s="1556"/>
      <c r="D268" s="272"/>
      <c r="K268" s="1065"/>
      <c r="L268" s="1556"/>
      <c r="M268" s="1556"/>
      <c r="N268" s="1065"/>
      <c r="O268" s="1065"/>
      <c r="P268" s="1065"/>
      <c r="Q268" s="1065"/>
      <c r="R268" s="1556"/>
      <c r="S268" s="1065"/>
      <c r="T268" s="1065"/>
      <c r="U268" s="467"/>
      <c r="V268" s="1065"/>
      <c r="W268" s="1065"/>
      <c r="X268" s="1065"/>
      <c r="Y268" s="1065"/>
      <c r="Z268" s="1065"/>
      <c r="AA268" s="1552"/>
      <c r="AB268" s="489"/>
      <c r="AC268" s="489"/>
      <c r="AD268" s="489"/>
      <c r="AE268" s="489"/>
    </row>
    <row r="269" spans="1:31" s="1561" customFormat="1" ht="11.25" customHeight="1">
      <c r="A269" s="898"/>
      <c r="B269" s="1556"/>
      <c r="C269" s="1556"/>
      <c r="D269" s="272"/>
      <c r="K269" s="1065"/>
      <c r="L269" s="1556"/>
      <c r="M269" s="1556"/>
      <c r="N269" s="1065"/>
      <c r="O269" s="1065"/>
      <c r="P269" s="1065"/>
      <c r="Q269" s="1065"/>
      <c r="R269" s="1556"/>
      <c r="S269" s="1065"/>
      <c r="T269" s="1065"/>
      <c r="U269" s="467"/>
      <c r="V269" s="1065"/>
      <c r="W269" s="1065"/>
      <c r="X269" s="1065"/>
      <c r="Y269" s="1065"/>
      <c r="Z269" s="1065"/>
      <c r="AA269" s="1552"/>
      <c r="AB269" s="489"/>
      <c r="AC269" s="489"/>
      <c r="AD269" s="489"/>
      <c r="AE269" s="489"/>
    </row>
    <row r="270" spans="1:31" s="1561" customFormat="1" ht="11.25" customHeight="1">
      <c r="A270" s="898"/>
      <c r="B270" s="1556"/>
      <c r="C270" s="1556"/>
      <c r="D270" s="272"/>
      <c r="K270" s="1065"/>
      <c r="L270" s="1556"/>
      <c r="M270" s="1556"/>
      <c r="N270" s="1065"/>
      <c r="O270" s="1065"/>
      <c r="P270" s="1065"/>
      <c r="Q270" s="1065"/>
      <c r="R270" s="1556"/>
      <c r="S270" s="1065"/>
      <c r="T270" s="1065"/>
      <c r="U270" s="467"/>
      <c r="V270" s="1065"/>
      <c r="W270" s="1065"/>
      <c r="X270" s="1065"/>
      <c r="Y270" s="1065"/>
      <c r="Z270" s="1065"/>
      <c r="AA270" s="1552"/>
      <c r="AB270" s="489"/>
      <c r="AC270" s="489"/>
      <c r="AD270" s="489"/>
      <c r="AE270" s="489"/>
    </row>
    <row r="271" spans="1:31" s="1561" customFormat="1" ht="11.25" customHeight="1">
      <c r="A271" s="898"/>
      <c r="B271" s="1556"/>
      <c r="C271" s="1556"/>
      <c r="D271" s="272"/>
      <c r="K271" s="1065"/>
      <c r="L271" s="1556"/>
      <c r="M271" s="1556"/>
      <c r="N271" s="1065"/>
      <c r="O271" s="1065"/>
      <c r="P271" s="1065"/>
      <c r="Q271" s="1065"/>
      <c r="R271" s="1556"/>
      <c r="S271" s="1065"/>
      <c r="T271" s="1065"/>
      <c r="U271" s="467"/>
      <c r="V271" s="1065"/>
      <c r="W271" s="1065"/>
      <c r="X271" s="1065"/>
      <c r="Y271" s="1065"/>
      <c r="Z271" s="1065"/>
      <c r="AA271" s="1552"/>
      <c r="AB271" s="489"/>
      <c r="AC271" s="489"/>
      <c r="AD271" s="489"/>
      <c r="AE271" s="489"/>
    </row>
    <row r="272" spans="1:31" s="1561" customFormat="1" ht="11.25" customHeight="1">
      <c r="A272" s="898"/>
      <c r="B272" s="1556"/>
      <c r="C272" s="1556"/>
      <c r="D272" s="272"/>
      <c r="K272" s="1065"/>
      <c r="L272" s="1556"/>
      <c r="M272" s="1556"/>
      <c r="N272" s="1065"/>
      <c r="O272" s="1065"/>
      <c r="P272" s="1065"/>
      <c r="Q272" s="1065"/>
      <c r="R272" s="1556"/>
      <c r="S272" s="1065"/>
      <c r="T272" s="1065"/>
      <c r="U272" s="467"/>
      <c r="V272" s="1065"/>
      <c r="W272" s="1065"/>
      <c r="X272" s="1065"/>
      <c r="Y272" s="1065"/>
      <c r="Z272" s="1065"/>
      <c r="AA272" s="1552"/>
      <c r="AB272" s="489"/>
      <c r="AC272" s="489"/>
      <c r="AD272" s="489"/>
      <c r="AE272" s="489"/>
    </row>
    <row r="273" spans="1:31" s="1561" customFormat="1" ht="11.25" customHeight="1">
      <c r="A273" s="898"/>
      <c r="B273" s="1556"/>
      <c r="C273" s="1556"/>
      <c r="D273" s="272"/>
      <c r="K273" s="1065"/>
      <c r="L273" s="1556"/>
      <c r="M273" s="1556"/>
      <c r="N273" s="1065"/>
      <c r="O273" s="1065"/>
      <c r="P273" s="1065"/>
      <c r="Q273" s="1065"/>
      <c r="R273" s="1556"/>
      <c r="S273" s="1065"/>
      <c r="T273" s="1065"/>
      <c r="U273" s="467"/>
      <c r="V273" s="1065"/>
      <c r="W273" s="1065"/>
      <c r="X273" s="1065"/>
      <c r="Y273" s="1065"/>
      <c r="Z273" s="1065"/>
      <c r="AA273" s="1552"/>
      <c r="AB273" s="489"/>
      <c r="AC273" s="489"/>
      <c r="AD273" s="489"/>
      <c r="AE273" s="489"/>
    </row>
    <row r="274" spans="1:31" s="1561" customFormat="1" ht="11.25" customHeight="1">
      <c r="A274" s="898"/>
      <c r="B274" s="1556"/>
      <c r="C274" s="1556"/>
      <c r="D274" s="272"/>
      <c r="K274" s="1065"/>
      <c r="L274" s="1556"/>
      <c r="M274" s="1556"/>
      <c r="N274" s="1065"/>
      <c r="O274" s="1065"/>
      <c r="P274" s="1065"/>
      <c r="Q274" s="1065"/>
      <c r="R274" s="1556"/>
      <c r="S274" s="1065"/>
      <c r="T274" s="1065"/>
      <c r="U274" s="467"/>
      <c r="V274" s="1065"/>
      <c r="W274" s="1065"/>
      <c r="X274" s="1065"/>
      <c r="Y274" s="1065"/>
      <c r="Z274" s="1065"/>
      <c r="AA274" s="1552"/>
      <c r="AB274" s="489"/>
      <c r="AC274" s="489"/>
      <c r="AD274" s="489"/>
      <c r="AE274" s="489"/>
    </row>
    <row r="275" spans="1:31" s="1561" customFormat="1" ht="11.25" customHeight="1">
      <c r="A275" s="898"/>
      <c r="B275" s="1556"/>
      <c r="C275" s="1556"/>
      <c r="D275" s="272"/>
      <c r="K275" s="1065"/>
      <c r="L275" s="1556"/>
      <c r="M275" s="1556"/>
      <c r="N275" s="1065"/>
      <c r="O275" s="1065"/>
      <c r="P275" s="1065"/>
      <c r="Q275" s="1065"/>
      <c r="R275" s="1556"/>
      <c r="S275" s="1065"/>
      <c r="T275" s="1065"/>
      <c r="U275" s="467"/>
      <c r="V275" s="1065"/>
      <c r="W275" s="1065"/>
      <c r="X275" s="1065"/>
      <c r="Y275" s="1065"/>
      <c r="Z275" s="1065"/>
      <c r="AA275" s="1552"/>
      <c r="AB275" s="489"/>
      <c r="AC275" s="489"/>
      <c r="AD275" s="489"/>
      <c r="AE275" s="489"/>
    </row>
    <row r="276" spans="1:31" s="1561" customFormat="1" ht="11.25" customHeight="1">
      <c r="A276" s="898"/>
      <c r="B276" s="1556"/>
      <c r="C276" s="1556"/>
      <c r="D276" s="272"/>
      <c r="K276" s="1065"/>
      <c r="L276" s="1556"/>
      <c r="M276" s="1556"/>
      <c r="N276" s="1065"/>
      <c r="O276" s="1065"/>
      <c r="P276" s="1065"/>
      <c r="Q276" s="1065"/>
      <c r="R276" s="1556"/>
      <c r="S276" s="1065"/>
      <c r="T276" s="1065"/>
      <c r="U276" s="467"/>
      <c r="V276" s="1065"/>
      <c r="W276" s="1065"/>
      <c r="X276" s="1065"/>
      <c r="Y276" s="1065"/>
      <c r="Z276" s="1065"/>
      <c r="AA276" s="1552"/>
      <c r="AB276" s="489"/>
      <c r="AC276" s="489"/>
      <c r="AD276" s="489"/>
      <c r="AE276" s="489"/>
    </row>
    <row r="277" spans="1:31" s="1561" customFormat="1" ht="11.25" customHeight="1">
      <c r="A277" s="898"/>
      <c r="B277" s="1556"/>
      <c r="C277" s="1556"/>
      <c r="D277" s="272"/>
      <c r="K277" s="1065"/>
      <c r="L277" s="1556"/>
      <c r="M277" s="1556"/>
      <c r="N277" s="1065"/>
      <c r="O277" s="1065"/>
      <c r="P277" s="1065"/>
      <c r="Q277" s="1065"/>
      <c r="R277" s="1556"/>
      <c r="S277" s="1065"/>
      <c r="T277" s="1065"/>
      <c r="U277" s="467"/>
      <c r="V277" s="1065"/>
      <c r="W277" s="1065"/>
      <c r="X277" s="1065"/>
      <c r="Y277" s="1065"/>
      <c r="Z277" s="1065"/>
      <c r="AA277" s="1552"/>
      <c r="AB277" s="489"/>
      <c r="AC277" s="489"/>
      <c r="AD277" s="489"/>
      <c r="AE277" s="489"/>
    </row>
    <row r="278" spans="1:31" s="1561" customFormat="1" ht="11.25" customHeight="1">
      <c r="A278" s="898"/>
      <c r="B278" s="1556"/>
      <c r="C278" s="1556"/>
      <c r="D278" s="272"/>
      <c r="K278" s="1065"/>
      <c r="L278" s="1556"/>
      <c r="M278" s="1556"/>
      <c r="N278" s="1065"/>
      <c r="O278" s="1065"/>
      <c r="P278" s="1065"/>
      <c r="Q278" s="1065"/>
      <c r="R278" s="1556"/>
      <c r="S278" s="1065"/>
      <c r="T278" s="1065"/>
      <c r="U278" s="467"/>
      <c r="V278" s="1065"/>
      <c r="W278" s="1065"/>
      <c r="X278" s="1065"/>
      <c r="Y278" s="1065"/>
      <c r="Z278" s="1065"/>
      <c r="AA278" s="1552"/>
      <c r="AB278" s="489"/>
      <c r="AC278" s="489"/>
      <c r="AD278" s="489"/>
      <c r="AE278" s="489"/>
    </row>
    <row r="279" spans="1:31" s="1561" customFormat="1" ht="11.25" customHeight="1">
      <c r="A279" s="898"/>
      <c r="B279" s="1556"/>
      <c r="C279" s="1556"/>
      <c r="D279" s="272"/>
      <c r="K279" s="1065"/>
      <c r="L279" s="1556"/>
      <c r="M279" s="1556"/>
      <c r="N279" s="1065"/>
      <c r="O279" s="1065"/>
      <c r="P279" s="1065"/>
      <c r="Q279" s="1065"/>
      <c r="R279" s="1556"/>
      <c r="S279" s="1065"/>
      <c r="T279" s="1065"/>
      <c r="U279" s="467"/>
      <c r="V279" s="1065"/>
      <c r="W279" s="1065"/>
      <c r="X279" s="1065"/>
      <c r="Y279" s="1065"/>
      <c r="Z279" s="1065"/>
      <c r="AA279" s="1552"/>
      <c r="AB279" s="489"/>
      <c r="AC279" s="489"/>
      <c r="AD279" s="489"/>
      <c r="AE279" s="489"/>
    </row>
    <row r="280" spans="1:31" s="1561" customFormat="1" ht="11.25" customHeight="1">
      <c r="A280" s="898"/>
      <c r="B280" s="1556"/>
      <c r="C280" s="1556"/>
      <c r="D280" s="272"/>
      <c r="K280" s="1065"/>
      <c r="L280" s="1556"/>
      <c r="M280" s="1556"/>
      <c r="N280" s="1065"/>
      <c r="O280" s="1065"/>
      <c r="P280" s="1065"/>
      <c r="Q280" s="1065"/>
      <c r="R280" s="1556"/>
      <c r="S280" s="1065"/>
      <c r="T280" s="1065"/>
      <c r="U280" s="467"/>
      <c r="V280" s="1065"/>
      <c r="W280" s="1065"/>
      <c r="X280" s="1065"/>
      <c r="Y280" s="1065"/>
      <c r="Z280" s="1065"/>
      <c r="AA280" s="1552"/>
      <c r="AB280" s="489"/>
      <c r="AC280" s="489"/>
      <c r="AD280" s="489"/>
      <c r="AE280" s="489"/>
    </row>
    <row r="281" spans="1:31" s="1561" customFormat="1" ht="11.25" customHeight="1">
      <c r="A281" s="898"/>
      <c r="B281" s="1556"/>
      <c r="C281" s="1556"/>
      <c r="D281" s="272"/>
      <c r="K281" s="1065"/>
      <c r="L281" s="1556"/>
      <c r="M281" s="1556"/>
      <c r="N281" s="1065"/>
      <c r="O281" s="1065"/>
      <c r="P281" s="1065"/>
      <c r="Q281" s="1065"/>
      <c r="R281" s="1556"/>
      <c r="S281" s="1065"/>
      <c r="T281" s="1065"/>
      <c r="U281" s="467"/>
      <c r="V281" s="1065"/>
      <c r="W281" s="1065"/>
      <c r="X281" s="1065"/>
      <c r="Y281" s="1065"/>
      <c r="Z281" s="1065"/>
      <c r="AA281" s="1552"/>
      <c r="AB281" s="489"/>
      <c r="AC281" s="489"/>
      <c r="AD281" s="489"/>
      <c r="AE281" s="489"/>
    </row>
    <row r="282" spans="1:31" s="1561" customFormat="1" ht="11.25" customHeight="1">
      <c r="A282" s="898"/>
      <c r="B282" s="1556"/>
      <c r="C282" s="1556"/>
      <c r="D282" s="272"/>
      <c r="K282" s="1065"/>
      <c r="L282" s="1556"/>
      <c r="M282" s="1556"/>
      <c r="N282" s="1065"/>
      <c r="O282" s="1065"/>
      <c r="P282" s="1065"/>
      <c r="Q282" s="1065"/>
      <c r="R282" s="1556"/>
      <c r="S282" s="1065"/>
      <c r="T282" s="1065"/>
      <c r="U282" s="467"/>
      <c r="V282" s="1065"/>
      <c r="W282" s="1065"/>
      <c r="X282" s="1065"/>
      <c r="Y282" s="1065"/>
      <c r="Z282" s="1065"/>
      <c r="AA282" s="1552"/>
      <c r="AB282" s="489"/>
      <c r="AC282" s="489"/>
      <c r="AD282" s="489"/>
      <c r="AE282" s="489"/>
    </row>
    <row r="283" spans="1:31" s="1561" customFormat="1" ht="11.25" customHeight="1">
      <c r="A283" s="898"/>
      <c r="B283" s="1556"/>
      <c r="C283" s="1556"/>
      <c r="D283" s="272"/>
      <c r="K283" s="1065"/>
      <c r="L283" s="1556"/>
      <c r="M283" s="1556"/>
      <c r="N283" s="1065"/>
      <c r="O283" s="1065"/>
      <c r="P283" s="1065"/>
      <c r="Q283" s="1065"/>
      <c r="R283" s="1556"/>
      <c r="S283" s="1065"/>
      <c r="T283" s="1065"/>
      <c r="U283" s="467"/>
      <c r="V283" s="1065"/>
      <c r="W283" s="1065"/>
      <c r="X283" s="1065"/>
      <c r="Y283" s="1065"/>
      <c r="Z283" s="1065"/>
      <c r="AA283" s="1552"/>
      <c r="AB283" s="489"/>
      <c r="AC283" s="489"/>
      <c r="AD283" s="489"/>
      <c r="AE283" s="489"/>
    </row>
    <row r="284" spans="1:31" s="1561" customFormat="1" ht="11.25" customHeight="1">
      <c r="A284" s="898"/>
      <c r="B284" s="1556"/>
      <c r="C284" s="1556"/>
      <c r="D284" s="272"/>
      <c r="K284" s="1065"/>
      <c r="L284" s="1556"/>
      <c r="M284" s="1556"/>
      <c r="N284" s="1065"/>
      <c r="O284" s="1065"/>
      <c r="P284" s="1065"/>
      <c r="Q284" s="1065"/>
      <c r="R284" s="1556"/>
      <c r="S284" s="1065"/>
      <c r="T284" s="1065"/>
      <c r="U284" s="467"/>
      <c r="V284" s="1065"/>
      <c r="W284" s="1065"/>
      <c r="X284" s="1065"/>
      <c r="Y284" s="1065"/>
      <c r="Z284" s="1065"/>
      <c r="AA284" s="1552"/>
      <c r="AB284" s="489"/>
      <c r="AC284" s="489"/>
      <c r="AD284" s="489"/>
      <c r="AE284" s="489"/>
    </row>
    <row r="285" spans="1:31" s="1561" customFormat="1" ht="11.25" customHeight="1">
      <c r="A285" s="898"/>
      <c r="B285" s="1556"/>
      <c r="C285" s="1556"/>
      <c r="D285" s="272"/>
      <c r="K285" s="1065"/>
      <c r="L285" s="1556"/>
      <c r="M285" s="1556"/>
      <c r="N285" s="1065"/>
      <c r="O285" s="1065"/>
      <c r="P285" s="1065"/>
      <c r="Q285" s="1065"/>
      <c r="R285" s="1556"/>
      <c r="S285" s="1065"/>
      <c r="T285" s="1065"/>
      <c r="U285" s="467"/>
      <c r="V285" s="1065"/>
      <c r="W285" s="1065"/>
      <c r="X285" s="1065"/>
      <c r="Y285" s="1065"/>
      <c r="Z285" s="1065"/>
      <c r="AA285" s="1552"/>
      <c r="AB285" s="489"/>
      <c r="AC285" s="489"/>
      <c r="AD285" s="489"/>
      <c r="AE285" s="489"/>
    </row>
    <row r="286" spans="1:31" s="1561" customFormat="1" ht="11.25" customHeight="1">
      <c r="A286" s="898"/>
      <c r="B286" s="1556"/>
      <c r="C286" s="1556"/>
      <c r="D286" s="272"/>
      <c r="K286" s="1065"/>
      <c r="L286" s="1556"/>
      <c r="M286" s="1556"/>
      <c r="N286" s="1065"/>
      <c r="O286" s="1065"/>
      <c r="P286" s="1065"/>
      <c r="Q286" s="1065"/>
      <c r="R286" s="1556"/>
      <c r="S286" s="1065"/>
      <c r="T286" s="1065"/>
      <c r="U286" s="467"/>
      <c r="V286" s="1065"/>
      <c r="W286" s="1065"/>
      <c r="X286" s="1065"/>
      <c r="Y286" s="1065"/>
      <c r="Z286" s="1065"/>
      <c r="AA286" s="1552"/>
      <c r="AB286" s="489"/>
      <c r="AC286" s="489"/>
      <c r="AD286" s="489"/>
      <c r="AE286" s="489"/>
    </row>
    <row r="287" spans="1:31" s="1561" customFormat="1" ht="11.25" customHeight="1">
      <c r="A287" s="898"/>
      <c r="B287" s="1556"/>
      <c r="C287" s="1556"/>
      <c r="D287" s="272"/>
      <c r="K287" s="1065"/>
      <c r="L287" s="1556"/>
      <c r="M287" s="1556"/>
      <c r="N287" s="1065"/>
      <c r="O287" s="1065"/>
      <c r="P287" s="1065"/>
      <c r="Q287" s="1065"/>
      <c r="R287" s="1556"/>
      <c r="S287" s="1065"/>
      <c r="T287" s="1065"/>
      <c r="U287" s="467"/>
      <c r="V287" s="1065"/>
      <c r="W287" s="1065"/>
      <c r="X287" s="1065"/>
      <c r="Y287" s="1065"/>
      <c r="Z287" s="1065"/>
      <c r="AA287" s="1552"/>
      <c r="AB287" s="489"/>
      <c r="AC287" s="489"/>
      <c r="AD287" s="489"/>
      <c r="AE287" s="489"/>
    </row>
    <row r="288" spans="1:31" s="1561" customFormat="1" ht="11.25" customHeight="1">
      <c r="A288" s="898"/>
      <c r="B288" s="1556"/>
      <c r="C288" s="1556"/>
      <c r="D288" s="272"/>
      <c r="K288" s="1065"/>
      <c r="L288" s="1556"/>
      <c r="M288" s="1556"/>
      <c r="N288" s="1065"/>
      <c r="O288" s="1065"/>
      <c r="P288" s="1065"/>
      <c r="Q288" s="1065"/>
      <c r="R288" s="1556"/>
      <c r="S288" s="1065"/>
      <c r="T288" s="1065"/>
      <c r="U288" s="467"/>
      <c r="V288" s="1065"/>
      <c r="W288" s="1065"/>
      <c r="X288" s="1065"/>
      <c r="Y288" s="1065"/>
      <c r="Z288" s="1065"/>
      <c r="AA288" s="1552"/>
      <c r="AB288" s="489"/>
      <c r="AC288" s="489"/>
      <c r="AD288" s="489"/>
      <c r="AE288" s="489"/>
    </row>
    <row r="292" spans="1:31" ht="11.25" customHeight="1">
      <c r="A292" s="901"/>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row>
    <row r="293" spans="1:31" ht="11.25" customHeight="1">
      <c r="A293" s="901"/>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row>
    <row r="294" spans="1:31" ht="11.25" customHeight="1">
      <c r="A294" s="901"/>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row>
    <row r="295" spans="1:31" ht="11.25" customHeight="1">
      <c r="A295" s="901"/>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row>
    <row r="296" spans="1:31" ht="11.25" customHeight="1">
      <c r="A296" s="901"/>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row>
    <row r="297" spans="1:31" ht="11.25" customHeight="1">
      <c r="A297" s="901"/>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row>
    <row r="298" spans="1:31" ht="11.25" customHeight="1">
      <c r="A298" s="901"/>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row>
    <row r="299" spans="1:31" ht="11.25" customHeight="1">
      <c r="A299" s="901"/>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row>
    <row r="300" spans="1:31" ht="11.25" customHeight="1">
      <c r="A300" s="901"/>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row>
    <row r="301" spans="1:31" ht="11.25" customHeight="1">
      <c r="A301" s="901"/>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row>
    <row r="302" spans="1:31" ht="11.25" customHeight="1">
      <c r="A302" s="901"/>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5" hidden="1" customWidth="1"/>
    <col min="2" max="2" width="17" style="1552" hidden="1" customWidth="1"/>
    <col min="3" max="3" width="3.7109375" style="1555" customWidth="1"/>
    <col min="4" max="4" width="1.85546875" style="1555" hidden="1" customWidth="1"/>
    <col min="5" max="6" width="7.7109375" style="1555" customWidth="1"/>
    <col min="7" max="7" width="29.7109375" style="1555" customWidth="1"/>
    <col min="8" max="8" width="3.7109375" style="1555" customWidth="1"/>
    <col min="9" max="9" width="5.42578125" style="1555" customWidth="1"/>
    <col min="10" max="10" width="24.5703125" style="1555" customWidth="1"/>
    <col min="11" max="11" width="24.42578125" style="1555" customWidth="1"/>
    <col min="12" max="12" width="3.7109375" style="1555" customWidth="1"/>
    <col min="13" max="13" width="6.28515625" style="1555" customWidth="1"/>
    <col min="14" max="14" width="25.85546875" style="1555" customWidth="1"/>
    <col min="15" max="18" width="18.7109375" style="1555" customWidth="1"/>
    <col min="19" max="19" width="93.42578125" style="1555" customWidth="1"/>
    <col min="20" max="20" width="10.5703125" style="1555" customWidth="1"/>
    <col min="21" max="21" width="10.5703125" style="1562" customWidth="1"/>
    <col min="22" max="22" width="11.7109375" style="1562" customWidth="1"/>
    <col min="23" max="27" width="10.5703125" style="1552" customWidth="1"/>
    <col min="28" max="83" width="9.140625" style="1555"/>
  </cols>
  <sheetData>
    <row r="1" spans="1:83" ht="11.25" hidden="1" customHeight="1"/>
    <row r="2" spans="1:83" ht="11.25" hidden="1" customHeight="1"/>
    <row r="3" spans="1:83" ht="11.25" hidden="1" customHeight="1"/>
    <row r="4" spans="1:83" ht="3" customHeight="1">
      <c r="C4" s="433"/>
      <c r="D4" s="433"/>
      <c r="E4" s="433"/>
      <c r="F4" s="433"/>
      <c r="G4" s="433"/>
      <c r="H4" s="433"/>
      <c r="I4" s="433"/>
      <c r="J4" s="433"/>
      <c r="K4" s="84"/>
      <c r="L4" s="84"/>
      <c r="M4" s="84"/>
    </row>
    <row r="5" spans="1:83" ht="28.5" customHeight="1">
      <c r="C5" s="433"/>
      <c r="D5" s="968"/>
      <c r="E5" s="767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7673"/>
      <c r="G5" s="7673"/>
      <c r="H5" s="7673"/>
      <c r="I5" s="7673"/>
      <c r="J5" s="7673"/>
      <c r="K5" s="7673"/>
      <c r="L5" s="532"/>
      <c r="M5" s="532"/>
    </row>
    <row r="6" spans="1:83" s="1555" customFormat="1" ht="16.5" customHeight="1">
      <c r="A6" s="529"/>
      <c r="B6" s="674"/>
      <c r="C6" s="433"/>
      <c r="D6" s="969"/>
      <c r="E6" s="7620" t="str">
        <f>IF(org=0,"Не определено",org)</f>
        <v>ГУП СК "Ставрополькрайводоканал"</v>
      </c>
      <c r="F6" s="7620"/>
      <c r="G6" s="7620"/>
      <c r="H6" s="7620"/>
      <c r="I6" s="7620"/>
      <c r="J6" s="7620"/>
      <c r="K6" s="7620"/>
      <c r="L6" s="532"/>
      <c r="M6" s="532"/>
      <c r="U6" s="530"/>
      <c r="V6" s="530"/>
      <c r="W6" s="531"/>
      <c r="X6" s="674"/>
      <c r="Y6" s="674"/>
      <c r="Z6" s="674"/>
      <c r="AA6" s="674"/>
    </row>
    <row r="7" spans="1:83" ht="11.25" customHeight="1">
      <c r="C7" s="433"/>
      <c r="D7" s="433"/>
      <c r="E7" s="433"/>
      <c r="F7" s="433"/>
      <c r="G7" s="446"/>
      <c r="H7" s="446"/>
      <c r="I7" s="446"/>
      <c r="J7" s="446"/>
      <c r="K7" s="533"/>
      <c r="L7" s="533"/>
      <c r="M7" s="533"/>
      <c r="R7" s="667"/>
    </row>
    <row r="8" spans="1:83" s="1561" customFormat="1" ht="5.25" customHeight="1">
      <c r="A8" s="540"/>
      <c r="B8" s="489"/>
      <c r="C8" s="272"/>
      <c r="D8" s="272"/>
      <c r="E8" s="272"/>
      <c r="F8" s="272"/>
      <c r="G8" s="886"/>
      <c r="H8" s="886"/>
      <c r="I8" s="886"/>
      <c r="J8" s="886"/>
      <c r="K8" s="929"/>
      <c r="L8" s="929"/>
      <c r="M8" s="929"/>
      <c r="R8" s="930"/>
      <c r="U8" s="530"/>
      <c r="V8" s="530"/>
      <c r="W8" s="541"/>
      <c r="X8" s="489"/>
      <c r="Y8" s="489"/>
      <c r="Z8" s="489"/>
      <c r="AA8" s="489"/>
    </row>
    <row r="9" spans="1:83" ht="18.75" customHeight="1">
      <c r="D9" s="204"/>
      <c r="E9" s="7530" t="s">
        <v>474</v>
      </c>
      <c r="F9" s="7536"/>
      <c r="G9" s="7536"/>
      <c r="H9" s="7536"/>
      <c r="I9" s="7536"/>
      <c r="J9" s="7536"/>
      <c r="K9" s="7536"/>
      <c r="L9" s="7536"/>
      <c r="M9" s="7536"/>
      <c r="N9" s="7536"/>
      <c r="O9" s="7536"/>
      <c r="P9" s="7536"/>
      <c r="Q9" s="7536"/>
      <c r="R9" s="7529"/>
      <c r="S9" s="7559" t="s">
        <v>475</v>
      </c>
      <c r="T9" s="256"/>
    </row>
    <row r="10" spans="1:83" ht="33.75" customHeight="1">
      <c r="D10" s="474" t="s">
        <v>86</v>
      </c>
      <c r="E10" s="7559" t="s">
        <v>86</v>
      </c>
      <c r="F10" s="7559"/>
      <c r="G10" s="445" t="s">
        <v>476</v>
      </c>
      <c r="H10" s="7559" t="s">
        <v>86</v>
      </c>
      <c r="I10" s="7559"/>
      <c r="J10" s="445" t="s">
        <v>771</v>
      </c>
      <c r="K10" s="445" t="s">
        <v>772</v>
      </c>
      <c r="L10" s="7559" t="s">
        <v>86</v>
      </c>
      <c r="M10" s="7559"/>
      <c r="N10" s="445" t="s">
        <v>773</v>
      </c>
      <c r="O10" s="445" t="s">
        <v>774</v>
      </c>
      <c r="P10" s="445" t="s">
        <v>775</v>
      </c>
      <c r="Q10" s="445" t="s">
        <v>776</v>
      </c>
      <c r="R10" s="445" t="s">
        <v>777</v>
      </c>
      <c r="S10" s="7559"/>
      <c r="T10" s="256"/>
    </row>
    <row r="11" spans="1:83" s="1562" customFormat="1" ht="15" hidden="1" customHeight="1">
      <c r="A11" s="963"/>
      <c r="D11" s="936" t="s">
        <v>97</v>
      </c>
      <c r="E11" s="936"/>
      <c r="F11" s="936" t="s">
        <v>100</v>
      </c>
      <c r="G11" s="936" t="s">
        <v>88</v>
      </c>
      <c r="H11" s="936"/>
      <c r="I11" s="936" t="s">
        <v>89</v>
      </c>
      <c r="J11" s="936" t="s">
        <v>111</v>
      </c>
      <c r="K11" s="936" t="s">
        <v>90</v>
      </c>
      <c r="L11" s="936"/>
      <c r="M11" s="936" t="s">
        <v>91</v>
      </c>
      <c r="N11" s="936" t="s">
        <v>121</v>
      </c>
      <c r="O11" s="936" t="s">
        <v>125</v>
      </c>
      <c r="P11" s="936" t="s">
        <v>129</v>
      </c>
      <c r="Q11" s="936" t="s">
        <v>102</v>
      </c>
      <c r="R11" s="936" t="s">
        <v>136</v>
      </c>
      <c r="S11" s="936" t="s">
        <v>140</v>
      </c>
      <c r="U11" s="530"/>
      <c r="V11" s="530"/>
      <c r="W11" s="530"/>
    </row>
    <row r="12" spans="1:83" s="1555" customFormat="1" ht="0.75" customHeight="1">
      <c r="A12" s="534"/>
      <c r="B12" s="285"/>
      <c r="D12" s="471"/>
      <c r="E12" s="267"/>
      <c r="F12" s="267"/>
      <c r="Q12" s="535"/>
      <c r="R12" s="536"/>
      <c r="T12" s="537"/>
      <c r="U12" s="538"/>
      <c r="V12" s="538"/>
      <c r="W12" s="539"/>
      <c r="X12" s="285"/>
      <c r="Y12" s="285"/>
      <c r="Z12" s="285"/>
      <c r="AA12" s="285"/>
    </row>
    <row r="13" spans="1:83" s="1561" customFormat="1" ht="0.75" customHeight="1">
      <c r="A13" s="540"/>
      <c r="B13" s="489"/>
      <c r="D13" s="471" t="s">
        <v>552</v>
      </c>
      <c r="E13" s="483"/>
      <c r="F13" s="483"/>
      <c r="G13" s="483"/>
      <c r="H13" s="483"/>
      <c r="I13" s="483"/>
      <c r="J13" s="483"/>
      <c r="K13" s="483"/>
      <c r="L13" s="483"/>
      <c r="M13" s="483"/>
      <c r="N13" s="483"/>
      <c r="O13" s="483"/>
      <c r="P13" s="483"/>
      <c r="Q13" s="483"/>
      <c r="R13" s="483"/>
      <c r="T13" s="256"/>
      <c r="U13" s="530"/>
      <c r="V13" s="530"/>
      <c r="W13" s="541"/>
      <c r="X13" s="489"/>
      <c r="Y13" s="489"/>
      <c r="Z13" s="489"/>
      <c r="AA13" s="489"/>
    </row>
    <row r="14" spans="1:83" s="1827" customFormat="1" ht="15" hidden="1" customHeight="1">
      <c r="A14" s="542" t="s">
        <v>231</v>
      </c>
      <c r="B14"/>
      <c r="C14"/>
      <c r="D14" s="7775" t="s">
        <v>97</v>
      </c>
      <c r="E14" s="7772" t="s">
        <v>223</v>
      </c>
      <c r="F14" s="7773"/>
      <c r="G14" s="7774"/>
      <c r="H14" s="7778">
        <f>IF(A14="","",INDEX(DIFFERENTIATION_UNMERGE_VD,MATCH(A14,DIFFERENTIATION_ID_DIFF,0)))</f>
        <v>0</v>
      </c>
      <c r="I14" s="7778"/>
      <c r="J14" s="7778"/>
      <c r="K14" s="7778"/>
      <c r="L14" s="7778"/>
      <c r="M14" s="7778"/>
      <c r="N14" s="7778"/>
      <c r="O14" s="7778"/>
      <c r="P14" s="7778"/>
      <c r="Q14" s="7778"/>
      <c r="R14" s="7778"/>
      <c r="S14" s="636"/>
      <c r="T14" s="633"/>
      <c r="U14" s="543"/>
      <c r="V14" s="543"/>
      <c r="W14" s="544"/>
      <c r="X14" s="544"/>
      <c r="Y14" s="544"/>
      <c r="Z14" s="544"/>
      <c r="AA14" s="545"/>
      <c r="AB14" s="546"/>
      <c r="AC14" s="7770"/>
      <c r="AD14" s="547"/>
      <c r="AE14" s="548" t="s">
        <v>24</v>
      </c>
      <c r="AF14" s="548"/>
      <c r="AG14" s="549" t="s">
        <v>778</v>
      </c>
      <c r="AH14" s="550">
        <v>3</v>
      </c>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4"/>
      <c r="BW14" s="544"/>
      <c r="BX14" s="544"/>
      <c r="BY14" s="544"/>
      <c r="BZ14" s="544"/>
      <c r="CA14" s="544"/>
      <c r="CB14" s="544"/>
      <c r="CC14" s="544"/>
      <c r="CD14" s="544"/>
      <c r="CE14" s="544"/>
    </row>
    <row r="15" spans="1:83" s="1827" customFormat="1" ht="15" hidden="1" customHeight="1">
      <c r="A15" s="542"/>
      <c r="B15"/>
      <c r="C15"/>
      <c r="D15" s="7776"/>
      <c r="E15" s="7772" t="s">
        <v>733</v>
      </c>
      <c r="F15" s="7773"/>
      <c r="G15" s="7774"/>
      <c r="H15" s="7778" t="str">
        <f>IF(A14="","",INDEX(DIFFERENTIATION_UNMERGE_AREA,MATCH(A14,DIFFERENTIATION_ID_DIFF,0)))</f>
        <v/>
      </c>
      <c r="I15" s="7778"/>
      <c r="J15" s="7778"/>
      <c r="K15" s="7778"/>
      <c r="L15" s="7778"/>
      <c r="M15" s="7778"/>
      <c r="N15" s="7778"/>
      <c r="O15" s="7778"/>
      <c r="P15" s="7778"/>
      <c r="Q15" s="7778"/>
      <c r="R15" s="7778"/>
      <c r="S15" s="636"/>
      <c r="T15" s="633"/>
      <c r="U15" s="543"/>
      <c r="V15" s="543"/>
      <c r="W15" s="544"/>
      <c r="X15" s="544"/>
      <c r="Y15" s="544"/>
      <c r="Z15" s="544"/>
      <c r="AA15" s="545"/>
      <c r="AB15" s="546"/>
      <c r="AC15" s="7770"/>
      <c r="AD15" s="547"/>
      <c r="AE15" s="548"/>
      <c r="AF15" s="548"/>
      <c r="AG15" s="549"/>
      <c r="AH15" s="550"/>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4"/>
      <c r="BW15" s="544"/>
      <c r="BX15" s="544"/>
      <c r="BY15" s="544"/>
      <c r="BZ15" s="544"/>
      <c r="CA15" s="544"/>
      <c r="CB15" s="544"/>
      <c r="CC15" s="544"/>
      <c r="CD15" s="544"/>
      <c r="CE15" s="544"/>
    </row>
    <row r="16" spans="1:83" s="1827" customFormat="1" ht="15" hidden="1" customHeight="1">
      <c r="A16" s="542"/>
      <c r="B16"/>
      <c r="C16"/>
      <c r="D16" s="7776"/>
      <c r="E16" s="7772" t="s">
        <v>734</v>
      </c>
      <c r="F16" s="7773"/>
      <c r="G16" s="7774"/>
      <c r="H16" s="7778" t="str">
        <f>IF(A14="","",INDEX(DIFFERENTIATION_UNMERGE_SYSTEM,MATCH(A14,DIFFERENTIATION_ID_DIFF,0)))</f>
        <v>без дифференциации</v>
      </c>
      <c r="I16" s="7778"/>
      <c r="J16" s="7778"/>
      <c r="K16" s="7778"/>
      <c r="L16" s="7778"/>
      <c r="M16" s="7778"/>
      <c r="N16" s="7778"/>
      <c r="O16" s="7778"/>
      <c r="P16" s="7778"/>
      <c r="Q16" s="7778"/>
      <c r="R16" s="7778"/>
      <c r="S16" s="636"/>
      <c r="T16" s="633"/>
      <c r="U16" s="543"/>
      <c r="V16" s="543"/>
      <c r="W16" s="544"/>
      <c r="X16" s="544"/>
      <c r="Y16" s="544"/>
      <c r="Z16" s="544"/>
      <c r="AA16" s="545"/>
      <c r="AB16" s="546"/>
      <c r="AC16" s="7770"/>
      <c r="AD16" s="547"/>
      <c r="AE16" s="548"/>
      <c r="AF16" s="548"/>
      <c r="AG16" s="549"/>
      <c r="AH16" s="550"/>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4"/>
      <c r="BW16" s="544"/>
      <c r="BX16" s="544"/>
      <c r="BY16" s="544"/>
      <c r="BZ16" s="544"/>
      <c r="CA16" s="544"/>
      <c r="CB16" s="544"/>
      <c r="CC16" s="544"/>
      <c r="CD16" s="544"/>
      <c r="CE16" s="544"/>
    </row>
    <row r="17" spans="1:83" s="1827" customFormat="1" ht="22.5" hidden="1" customHeight="1">
      <c r="A17" s="551"/>
      <c r="B17" s="346"/>
      <c r="C17" s="341"/>
      <c r="D17" s="7776"/>
      <c r="E17" s="7771" t="s">
        <v>779</v>
      </c>
      <c r="F17" s="7771"/>
      <c r="G17" s="7771"/>
      <c r="H17" s="7771"/>
      <c r="I17" s="7771"/>
      <c r="J17" s="7771"/>
      <c r="K17" s="7771"/>
      <c r="L17" s="7771"/>
      <c r="M17" s="7771"/>
      <c r="N17" s="7771"/>
      <c r="O17" s="7771"/>
      <c r="P17" s="7771"/>
      <c r="Q17" s="481">
        <f>SUMIF(T18:T19,"i",Q18:Q19)</f>
        <v>0</v>
      </c>
      <c r="R17" s="928"/>
      <c r="S17" s="811" t="s">
        <v>780</v>
      </c>
      <c r="T17" s="634" t="s">
        <v>781</v>
      </c>
      <c r="U17" s="7688">
        <v>1</v>
      </c>
      <c r="V17" s="7688" t="str">
        <f>INDEX(B_FHD_FLAG_INDEX_1,1,MATCH(A14,B_FHD_FLAG_DIFFERENTIATION,0))</f>
        <v>отсутствует</v>
      </c>
      <c r="W17" s="346"/>
      <c r="X17" s="346"/>
      <c r="Y17" s="346"/>
      <c r="Z17" s="346"/>
      <c r="AA17" s="435"/>
      <c r="AB17" s="346"/>
      <c r="AC17" s="7770"/>
      <c r="AD17" s="547"/>
      <c r="AE17" s="346"/>
      <c r="AF17" s="346"/>
      <c r="AG17" s="435"/>
      <c r="AH17" s="435"/>
      <c r="AI17" s="435"/>
      <c r="AJ17" s="435"/>
      <c r="AK17" s="435"/>
      <c r="AL17" s="435"/>
      <c r="AM17" s="435"/>
      <c r="AN17" s="435"/>
      <c r="AO17" s="435"/>
      <c r="AP17" s="435"/>
      <c r="AQ17" s="435"/>
      <c r="AR17" s="435"/>
      <c r="AS17" s="435"/>
      <c r="AT17" s="435"/>
      <c r="AU17" s="435"/>
      <c r="AV17" s="435"/>
      <c r="AW17" s="435"/>
      <c r="AX17" s="435"/>
      <c r="AY17" s="435"/>
      <c r="AZ17" s="435"/>
      <c r="BA17" s="435"/>
      <c r="BB17" s="435"/>
      <c r="BC17" s="435"/>
      <c r="BD17" s="435"/>
      <c r="BE17" s="435"/>
      <c r="BF17" s="435"/>
      <c r="BG17" s="435"/>
      <c r="BH17" s="435"/>
      <c r="BI17" s="435"/>
      <c r="BJ17" s="435"/>
      <c r="BK17" s="435"/>
      <c r="BL17" s="435"/>
      <c r="BM17" s="435"/>
      <c r="BN17" s="435"/>
      <c r="BO17" s="435"/>
      <c r="BP17" s="435"/>
      <c r="BQ17" s="435"/>
      <c r="BR17" s="435"/>
      <c r="BS17" s="435"/>
      <c r="BT17" s="435"/>
      <c r="BU17" s="435"/>
      <c r="BV17" s="346"/>
      <c r="BW17" s="346"/>
      <c r="BX17" s="346"/>
      <c r="BY17" s="346"/>
      <c r="BZ17" s="346"/>
      <c r="CA17" s="346"/>
      <c r="CB17" s="346"/>
      <c r="CC17" s="346"/>
      <c r="CD17" s="346"/>
      <c r="CE17" s="346"/>
    </row>
    <row r="18" spans="1:83" s="1827" customFormat="1" ht="11.25" hidden="1" customHeight="1">
      <c r="A18" s="552"/>
      <c r="B18" s="435"/>
      <c r="C18" s="435"/>
      <c r="D18" s="7776"/>
      <c r="E18" s="553"/>
      <c r="F18" s="553">
        <v>0</v>
      </c>
      <c r="G18" s="553"/>
      <c r="H18" s="553"/>
      <c r="I18" s="553"/>
      <c r="J18" s="553"/>
      <c r="K18" s="553"/>
      <c r="L18" s="553"/>
      <c r="M18" s="553"/>
      <c r="N18" s="553"/>
      <c r="O18" s="553"/>
      <c r="P18" s="553"/>
      <c r="Q18" s="553"/>
      <c r="R18" s="553"/>
      <c r="S18" s="554"/>
      <c r="T18" s="635"/>
      <c r="U18" s="7688"/>
      <c r="V18" s="7688"/>
      <c r="W18" s="435"/>
      <c r="X18" s="435"/>
      <c r="Y18" s="435"/>
      <c r="Z18" s="435"/>
      <c r="AA18" s="435"/>
      <c r="AB18" s="346"/>
      <c r="AC18" s="7770"/>
      <c r="AD18" s="547"/>
      <c r="AE18" s="346"/>
      <c r="AF18" s="346"/>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c r="CB18" s="435"/>
      <c r="CC18" s="435"/>
      <c r="CD18" s="435"/>
      <c r="CE18" s="435"/>
    </row>
    <row r="19" spans="1:83" s="1827" customFormat="1" ht="11.25" hidden="1" customHeight="1">
      <c r="A19" s="551"/>
      <c r="B19" s="346"/>
      <c r="C19" s="341"/>
      <c r="D19" s="7776"/>
      <c r="E19" s="567" t="s">
        <v>24</v>
      </c>
      <c r="F19" s="568" t="s">
        <v>24</v>
      </c>
      <c r="G19" s="568" t="s">
        <v>24</v>
      </c>
      <c r="H19" s="569" t="s">
        <v>24</v>
      </c>
      <c r="I19" s="569"/>
      <c r="J19" s="569"/>
      <c r="K19" s="569"/>
      <c r="L19" s="569"/>
      <c r="M19" s="569"/>
      <c r="N19" s="569"/>
      <c r="O19" s="569"/>
      <c r="P19" s="569"/>
      <c r="Q19" s="569"/>
      <c r="R19" s="570"/>
      <c r="S19" s="931"/>
      <c r="T19" s="635"/>
      <c r="U19" s="7688"/>
      <c r="V19" s="7688"/>
      <c r="W19" s="346"/>
      <c r="X19" s="346"/>
      <c r="Y19" s="346"/>
      <c r="Z19" s="346"/>
      <c r="AA19" s="435"/>
      <c r="AB19" s="346"/>
      <c r="AC19" s="7770"/>
      <c r="AD19" s="547"/>
      <c r="AE19" s="346"/>
      <c r="AF19" s="346"/>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346"/>
      <c r="BW19" s="346"/>
      <c r="BX19" s="346"/>
      <c r="BY19" s="346"/>
      <c r="BZ19" s="346"/>
      <c r="CA19" s="346"/>
      <c r="CB19" s="346"/>
      <c r="CC19" s="346"/>
      <c r="CD19" s="346"/>
      <c r="CE19" s="346"/>
    </row>
    <row r="20" spans="1:83" s="1827" customFormat="1" ht="22.5" hidden="1" customHeight="1">
      <c r="A20" s="551"/>
      <c r="B20" s="346"/>
      <c r="C20" s="341"/>
      <c r="D20" s="7776"/>
      <c r="E20" s="7771" t="s">
        <v>782</v>
      </c>
      <c r="F20" s="7771"/>
      <c r="G20" s="7771"/>
      <c r="H20" s="7771"/>
      <c r="I20" s="7771"/>
      <c r="J20" s="7771"/>
      <c r="K20" s="7771"/>
      <c r="L20" s="7771"/>
      <c r="M20" s="7771"/>
      <c r="N20" s="7771"/>
      <c r="O20" s="7771"/>
      <c r="P20" s="7771"/>
      <c r="Q20" s="481">
        <f>SUMIF(T21:T22,"i",Q21:Q22)</f>
        <v>0</v>
      </c>
      <c r="R20" s="928"/>
      <c r="S20" s="626" t="s">
        <v>783</v>
      </c>
      <c r="T20" s="634" t="s">
        <v>781</v>
      </c>
      <c r="U20" s="7688">
        <v>2</v>
      </c>
      <c r="V20" s="7688" t="str">
        <f>INDEX(B_FHD_FLAG_INDEX_2,1,MATCH(A14,B_FHD_FLAG_DIFFERENTIATION,0))</f>
        <v>отсутствует</v>
      </c>
      <c r="W20" s="346"/>
      <c r="X20" s="346"/>
      <c r="Y20" s="346"/>
      <c r="Z20" s="346"/>
      <c r="AA20" s="435"/>
      <c r="AB20" s="346"/>
      <c r="AC20" s="623"/>
      <c r="AD20" s="547"/>
      <c r="AE20" s="346"/>
      <c r="AF20" s="346"/>
      <c r="AG20" s="435"/>
      <c r="AH20" s="435"/>
      <c r="AI20" s="435"/>
      <c r="AJ20" s="435"/>
      <c r="AK20" s="435"/>
      <c r="AL20" s="435"/>
      <c r="AM20" s="435"/>
      <c r="AN20" s="435"/>
      <c r="AO20" s="435"/>
      <c r="AP20" s="435"/>
      <c r="AQ20" s="435"/>
      <c r="AR20" s="435"/>
      <c r="AS20" s="435"/>
      <c r="AT20" s="435"/>
      <c r="AU20" s="435"/>
      <c r="AV20" s="435"/>
      <c r="AW20" s="435"/>
      <c r="AX20" s="435"/>
      <c r="AY20" s="435"/>
      <c r="AZ20" s="435"/>
      <c r="BA20" s="435"/>
      <c r="BB20" s="435"/>
      <c r="BC20" s="435"/>
      <c r="BD20" s="435"/>
      <c r="BE20" s="435"/>
      <c r="BF20" s="435"/>
      <c r="BG20" s="435"/>
      <c r="BH20" s="435"/>
      <c r="BI20" s="435"/>
      <c r="BJ20" s="435"/>
      <c r="BK20" s="435"/>
      <c r="BL20" s="435"/>
      <c r="BM20" s="435"/>
      <c r="BN20" s="435"/>
      <c r="BO20" s="435"/>
      <c r="BP20" s="435"/>
      <c r="BQ20" s="435"/>
      <c r="BR20" s="435"/>
      <c r="BS20" s="435"/>
      <c r="BT20" s="435"/>
      <c r="BU20" s="435"/>
      <c r="BV20" s="346"/>
      <c r="BW20" s="346"/>
      <c r="BX20" s="346"/>
      <c r="BY20" s="346"/>
      <c r="BZ20" s="346"/>
      <c r="CA20" s="346"/>
      <c r="CB20" s="346"/>
      <c r="CC20" s="346"/>
      <c r="CD20" s="346"/>
      <c r="CE20" s="346"/>
    </row>
    <row r="21" spans="1:83" s="1827" customFormat="1" ht="11.25" hidden="1" customHeight="1">
      <c r="A21" s="625"/>
      <c r="B21" s="435"/>
      <c r="C21" s="435"/>
      <c r="D21" s="7776"/>
      <c r="E21" s="553"/>
      <c r="F21" s="553">
        <v>0</v>
      </c>
      <c r="G21" s="553"/>
      <c r="H21" s="553"/>
      <c r="I21" s="553"/>
      <c r="J21" s="553"/>
      <c r="K21" s="553"/>
      <c r="L21" s="553"/>
      <c r="M21" s="553"/>
      <c r="N21" s="553"/>
      <c r="O21" s="553"/>
      <c r="P21" s="553"/>
      <c r="Q21" s="553"/>
      <c r="R21" s="553"/>
      <c r="S21" s="554"/>
      <c r="T21" s="635"/>
      <c r="U21" s="7688"/>
      <c r="V21" s="7688"/>
      <c r="W21" s="435"/>
      <c r="X21" s="435"/>
      <c r="Y21" s="435"/>
      <c r="Z21" s="435"/>
      <c r="AA21" s="435"/>
      <c r="AB21" s="346"/>
      <c r="AC21" s="623"/>
      <c r="AD21" s="547"/>
      <c r="AE21" s="346"/>
      <c r="AF21" s="346"/>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c r="BO21" s="435"/>
      <c r="BP21" s="435"/>
      <c r="BQ21" s="435"/>
      <c r="BR21" s="435"/>
      <c r="BS21" s="435"/>
      <c r="BT21" s="435"/>
      <c r="BU21" s="435"/>
      <c r="BV21" s="435"/>
      <c r="BW21" s="435"/>
      <c r="BX21" s="435"/>
      <c r="BY21" s="435"/>
      <c r="BZ21" s="435"/>
      <c r="CA21" s="435"/>
      <c r="CB21" s="435"/>
      <c r="CC21" s="435"/>
      <c r="CD21" s="435"/>
      <c r="CE21" s="435"/>
    </row>
    <row r="22" spans="1:83" s="1827" customFormat="1" ht="11.25" hidden="1" customHeight="1">
      <c r="A22" s="551"/>
      <c r="B22" s="346"/>
      <c r="C22" s="341"/>
      <c r="D22" s="7777"/>
      <c r="E22" s="567" t="s">
        <v>24</v>
      </c>
      <c r="F22" s="568" t="s">
        <v>24</v>
      </c>
      <c r="G22" s="568" t="s">
        <v>24</v>
      </c>
      <c r="H22" s="569" t="s">
        <v>24</v>
      </c>
      <c r="I22" s="569"/>
      <c r="J22" s="569"/>
      <c r="K22" s="569"/>
      <c r="L22" s="569"/>
      <c r="M22" s="569"/>
      <c r="N22" s="569"/>
      <c r="O22" s="569"/>
      <c r="P22" s="569"/>
      <c r="Q22" s="569"/>
      <c r="R22" s="570"/>
      <c r="S22" s="931"/>
      <c r="T22" s="635"/>
      <c r="U22" s="7688"/>
      <c r="V22" s="7688"/>
      <c r="W22" s="346"/>
      <c r="X22" s="346"/>
      <c r="Y22" s="346"/>
      <c r="Z22" s="346"/>
      <c r="AA22" s="435"/>
      <c r="AB22" s="346"/>
      <c r="AC22" s="623"/>
      <c r="AD22" s="547"/>
      <c r="AE22" s="346"/>
      <c r="AF22" s="346"/>
      <c r="AG22" s="435"/>
      <c r="AH22" s="435"/>
      <c r="AI22" s="435"/>
      <c r="AJ22" s="435"/>
      <c r="AK22" s="435"/>
      <c r="AL22" s="435"/>
      <c r="AM22" s="435"/>
      <c r="AN22" s="435"/>
      <c r="AO22" s="435"/>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346"/>
      <c r="BW22" s="346"/>
      <c r="BX22" s="346"/>
      <c r="BY22" s="346"/>
      <c r="BZ22" s="346"/>
      <c r="CA22" s="346"/>
      <c r="CB22" s="346"/>
      <c r="CC22" s="346"/>
      <c r="CD22" s="346"/>
      <c r="CE22" s="346"/>
    </row>
    <row r="23" spans="1:83" ht="18.75" customHeight="1">
      <c r="D23" s="958"/>
      <c r="E23" s="958"/>
      <c r="F23" s="958"/>
      <c r="G23" s="958"/>
      <c r="H23" s="958"/>
      <c r="I23" s="958"/>
      <c r="J23" s="958"/>
      <c r="K23" s="958"/>
      <c r="L23" s="958"/>
      <c r="M23" s="958"/>
      <c r="N23" s="958"/>
      <c r="O23" s="958"/>
      <c r="P23" s="958"/>
      <c r="Q23" s="958"/>
      <c r="R23" s="958"/>
      <c r="S23" s="958"/>
      <c r="T23" s="256"/>
    </row>
    <row r="24" spans="1:83" ht="11.25" customHeight="1">
      <c r="D24" s="433"/>
    </row>
    <row r="25" spans="1:83" ht="11.25" customHeight="1">
      <c r="D25" s="572"/>
      <c r="E25" s="572"/>
      <c r="F25" s="572"/>
      <c r="G25" s="573"/>
    </row>
    <row r="27" spans="1:83" ht="11.25" customHeight="1">
      <c r="D27" s="574"/>
      <c r="E27" s="7779"/>
      <c r="F27" s="7779"/>
      <c r="G27" s="7779"/>
      <c r="H27" s="7779"/>
      <c r="I27" s="7779"/>
      <c r="J27" s="7779"/>
      <c r="K27" s="7779"/>
      <c r="L27" s="7779"/>
      <c r="M27" s="7779"/>
      <c r="N27" s="7779"/>
      <c r="O27" s="7779"/>
      <c r="P27" s="7779"/>
      <c r="Q27" s="7779"/>
      <c r="R27" s="7779"/>
    </row>
    <row r="28" spans="1:83" ht="11.25" customHeight="1">
      <c r="F28" s="673"/>
      <c r="G28" s="673"/>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6.1406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s="1287" customFormat="1" ht="11.25" hidden="1" customHeight="1">
      <c r="A1" s="898"/>
      <c r="C1" s="1556"/>
      <c r="D1" s="460"/>
      <c r="H1" s="1065">
        <v>4</v>
      </c>
      <c r="I1" s="1065">
        <v>4</v>
      </c>
      <c r="L1" s="1556"/>
      <c r="M1" s="1556"/>
      <c r="R1" s="1556"/>
    </row>
    <row r="2" spans="1:31" s="1287" customFormat="1" ht="22.5" hidden="1" customHeight="1">
      <c r="A2" s="898"/>
      <c r="C2" s="1556"/>
      <c r="D2" s="461"/>
      <c r="E2" s="1557"/>
      <c r="F2" s="463"/>
      <c r="G2" s="1559" t="s">
        <v>721</v>
      </c>
      <c r="H2" s="464"/>
      <c r="I2" s="464"/>
      <c r="J2" s="465" t="s">
        <v>784</v>
      </c>
      <c r="K2" s="466"/>
      <c r="L2" s="1556"/>
      <c r="M2" s="1556"/>
      <c r="R2" s="1556"/>
      <c r="U2" s="467"/>
      <c r="AA2" s="1552"/>
      <c r="AB2" s="1552"/>
      <c r="AC2" s="1552"/>
      <c r="AD2" s="1552"/>
      <c r="AE2" s="1552"/>
    </row>
    <row r="3" spans="1:31" ht="11.25" hidden="1" customHeight="1"/>
    <row r="4" spans="1:31" s="1552" customFormat="1" ht="11.25" hidden="1" customHeight="1">
      <c r="A4" s="898"/>
      <c r="B4" s="1065"/>
      <c r="C4" s="1556"/>
      <c r="D4" s="285"/>
      <c r="J4" s="1552">
        <v>4</v>
      </c>
      <c r="K4" s="1065"/>
      <c r="L4" s="1556"/>
      <c r="M4" s="1556"/>
      <c r="N4" s="1065"/>
      <c r="O4" s="1065"/>
      <c r="P4" s="1065"/>
      <c r="Q4" s="1065"/>
      <c r="R4" s="1556"/>
      <c r="S4" s="1065"/>
      <c r="T4" s="1065"/>
      <c r="U4" s="467"/>
      <c r="V4" s="1065"/>
      <c r="W4" s="1065"/>
      <c r="X4" s="1065"/>
      <c r="Y4" s="1065"/>
      <c r="Z4" s="1065"/>
    </row>
    <row r="6" spans="1:31" ht="22.5" customHeight="1">
      <c r="E6" s="7633" t="s">
        <v>785</v>
      </c>
      <c r="F6" s="7633"/>
      <c r="G6" s="7633"/>
      <c r="H6" s="7633"/>
      <c r="I6" s="7633"/>
      <c r="J6" s="479"/>
    </row>
    <row r="7" spans="1:31" ht="24" customHeight="1">
      <c r="E7" s="7620" t="str">
        <f>IF(org=0,"Не определено",org)</f>
        <v>ГУП СК "Ставрополькрайводоканал"</v>
      </c>
      <c r="F7" s="7620"/>
      <c r="G7" s="7620"/>
      <c r="H7" s="7620"/>
      <c r="I7" s="7620"/>
    </row>
    <row r="8" spans="1:31" ht="11.25" customHeight="1">
      <c r="E8" s="1042"/>
      <c r="F8" s="1042"/>
      <c r="G8" s="1042"/>
      <c r="H8" s="1042"/>
      <c r="I8" s="1042"/>
    </row>
    <row r="9" spans="1:31" s="1562" customFormat="1" ht="0.75" customHeight="1">
      <c r="A9" s="1072"/>
      <c r="H9" s="803"/>
      <c r="I9" s="803" t="s">
        <v>231</v>
      </c>
    </row>
    <row r="10" spans="1:31" ht="11.25" customHeight="1">
      <c r="E10" s="628"/>
      <c r="F10" s="7764" t="s">
        <v>223</v>
      </c>
      <c r="G10" s="7765"/>
      <c r="H10" s="1477" t="str">
        <f>IF(H9="","",INDEX(DIFFERENTIATION_UNMERGE_VD,MATCH(H9,DIFFERENTIATION_ID_DIFF,0)))</f>
        <v/>
      </c>
      <c r="I10" s="1477">
        <f>IF(I9="","",INDEX(DIFFERENTIATION_UNMERGE_VD,MATCH(I9,DIFFERENTIATION_ID_DIFF,0)))</f>
        <v>0</v>
      </c>
      <c r="J10" s="7559"/>
    </row>
    <row r="11" spans="1:31" ht="11.25" customHeight="1">
      <c r="E11" s="628"/>
      <c r="F11" s="7764" t="s">
        <v>733</v>
      </c>
      <c r="G11" s="7765"/>
      <c r="H11" s="1477" t="str">
        <f>IF(H9="","",INDEX(DIFFERENTIATION_UNMERGE_AREA,MATCH(H9,DIFFERENTIATION_ID_DIFF,0)))</f>
        <v/>
      </c>
      <c r="I11" s="1477" t="str">
        <f>IF(I9="","",INDEX(DIFFERENTIATION_UNMERGE_AREA,MATCH(I9,DIFFERENTIATION_ID_DIFF,0)))</f>
        <v/>
      </c>
      <c r="J11" s="7559"/>
    </row>
    <row r="12" spans="1:31" ht="11.25" hidden="1" customHeight="1">
      <c r="E12" s="1582"/>
      <c r="F12" s="7780" t="s">
        <v>734</v>
      </c>
      <c r="G12" s="7781"/>
      <c r="H12" s="1583" t="str">
        <f>IF(H9="","",INDEX(DIFFERENTIATION_UNMERGE_SYSTEM,MATCH(H9,DIFFERENTIATION_ID_DIFF,0)))</f>
        <v/>
      </c>
      <c r="I12" s="1583" t="str">
        <f>IF(I9="","",INDEX(DIFFERENTIATION_UNMERGE_SYSTEM,MATCH(I9,DIFFERENTIATION_ID_DIFF,0)))</f>
        <v>без дифференциации</v>
      </c>
      <c r="J12" s="7559"/>
    </row>
    <row r="13" spans="1:31" ht="11.25" customHeight="1">
      <c r="E13" s="7766" t="s">
        <v>474</v>
      </c>
      <c r="F13" s="7767"/>
      <c r="G13" s="7767"/>
      <c r="H13" s="1476"/>
      <c r="I13" s="1476"/>
      <c r="J13" s="7559"/>
    </row>
    <row r="14" spans="1:31" ht="22.5" customHeight="1">
      <c r="E14" s="1559" t="s">
        <v>86</v>
      </c>
      <c r="F14" s="1554" t="s">
        <v>476</v>
      </c>
      <c r="G14" s="1554" t="s">
        <v>735</v>
      </c>
      <c r="H14" s="1554" t="s">
        <v>477</v>
      </c>
      <c r="I14" s="1554" t="s">
        <v>477</v>
      </c>
      <c r="J14" s="7559"/>
    </row>
    <row r="15" spans="1:31" ht="18.75" customHeight="1">
      <c r="D15" s="1558"/>
      <c r="E15" s="1550" t="s">
        <v>97</v>
      </c>
      <c r="F15" s="624" t="s">
        <v>786</v>
      </c>
      <c r="G15" s="1566" t="s">
        <v>721</v>
      </c>
      <c r="H15" s="480"/>
      <c r="I15" s="480"/>
      <c r="J15" s="204" t="s">
        <v>787</v>
      </c>
      <c r="K15" s="466" t="s">
        <v>788</v>
      </c>
    </row>
    <row r="16" spans="1:31" ht="33.75" customHeight="1">
      <c r="D16" s="1558"/>
      <c r="E16" s="1550" t="s">
        <v>100</v>
      </c>
      <c r="F16" s="624" t="s">
        <v>789</v>
      </c>
      <c r="G16" s="1566" t="s">
        <v>721</v>
      </c>
      <c r="H16" s="481">
        <f>SUM(H17,H20:H32)</f>
        <v>0</v>
      </c>
      <c r="I16" s="481">
        <f>SUM(I17,I20:I32)</f>
        <v>0</v>
      </c>
      <c r="J16" s="204" t="s">
        <v>790</v>
      </c>
      <c r="K16" s="466" t="s">
        <v>788</v>
      </c>
    </row>
    <row r="17" spans="1:31" ht="18.75" customHeight="1">
      <c r="D17" s="1558"/>
      <c r="E17" s="1584" t="s">
        <v>791</v>
      </c>
      <c r="F17" s="865" t="s">
        <v>792</v>
      </c>
      <c r="G17" s="1563" t="s">
        <v>721</v>
      </c>
      <c r="H17" s="480"/>
      <c r="I17" s="480"/>
      <c r="J17" s="204" t="s">
        <v>793</v>
      </c>
      <c r="K17" s="466"/>
    </row>
    <row r="18" spans="1:31" ht="22.5" customHeight="1">
      <c r="D18" s="1558"/>
      <c r="E18" s="1584" t="s">
        <v>794</v>
      </c>
      <c r="F18" s="1570" t="s">
        <v>795</v>
      </c>
      <c r="G18" s="1563" t="s">
        <v>721</v>
      </c>
      <c r="H18" s="480"/>
      <c r="I18" s="480"/>
      <c r="J18" s="204" t="s">
        <v>796</v>
      </c>
      <c r="K18" s="466"/>
    </row>
    <row r="19" spans="1:31" ht="33.75" customHeight="1">
      <c r="D19" s="1558"/>
      <c r="E19" s="1584" t="s">
        <v>797</v>
      </c>
      <c r="F19" s="1570" t="s">
        <v>798</v>
      </c>
      <c r="G19" s="1563" t="s">
        <v>721</v>
      </c>
      <c r="H19" s="480"/>
      <c r="I19" s="480"/>
      <c r="J19" s="204"/>
      <c r="K19" s="466"/>
    </row>
    <row r="20" spans="1:31" ht="18.75" customHeight="1">
      <c r="D20" s="1558"/>
      <c r="E20" s="1584" t="s">
        <v>481</v>
      </c>
      <c r="F20" s="865" t="s">
        <v>799</v>
      </c>
      <c r="G20" s="1563" t="s">
        <v>721</v>
      </c>
      <c r="H20" s="480"/>
      <c r="I20" s="480"/>
      <c r="J20" s="204" t="s">
        <v>800</v>
      </c>
      <c r="K20" s="466"/>
    </row>
    <row r="21" spans="1:31" ht="18.75" customHeight="1">
      <c r="D21" s="1558"/>
      <c r="E21" s="1584" t="s">
        <v>801</v>
      </c>
      <c r="F21" s="1570" t="s">
        <v>802</v>
      </c>
      <c r="G21" s="1563" t="s">
        <v>721</v>
      </c>
      <c r="H21" s="480"/>
      <c r="I21" s="480"/>
      <c r="J21" s="204"/>
      <c r="K21" s="466"/>
    </row>
    <row r="22" spans="1:31" ht="18.75" customHeight="1">
      <c r="D22" s="1558"/>
      <c r="E22" s="1584" t="s">
        <v>803</v>
      </c>
      <c r="F22" s="1570" t="s">
        <v>804</v>
      </c>
      <c r="G22" s="1563" t="s">
        <v>721</v>
      </c>
      <c r="H22" s="480"/>
      <c r="I22" s="480"/>
      <c r="J22" s="204"/>
      <c r="K22" s="466"/>
    </row>
    <row r="23" spans="1:31" ht="22.5" customHeight="1">
      <c r="D23" s="1558"/>
      <c r="E23" s="1584" t="s">
        <v>484</v>
      </c>
      <c r="F23" s="865" t="s">
        <v>805</v>
      </c>
      <c r="G23" s="1563" t="s">
        <v>721</v>
      </c>
      <c r="H23" s="480"/>
      <c r="I23" s="480"/>
      <c r="J23" s="204" t="s">
        <v>806</v>
      </c>
      <c r="K23" s="466"/>
    </row>
    <row r="24" spans="1:31" ht="18.75" customHeight="1">
      <c r="D24" s="1558"/>
      <c r="E24" s="1584" t="s">
        <v>807</v>
      </c>
      <c r="F24" s="1570" t="s">
        <v>808</v>
      </c>
      <c r="G24" s="1563" t="s">
        <v>721</v>
      </c>
      <c r="H24" s="480"/>
      <c r="I24" s="480"/>
      <c r="J24" s="204"/>
      <c r="K24" s="466"/>
    </row>
    <row r="25" spans="1:31" ht="33.75" customHeight="1">
      <c r="D25" s="1558"/>
      <c r="E25" s="1584" t="s">
        <v>809</v>
      </c>
      <c r="F25" s="1570" t="s">
        <v>810</v>
      </c>
      <c r="G25" s="1563" t="s">
        <v>721</v>
      </c>
      <c r="H25" s="480"/>
      <c r="I25" s="480"/>
      <c r="J25" s="204"/>
      <c r="K25" s="466"/>
    </row>
    <row r="26" spans="1:31" ht="22.5" customHeight="1">
      <c r="D26" s="1558"/>
      <c r="E26" s="1584" t="s">
        <v>811</v>
      </c>
      <c r="F26" s="865" t="s">
        <v>812</v>
      </c>
      <c r="G26" s="1563" t="s">
        <v>721</v>
      </c>
      <c r="H26" s="480"/>
      <c r="I26" s="480"/>
      <c r="J26" s="204" t="s">
        <v>813</v>
      </c>
      <c r="K26" s="466"/>
    </row>
    <row r="27" spans="1:31" ht="18.75" customHeight="1">
      <c r="D27" s="1558"/>
      <c r="E27" s="1595" t="s">
        <v>814</v>
      </c>
      <c r="F27" s="1570" t="s">
        <v>815</v>
      </c>
      <c r="G27" s="1574" t="s">
        <v>721</v>
      </c>
      <c r="H27" s="1596"/>
      <c r="I27" s="1596"/>
      <c r="J27" s="204"/>
      <c r="K27" s="466"/>
    </row>
    <row r="28" spans="1:31" ht="18.75" customHeight="1">
      <c r="D28" s="1558"/>
      <c r="E28" s="1595" t="s">
        <v>816</v>
      </c>
      <c r="F28" s="1570" t="s">
        <v>817</v>
      </c>
      <c r="G28" s="1574" t="s">
        <v>721</v>
      </c>
      <c r="H28" s="1596"/>
      <c r="I28" s="1596"/>
      <c r="J28" s="204"/>
      <c r="K28" s="466"/>
    </row>
    <row r="29" spans="1:31" ht="18.75" customHeight="1">
      <c r="D29" s="1558"/>
      <c r="E29" s="1595" t="s">
        <v>818</v>
      </c>
      <c r="F29" s="865" t="s">
        <v>819</v>
      </c>
      <c r="G29" s="1574" t="s">
        <v>721</v>
      </c>
      <c r="H29" s="1596"/>
      <c r="I29" s="1596"/>
      <c r="J29" s="204"/>
      <c r="K29" s="466"/>
    </row>
    <row r="30" spans="1:31" ht="18.75" customHeight="1">
      <c r="D30" s="1558"/>
      <c r="E30" s="1595" t="s">
        <v>820</v>
      </c>
      <c r="F30" s="865" t="s">
        <v>821</v>
      </c>
      <c r="G30" s="1574" t="s">
        <v>721</v>
      </c>
      <c r="H30" s="1596"/>
      <c r="I30" s="1596"/>
      <c r="J30" s="204"/>
      <c r="K30" s="466"/>
    </row>
    <row r="31" spans="1:31" ht="18.75" customHeight="1">
      <c r="D31" s="1558"/>
      <c r="E31" s="1595" t="s">
        <v>822</v>
      </c>
      <c r="F31" s="865" t="s">
        <v>823</v>
      </c>
      <c r="G31" s="1574" t="s">
        <v>721</v>
      </c>
      <c r="H31" s="1596"/>
      <c r="I31" s="1596"/>
      <c r="J31" s="204"/>
      <c r="K31" s="466"/>
    </row>
    <row r="32" spans="1:31" s="1287" customFormat="1" ht="22.5" customHeight="1">
      <c r="A32" s="898"/>
      <c r="C32" s="1556"/>
      <c r="D32" s="1558"/>
      <c r="E32" s="1595" t="s">
        <v>824</v>
      </c>
      <c r="F32" s="865" t="s">
        <v>825</v>
      </c>
      <c r="G32" s="1564" t="s">
        <v>721</v>
      </c>
      <c r="H32" s="502">
        <f>SUM(H33:H34)</f>
        <v>0</v>
      </c>
      <c r="I32" s="502">
        <f>SUM(I33:I34)</f>
        <v>0</v>
      </c>
      <c r="J32" s="204" t="s">
        <v>826</v>
      </c>
      <c r="K32" s="466"/>
      <c r="L32" s="1556"/>
      <c r="M32" s="1556"/>
      <c r="R32" s="1556"/>
      <c r="U32" s="467"/>
      <c r="AA32" s="1552"/>
      <c r="AB32" s="1552"/>
      <c r="AC32" s="1552"/>
      <c r="AD32" s="1552"/>
      <c r="AE32" s="1552"/>
    </row>
    <row r="33" spans="1:31" s="1562" customFormat="1" ht="0.75" customHeight="1">
      <c r="A33" s="1072"/>
      <c r="D33" s="471"/>
      <c r="E33" s="716" t="str">
        <f>E32&amp;".0"</f>
        <v>2.8.0</v>
      </c>
      <c r="F33" s="902"/>
      <c r="G33" s="474"/>
      <c r="H33" s="903"/>
      <c r="I33" s="903"/>
      <c r="J33" s="904"/>
    </row>
    <row r="34" spans="1:31" s="1287" customFormat="1" ht="18.75" customHeight="1">
      <c r="A34" s="898"/>
      <c r="C34" s="1556"/>
      <c r="D34" s="1553"/>
      <c r="E34" s="493"/>
      <c r="F34" s="1586" t="s">
        <v>746</v>
      </c>
      <c r="G34" s="495"/>
      <c r="H34" s="496"/>
      <c r="I34" s="496"/>
      <c r="J34" s="215" t="s">
        <v>827</v>
      </c>
      <c r="K34" s="466"/>
      <c r="L34" s="1556"/>
      <c r="M34" s="1556"/>
      <c r="R34" s="1556"/>
      <c r="U34" s="467"/>
      <c r="AA34" s="1552"/>
      <c r="AB34" s="1552"/>
      <c r="AC34" s="1552"/>
      <c r="AD34" s="1552"/>
      <c r="AE34" s="1552"/>
    </row>
    <row r="35" spans="1:31" ht="56.25" customHeight="1">
      <c r="D35" s="1558"/>
      <c r="E35" s="1595" t="s">
        <v>828</v>
      </c>
      <c r="F35" s="865" t="s">
        <v>829</v>
      </c>
      <c r="G35" s="1574" t="s">
        <v>721</v>
      </c>
      <c r="H35" s="1596"/>
      <c r="I35" s="1596"/>
      <c r="J35" s="204" t="s">
        <v>830</v>
      </c>
      <c r="K35" s="466"/>
    </row>
    <row r="36" spans="1:31" s="1287" customFormat="1" ht="22.5" customHeight="1">
      <c r="A36" s="900" t="s">
        <v>747</v>
      </c>
      <c r="C36" s="1556"/>
      <c r="D36" s="1558"/>
      <c r="E36" s="1584" t="s">
        <v>88</v>
      </c>
      <c r="F36" s="624" t="s">
        <v>831</v>
      </c>
      <c r="G36" s="1563" t="s">
        <v>721</v>
      </c>
      <c r="H36" s="480"/>
      <c r="I36" s="480"/>
      <c r="J36" s="204" t="s">
        <v>832</v>
      </c>
      <c r="K36" s="466"/>
      <c r="L36" s="1556"/>
      <c r="M36" s="1556"/>
      <c r="R36" s="1556"/>
      <c r="U36" s="467"/>
      <c r="AA36" s="1552"/>
      <c r="AB36" s="1552"/>
      <c r="AC36" s="1552"/>
      <c r="AD36" s="1552"/>
      <c r="AE36" s="1552"/>
    </row>
    <row r="37" spans="1:31" s="1287" customFormat="1" ht="22.5" customHeight="1">
      <c r="A37" s="900"/>
      <c r="C37" s="1556"/>
      <c r="D37" s="1558"/>
      <c r="E37" s="1584" t="s">
        <v>500</v>
      </c>
      <c r="F37" s="865" t="s">
        <v>833</v>
      </c>
      <c r="G37" s="1574"/>
      <c r="H37" s="480"/>
      <c r="I37" s="480"/>
      <c r="J37" s="204"/>
      <c r="K37" s="466"/>
      <c r="L37" s="1556"/>
      <c r="M37" s="1556"/>
      <c r="R37" s="1556"/>
      <c r="U37" s="467"/>
      <c r="AA37" s="1552"/>
      <c r="AB37" s="1552"/>
      <c r="AC37" s="1552"/>
      <c r="AD37" s="1552"/>
      <c r="AE37" s="1552"/>
    </row>
    <row r="38" spans="1:31" s="1287" customFormat="1" ht="18.75" customHeight="1">
      <c r="A38" s="898"/>
      <c r="C38" s="1556"/>
      <c r="D38" s="498"/>
      <c r="E38" s="1584" t="s">
        <v>89</v>
      </c>
      <c r="F38" s="624" t="s">
        <v>834</v>
      </c>
      <c r="G38" s="1563" t="s">
        <v>721</v>
      </c>
      <c r="H38" s="480"/>
      <c r="I38" s="480"/>
      <c r="J38" s="204" t="s">
        <v>835</v>
      </c>
      <c r="K38" s="466"/>
      <c r="L38" s="1556"/>
      <c r="M38" s="1556"/>
      <c r="R38" s="1556"/>
      <c r="U38" s="467"/>
      <c r="AA38" s="1552"/>
      <c r="AB38" s="1552"/>
      <c r="AC38" s="1552"/>
      <c r="AD38" s="1552"/>
      <c r="AE38" s="1552"/>
    </row>
    <row r="39" spans="1:31" s="1287" customFormat="1" ht="22.5" customHeight="1">
      <c r="A39" s="898"/>
      <c r="C39" s="1556"/>
      <c r="D39" s="498"/>
      <c r="E39" s="1584" t="s">
        <v>836</v>
      </c>
      <c r="F39" s="865" t="s">
        <v>837</v>
      </c>
      <c r="G39" s="1574" t="s">
        <v>721</v>
      </c>
      <c r="H39" s="480"/>
      <c r="I39" s="480"/>
      <c r="J39" s="204" t="s">
        <v>838</v>
      </c>
      <c r="K39" s="466"/>
      <c r="L39" s="1556"/>
      <c r="M39" s="1556"/>
      <c r="R39" s="1556"/>
      <c r="U39" s="467"/>
      <c r="AA39" s="1552"/>
      <c r="AB39" s="1552"/>
      <c r="AC39" s="1552"/>
      <c r="AD39" s="1552"/>
      <c r="AE39" s="1552"/>
    </row>
    <row r="40" spans="1:31" s="1287" customFormat="1" ht="22.5" customHeight="1">
      <c r="A40" s="898"/>
      <c r="C40" s="1556"/>
      <c r="D40" s="1558"/>
      <c r="E40" s="1584" t="s">
        <v>839</v>
      </c>
      <c r="F40" s="1570" t="s">
        <v>840</v>
      </c>
      <c r="G40" s="1563" t="s">
        <v>721</v>
      </c>
      <c r="H40" s="480"/>
      <c r="I40" s="480"/>
      <c r="J40" s="204" t="s">
        <v>841</v>
      </c>
      <c r="K40" s="466"/>
      <c r="L40" s="1556"/>
      <c r="M40" s="1556"/>
      <c r="R40" s="1556"/>
      <c r="U40" s="467"/>
      <c r="AA40" s="1552"/>
      <c r="AB40" s="1552"/>
      <c r="AC40" s="1552"/>
      <c r="AD40" s="1552"/>
      <c r="AE40" s="1552"/>
    </row>
    <row r="41" spans="1:31" s="1287" customFormat="1" ht="22.5" customHeight="1">
      <c r="A41" s="898"/>
      <c r="C41" s="1556"/>
      <c r="D41" s="1558"/>
      <c r="E41" s="1584" t="s">
        <v>842</v>
      </c>
      <c r="F41" s="1570" t="s">
        <v>843</v>
      </c>
      <c r="G41" s="1563" t="s">
        <v>721</v>
      </c>
      <c r="H41" s="480"/>
      <c r="I41" s="480"/>
      <c r="J41" s="204" t="s">
        <v>844</v>
      </c>
      <c r="K41" s="466"/>
      <c r="L41" s="1556"/>
      <c r="M41" s="1556"/>
      <c r="R41" s="1556"/>
      <c r="U41" s="467"/>
      <c r="AA41" s="1552"/>
      <c r="AB41" s="1552"/>
      <c r="AC41" s="1552"/>
      <c r="AD41" s="1552"/>
      <c r="AE41" s="1552"/>
    </row>
    <row r="42" spans="1:31" s="1287" customFormat="1" ht="22.5" customHeight="1">
      <c r="A42" s="898"/>
      <c r="C42" s="1556"/>
      <c r="D42" s="1558"/>
      <c r="E42" s="1584" t="s">
        <v>845</v>
      </c>
      <c r="F42" s="1570" t="s">
        <v>846</v>
      </c>
      <c r="G42" s="1563" t="s">
        <v>721</v>
      </c>
      <c r="H42" s="480"/>
      <c r="I42" s="480"/>
      <c r="J42" s="204" t="s">
        <v>847</v>
      </c>
      <c r="K42" s="466"/>
      <c r="L42" s="1556"/>
      <c r="M42" s="1556"/>
      <c r="R42" s="1556"/>
      <c r="U42" s="467"/>
      <c r="AA42" s="1552"/>
      <c r="AB42" s="1552"/>
      <c r="AC42" s="1552"/>
      <c r="AD42" s="1552"/>
      <c r="AE42" s="1552"/>
    </row>
    <row r="43" spans="1:31" s="1287" customFormat="1" ht="33.75" customHeight="1">
      <c r="A43" s="898"/>
      <c r="C43" s="1556" t="s">
        <v>757</v>
      </c>
      <c r="D43" s="1558"/>
      <c r="E43" s="1584" t="s">
        <v>111</v>
      </c>
      <c r="F43" s="624" t="s">
        <v>848</v>
      </c>
      <c r="G43" s="1566" t="s">
        <v>849</v>
      </c>
      <c r="H43" s="330"/>
      <c r="I43" s="330"/>
      <c r="J43" s="204" t="s">
        <v>850</v>
      </c>
      <c r="K43" s="466"/>
      <c r="L43" s="1556"/>
      <c r="M43" s="1556"/>
      <c r="R43" s="1556"/>
      <c r="U43" s="467"/>
      <c r="AA43" s="1552"/>
      <c r="AB43" s="1552"/>
      <c r="AC43" s="1552"/>
      <c r="AD43" s="1552"/>
      <c r="AE43" s="1552"/>
    </row>
    <row r="44" spans="1:31" s="1287" customFormat="1" ht="22.5" customHeight="1">
      <c r="A44" s="898"/>
      <c r="C44" s="1556"/>
      <c r="D44" s="1558"/>
      <c r="E44" s="1584" t="s">
        <v>90</v>
      </c>
      <c r="F44" s="624" t="s">
        <v>851</v>
      </c>
      <c r="G44" s="1563" t="s">
        <v>852</v>
      </c>
      <c r="H44" s="468"/>
      <c r="I44" s="468"/>
      <c r="J44" s="204" t="s">
        <v>853</v>
      </c>
      <c r="K44" s="466"/>
      <c r="L44" s="1556"/>
      <c r="M44" s="1556"/>
      <c r="R44" s="1556"/>
      <c r="U44" s="467"/>
      <c r="AA44" s="1552"/>
      <c r="AB44" s="1552"/>
      <c r="AC44" s="1552"/>
      <c r="AD44" s="1552"/>
      <c r="AE44" s="1552"/>
    </row>
    <row r="45" spans="1:31" s="1287" customFormat="1" ht="22.5" customHeight="1">
      <c r="A45" s="898"/>
      <c r="C45" s="1556"/>
      <c r="D45" s="1558"/>
      <c r="E45" s="1584" t="s">
        <v>91</v>
      </c>
      <c r="F45" s="624" t="s">
        <v>854</v>
      </c>
      <c r="G45" s="1574" t="s">
        <v>855</v>
      </c>
      <c r="H45" s="468"/>
      <c r="I45" s="468"/>
      <c r="J45" s="204" t="s">
        <v>856</v>
      </c>
      <c r="K45" s="466"/>
      <c r="L45" s="1556"/>
      <c r="M45" s="1556"/>
      <c r="R45" s="1556"/>
      <c r="U45" s="467"/>
      <c r="AA45" s="1552"/>
      <c r="AB45" s="1552"/>
      <c r="AC45" s="1552"/>
      <c r="AD45" s="1552"/>
      <c r="AE45" s="1552"/>
    </row>
    <row r="46" spans="1:31" s="1287" customFormat="1" ht="18.75" customHeight="1">
      <c r="A46" s="898"/>
      <c r="C46" s="1556"/>
      <c r="D46" s="1558"/>
      <c r="E46" s="1584" t="s">
        <v>121</v>
      </c>
      <c r="F46" s="624" t="s">
        <v>857</v>
      </c>
      <c r="G46" s="1563" t="s">
        <v>759</v>
      </c>
      <c r="H46" s="500"/>
      <c r="I46" s="500"/>
      <c r="J46" s="204"/>
      <c r="K46" s="466"/>
      <c r="L46" s="1556"/>
      <c r="M46" s="1556"/>
      <c r="R46" s="1556"/>
      <c r="U46" s="467"/>
      <c r="AA46" s="1552"/>
      <c r="AB46" s="1552"/>
      <c r="AC46" s="1552"/>
      <c r="AD46" s="1552"/>
      <c r="AE46" s="1552"/>
    </row>
    <row r="47" spans="1:31" ht="11.25" customHeight="1">
      <c r="D47" s="1558"/>
    </row>
    <row r="48" spans="1:31" ht="26.25" customHeight="1">
      <c r="D48" s="1558"/>
      <c r="E48" s="1169"/>
      <c r="F48" s="7709"/>
      <c r="G48" s="7709"/>
      <c r="H48" s="7709"/>
      <c r="I48" s="7709"/>
      <c r="J48" s="7709"/>
    </row>
    <row r="49" spans="1:31" s="1561" customFormat="1" ht="37.5" customHeight="1">
      <c r="A49" s="898"/>
      <c r="B49" s="1556"/>
      <c r="C49" s="1556"/>
      <c r="D49" s="272"/>
      <c r="F49" s="7709"/>
      <c r="G49" s="7709"/>
      <c r="H49" s="7709"/>
      <c r="I49" s="7709"/>
      <c r="J49" s="7709"/>
      <c r="K49" s="1065"/>
      <c r="L49" s="1556"/>
      <c r="M49" s="1556"/>
      <c r="N49" s="1065"/>
      <c r="O49" s="1065"/>
      <c r="P49" s="1065"/>
      <c r="Q49" s="1065"/>
      <c r="R49" s="1556"/>
      <c r="S49" s="1065"/>
      <c r="T49" s="1065"/>
      <c r="U49" s="467"/>
      <c r="V49" s="1065"/>
      <c r="W49" s="1065"/>
      <c r="X49" s="1065"/>
      <c r="Y49" s="1065"/>
      <c r="Z49" s="1065"/>
      <c r="AA49" s="1552"/>
      <c r="AB49" s="489"/>
      <c r="AC49" s="489"/>
      <c r="AD49" s="489"/>
      <c r="AE49" s="489"/>
    </row>
    <row r="50" spans="1:31" s="1561" customFormat="1" ht="11.25" customHeight="1">
      <c r="A50" s="898"/>
      <c r="B50" s="1556"/>
      <c r="C50" s="1556"/>
      <c r="D50" s="272"/>
      <c r="K50" s="1065"/>
      <c r="L50" s="1556"/>
      <c r="M50" s="1556"/>
      <c r="N50" s="1065"/>
      <c r="O50" s="1065"/>
      <c r="P50" s="1065"/>
      <c r="Q50" s="1065"/>
      <c r="R50" s="1556"/>
      <c r="S50" s="1065"/>
      <c r="T50" s="1065"/>
      <c r="U50" s="467"/>
      <c r="V50" s="1065"/>
      <c r="W50" s="1065"/>
      <c r="X50" s="1065"/>
      <c r="Y50" s="1065"/>
      <c r="Z50" s="1065"/>
      <c r="AA50" s="1552"/>
      <c r="AB50" s="489"/>
      <c r="AC50" s="489"/>
      <c r="AD50" s="489"/>
      <c r="AE50" s="489"/>
    </row>
    <row r="51" spans="1:31" s="1561" customFormat="1" ht="11.25" customHeight="1">
      <c r="A51" s="898"/>
      <c r="B51" s="1556"/>
      <c r="C51" s="1556"/>
      <c r="D51" s="272"/>
      <c r="K51" s="1065"/>
      <c r="L51" s="1556"/>
      <c r="M51" s="1556"/>
      <c r="N51" s="1065"/>
      <c r="O51" s="1065"/>
      <c r="P51" s="1065"/>
      <c r="Q51" s="1065"/>
      <c r="R51" s="1556"/>
      <c r="S51" s="1065"/>
      <c r="T51" s="1065"/>
      <c r="U51" s="467"/>
      <c r="V51" s="1065"/>
      <c r="W51" s="1065"/>
      <c r="X51" s="1065"/>
      <c r="Y51" s="1065"/>
      <c r="Z51" s="1065"/>
      <c r="AA51" s="1552"/>
      <c r="AB51" s="489"/>
      <c r="AC51" s="489"/>
      <c r="AD51" s="489"/>
      <c r="AE51" s="489"/>
    </row>
    <row r="52" spans="1:31" s="1561" customFormat="1" ht="11.25" customHeight="1">
      <c r="A52" s="898"/>
      <c r="B52" s="1556"/>
      <c r="C52" s="1556"/>
      <c r="D52" s="272"/>
      <c r="H52" s="489"/>
      <c r="I52" s="489"/>
      <c r="K52" s="1065"/>
      <c r="L52" s="1556"/>
      <c r="M52" s="1556"/>
      <c r="N52" s="1065"/>
      <c r="O52" s="1065"/>
      <c r="P52" s="1065"/>
      <c r="Q52" s="1065"/>
      <c r="R52" s="1556"/>
      <c r="S52" s="1065"/>
      <c r="T52" s="1065"/>
      <c r="U52" s="467"/>
      <c r="V52" s="1065"/>
      <c r="W52" s="1065"/>
      <c r="X52" s="1065"/>
      <c r="Y52" s="1065"/>
      <c r="Z52" s="1065"/>
      <c r="AA52" s="1552"/>
      <c r="AB52" s="489"/>
      <c r="AC52" s="489"/>
      <c r="AD52" s="489"/>
      <c r="AE52" s="489"/>
    </row>
    <row r="53" spans="1:31" s="1561" customFormat="1" ht="11.25" customHeight="1">
      <c r="A53" s="898"/>
      <c r="B53" s="1556"/>
      <c r="C53" s="1556"/>
      <c r="D53" s="272"/>
      <c r="K53" s="1065"/>
      <c r="L53" s="1556"/>
      <c r="M53" s="1556"/>
      <c r="N53" s="1065"/>
      <c r="O53" s="1065"/>
      <c r="P53" s="1065"/>
      <c r="Q53" s="1065"/>
      <c r="R53" s="1556"/>
      <c r="S53" s="1065"/>
      <c r="T53" s="1065"/>
      <c r="U53" s="467"/>
      <c r="V53" s="1065"/>
      <c r="W53" s="1065"/>
      <c r="X53" s="1065"/>
      <c r="Y53" s="1065"/>
      <c r="Z53" s="1065"/>
      <c r="AA53" s="1552"/>
      <c r="AB53" s="489"/>
      <c r="AC53" s="489"/>
      <c r="AD53" s="489"/>
      <c r="AE53" s="489"/>
    </row>
    <row r="54" spans="1:31" s="1561" customFormat="1" ht="11.25" customHeight="1">
      <c r="A54" s="898"/>
      <c r="B54" s="1556"/>
      <c r="C54" s="1556"/>
      <c r="D54" s="272"/>
      <c r="K54" s="1065"/>
      <c r="L54" s="1556"/>
      <c r="M54" s="1556"/>
      <c r="N54" s="1065"/>
      <c r="O54" s="1065"/>
      <c r="P54" s="1065"/>
      <c r="Q54" s="1065"/>
      <c r="R54" s="1556"/>
      <c r="S54" s="1065"/>
      <c r="T54" s="1065"/>
      <c r="U54" s="467"/>
      <c r="V54" s="1065"/>
      <c r="W54" s="1065"/>
      <c r="X54" s="1065"/>
      <c r="Y54" s="1065"/>
      <c r="Z54" s="1065"/>
      <c r="AA54" s="1552"/>
      <c r="AB54" s="489"/>
      <c r="AC54" s="489"/>
      <c r="AD54" s="489"/>
      <c r="AE54" s="489"/>
    </row>
    <row r="55" spans="1:31" s="1561" customFormat="1" ht="11.25" customHeight="1">
      <c r="A55" s="898"/>
      <c r="B55" s="1556"/>
      <c r="C55" s="1556"/>
      <c r="D55" s="272"/>
      <c r="K55" s="1065"/>
      <c r="L55" s="1556"/>
      <c r="M55" s="1556"/>
      <c r="N55" s="1065"/>
      <c r="O55" s="1065"/>
      <c r="P55" s="1065"/>
      <c r="Q55" s="1065"/>
      <c r="R55" s="1556"/>
      <c r="S55" s="1065"/>
      <c r="T55" s="1065"/>
      <c r="U55" s="467"/>
      <c r="V55" s="1065"/>
      <c r="W55" s="1065"/>
      <c r="X55" s="1065"/>
      <c r="Y55" s="1065"/>
      <c r="Z55" s="1065"/>
      <c r="AA55" s="1552"/>
      <c r="AB55" s="489"/>
      <c r="AC55" s="489"/>
      <c r="AD55" s="489"/>
      <c r="AE55" s="489"/>
    </row>
    <row r="56" spans="1:31" s="1561" customFormat="1" ht="11.25" customHeight="1">
      <c r="A56" s="898"/>
      <c r="B56" s="1556"/>
      <c r="C56" s="1556"/>
      <c r="D56" s="272"/>
      <c r="K56" s="1065"/>
      <c r="L56" s="1556"/>
      <c r="M56" s="1556"/>
      <c r="N56" s="1065"/>
      <c r="O56" s="1065"/>
      <c r="P56" s="1065"/>
      <c r="Q56" s="1065"/>
      <c r="R56" s="1556"/>
      <c r="S56" s="1065"/>
      <c r="T56" s="1065"/>
      <c r="U56" s="467"/>
      <c r="V56" s="1065"/>
      <c r="W56" s="1065"/>
      <c r="X56" s="1065"/>
      <c r="Y56" s="1065"/>
      <c r="Z56" s="1065"/>
      <c r="AA56" s="1552"/>
      <c r="AB56" s="489"/>
      <c r="AC56" s="489"/>
      <c r="AD56" s="489"/>
      <c r="AE56" s="489"/>
    </row>
    <row r="57" spans="1:31" s="1561" customFormat="1" ht="11.25" customHeight="1">
      <c r="A57" s="898"/>
      <c r="B57" s="1556"/>
      <c r="C57" s="1556"/>
      <c r="D57" s="272"/>
      <c r="K57" s="1065"/>
      <c r="L57" s="1556"/>
      <c r="M57" s="1556"/>
      <c r="N57" s="1065"/>
      <c r="O57" s="1065"/>
      <c r="P57" s="1065"/>
      <c r="Q57" s="1065"/>
      <c r="R57" s="1556"/>
      <c r="S57" s="1065"/>
      <c r="T57" s="1065"/>
      <c r="U57" s="467"/>
      <c r="V57" s="1065"/>
      <c r="W57" s="1065"/>
      <c r="X57" s="1065"/>
      <c r="Y57" s="1065"/>
      <c r="Z57" s="1065"/>
      <c r="AA57" s="1552"/>
      <c r="AB57" s="489"/>
      <c r="AC57" s="489"/>
      <c r="AD57" s="489"/>
      <c r="AE57" s="489"/>
    </row>
    <row r="58" spans="1:31" s="1561" customFormat="1" ht="11.25" customHeight="1">
      <c r="A58" s="898"/>
      <c r="B58" s="1556"/>
      <c r="C58" s="1556"/>
      <c r="D58" s="272"/>
      <c r="K58" s="1065"/>
      <c r="L58" s="1556"/>
      <c r="M58" s="1556"/>
      <c r="N58" s="1065"/>
      <c r="O58" s="1065"/>
      <c r="P58" s="1065"/>
      <c r="Q58" s="1065"/>
      <c r="R58" s="1556"/>
      <c r="S58" s="1065"/>
      <c r="T58" s="1065"/>
      <c r="U58" s="467"/>
      <c r="V58" s="1065"/>
      <c r="W58" s="1065"/>
      <c r="X58" s="1065"/>
      <c r="Y58" s="1065"/>
      <c r="Z58" s="1065"/>
      <c r="AA58" s="1552"/>
      <c r="AB58" s="489"/>
      <c r="AC58" s="489"/>
      <c r="AD58" s="489"/>
      <c r="AE58" s="489"/>
    </row>
    <row r="59" spans="1:31" s="1561" customFormat="1" ht="11.25" customHeight="1">
      <c r="A59" s="898"/>
      <c r="B59" s="1556"/>
      <c r="C59" s="1556"/>
      <c r="D59" s="272"/>
      <c r="K59" s="1065"/>
      <c r="L59" s="1556"/>
      <c r="M59" s="1556"/>
      <c r="N59" s="1065"/>
      <c r="O59" s="1065"/>
      <c r="P59" s="1065"/>
      <c r="Q59" s="1065"/>
      <c r="R59" s="1556"/>
      <c r="S59" s="1065"/>
      <c r="T59" s="1065"/>
      <c r="U59" s="467"/>
      <c r="V59" s="1065"/>
      <c r="W59" s="1065"/>
      <c r="X59" s="1065"/>
      <c r="Y59" s="1065"/>
      <c r="Z59" s="1065"/>
      <c r="AA59" s="1552"/>
      <c r="AB59" s="489"/>
      <c r="AC59" s="489"/>
      <c r="AD59" s="489"/>
      <c r="AE59" s="489"/>
    </row>
    <row r="60" spans="1:31" s="1561" customFormat="1" ht="11.25" customHeight="1">
      <c r="A60" s="898"/>
      <c r="B60" s="1556"/>
      <c r="C60" s="1556"/>
      <c r="D60" s="272"/>
      <c r="K60" s="1065"/>
      <c r="L60" s="1556"/>
      <c r="M60" s="1556"/>
      <c r="N60" s="1065"/>
      <c r="O60" s="1065"/>
      <c r="P60" s="1065"/>
      <c r="Q60" s="1065"/>
      <c r="R60" s="1556"/>
      <c r="S60" s="1065"/>
      <c r="T60" s="1065"/>
      <c r="U60" s="467"/>
      <c r="V60" s="1065"/>
      <c r="W60" s="1065"/>
      <c r="X60" s="1065"/>
      <c r="Y60" s="1065"/>
      <c r="Z60" s="1065"/>
      <c r="AA60" s="1552"/>
      <c r="AB60" s="489"/>
      <c r="AC60" s="489"/>
      <c r="AD60" s="489"/>
      <c r="AE60" s="489"/>
    </row>
    <row r="61" spans="1:31" s="1561" customFormat="1" ht="11.25" customHeight="1">
      <c r="A61" s="898"/>
      <c r="B61" s="1556"/>
      <c r="C61" s="1556"/>
      <c r="D61" s="272"/>
      <c r="K61" s="1065"/>
      <c r="L61" s="1556"/>
      <c r="M61" s="1556"/>
      <c r="N61" s="1065"/>
      <c r="O61" s="1065"/>
      <c r="P61" s="1065"/>
      <c r="Q61" s="1065"/>
      <c r="R61" s="1556"/>
      <c r="S61" s="1065"/>
      <c r="T61" s="1065"/>
      <c r="U61" s="467"/>
      <c r="V61" s="1065"/>
      <c r="W61" s="1065"/>
      <c r="X61" s="1065"/>
      <c r="Y61" s="1065"/>
      <c r="Z61" s="1065"/>
      <c r="AA61" s="1552"/>
      <c r="AB61" s="489"/>
      <c r="AC61" s="489"/>
      <c r="AD61" s="489"/>
      <c r="AE61" s="489"/>
    </row>
    <row r="62" spans="1:31" s="1561" customFormat="1" ht="11.25" customHeight="1">
      <c r="A62" s="898"/>
      <c r="B62" s="1556"/>
      <c r="C62" s="1556"/>
      <c r="D62" s="272"/>
      <c r="K62" s="1065"/>
      <c r="L62" s="1556"/>
      <c r="M62" s="1556"/>
      <c r="N62" s="1065"/>
      <c r="O62" s="1065"/>
      <c r="P62" s="1065"/>
      <c r="Q62" s="1065"/>
      <c r="R62" s="1556"/>
      <c r="S62" s="1065"/>
      <c r="T62" s="1065"/>
      <c r="U62" s="467"/>
      <c r="V62" s="1065"/>
      <c r="W62" s="1065"/>
      <c r="X62" s="1065"/>
      <c r="Y62" s="1065"/>
      <c r="Z62" s="1065"/>
      <c r="AA62" s="1552"/>
      <c r="AB62" s="489"/>
      <c r="AC62" s="489"/>
      <c r="AD62" s="489"/>
      <c r="AE62" s="489"/>
    </row>
    <row r="63" spans="1:31" s="1561" customFormat="1" ht="11.25" customHeight="1">
      <c r="A63" s="898"/>
      <c r="B63" s="1556"/>
      <c r="C63" s="1556"/>
      <c r="D63" s="272"/>
      <c r="K63" s="1065"/>
      <c r="L63" s="1556"/>
      <c r="M63" s="1556"/>
      <c r="N63" s="1065"/>
      <c r="O63" s="1065"/>
      <c r="P63" s="1065"/>
      <c r="Q63" s="1065"/>
      <c r="R63" s="1556"/>
      <c r="S63" s="1065"/>
      <c r="T63" s="1065"/>
      <c r="U63" s="467"/>
      <c r="V63" s="1065"/>
      <c r="W63" s="1065"/>
      <c r="X63" s="1065"/>
      <c r="Y63" s="1065"/>
      <c r="Z63" s="1065"/>
      <c r="AA63" s="1552"/>
      <c r="AB63" s="489"/>
      <c r="AC63" s="489"/>
      <c r="AD63" s="489"/>
      <c r="AE63" s="489"/>
    </row>
    <row r="64" spans="1:31" s="1561" customFormat="1" ht="11.25" customHeight="1">
      <c r="A64" s="898"/>
      <c r="B64" s="1556"/>
      <c r="C64" s="1556"/>
      <c r="D64" s="272"/>
      <c r="K64" s="1065"/>
      <c r="L64" s="1556"/>
      <c r="M64" s="1556"/>
      <c r="N64" s="1065"/>
      <c r="O64" s="1065"/>
      <c r="P64" s="1065"/>
      <c r="Q64" s="1065"/>
      <c r="R64" s="1556"/>
      <c r="S64" s="1065"/>
      <c r="T64" s="1065"/>
      <c r="U64" s="467"/>
      <c r="V64" s="1065"/>
      <c r="W64" s="1065"/>
      <c r="X64" s="1065"/>
      <c r="Y64" s="1065"/>
      <c r="Z64" s="1065"/>
      <c r="AA64" s="1552"/>
      <c r="AB64" s="489"/>
      <c r="AC64" s="489"/>
      <c r="AD64" s="489"/>
      <c r="AE64" s="489"/>
    </row>
    <row r="65" spans="1:31" s="1561" customFormat="1" ht="11.25" customHeight="1">
      <c r="A65" s="898"/>
      <c r="B65" s="1556"/>
      <c r="C65" s="1556"/>
      <c r="D65" s="272"/>
      <c r="K65" s="1065"/>
      <c r="L65" s="1556"/>
      <c r="M65" s="1556"/>
      <c r="N65" s="1065"/>
      <c r="O65" s="1065"/>
      <c r="P65" s="1065"/>
      <c r="Q65" s="1065"/>
      <c r="R65" s="1556"/>
      <c r="S65" s="1065"/>
      <c r="T65" s="1065"/>
      <c r="U65" s="467"/>
      <c r="V65" s="1065"/>
      <c r="W65" s="1065"/>
      <c r="X65" s="1065"/>
      <c r="Y65" s="1065"/>
      <c r="Z65" s="1065"/>
      <c r="AA65" s="1552"/>
      <c r="AB65" s="489"/>
      <c r="AC65" s="489"/>
      <c r="AD65" s="489"/>
      <c r="AE65" s="489"/>
    </row>
    <row r="66" spans="1:31" s="1561" customFormat="1" ht="11.25" customHeight="1">
      <c r="A66" s="898"/>
      <c r="B66" s="1556"/>
      <c r="C66" s="1556"/>
      <c r="D66" s="272"/>
      <c r="K66" s="1065"/>
      <c r="L66" s="1556"/>
      <c r="M66" s="1556"/>
      <c r="N66" s="1065"/>
      <c r="O66" s="1065"/>
      <c r="P66" s="1065"/>
      <c r="Q66" s="1065"/>
      <c r="R66" s="1556"/>
      <c r="S66" s="1065"/>
      <c r="T66" s="1065"/>
      <c r="U66" s="467"/>
      <c r="V66" s="1065"/>
      <c r="W66" s="1065"/>
      <c r="X66" s="1065"/>
      <c r="Y66" s="1065"/>
      <c r="Z66" s="1065"/>
      <c r="AA66" s="1552"/>
      <c r="AB66" s="489"/>
      <c r="AC66" s="489"/>
      <c r="AD66" s="489"/>
      <c r="AE66" s="489"/>
    </row>
    <row r="67" spans="1:31" s="1561" customFormat="1" ht="11.25" customHeight="1">
      <c r="A67" s="898"/>
      <c r="B67" s="1556"/>
      <c r="C67" s="1556"/>
      <c r="D67" s="272"/>
      <c r="K67" s="1065"/>
      <c r="L67" s="1556"/>
      <c r="M67" s="1556"/>
      <c r="N67" s="1065"/>
      <c r="O67" s="1065"/>
      <c r="P67" s="1065"/>
      <c r="Q67" s="1065"/>
      <c r="R67" s="1556"/>
      <c r="S67" s="1065"/>
      <c r="T67" s="1065"/>
      <c r="U67" s="467"/>
      <c r="V67" s="1065"/>
      <c r="W67" s="1065"/>
      <c r="X67" s="1065"/>
      <c r="Y67" s="1065"/>
      <c r="Z67" s="1065"/>
      <c r="AA67" s="1552"/>
      <c r="AB67" s="489"/>
      <c r="AC67" s="489"/>
      <c r="AD67" s="489"/>
      <c r="AE67" s="489"/>
    </row>
    <row r="68" spans="1:31" s="1561" customFormat="1" ht="11.25" customHeight="1">
      <c r="A68" s="898"/>
      <c r="B68" s="1556"/>
      <c r="C68" s="1556"/>
      <c r="D68" s="272"/>
      <c r="K68" s="1065"/>
      <c r="L68" s="1556"/>
      <c r="M68" s="1556"/>
      <c r="N68" s="1065"/>
      <c r="O68" s="1065"/>
      <c r="P68" s="1065"/>
      <c r="Q68" s="1065"/>
      <c r="R68" s="1556"/>
      <c r="S68" s="1065"/>
      <c r="T68" s="1065"/>
      <c r="U68" s="467"/>
      <c r="V68" s="1065"/>
      <c r="W68" s="1065"/>
      <c r="X68" s="1065"/>
      <c r="Y68" s="1065"/>
      <c r="Z68" s="1065"/>
      <c r="AA68" s="1552"/>
      <c r="AB68" s="489"/>
      <c r="AC68" s="489"/>
      <c r="AD68" s="489"/>
      <c r="AE68" s="489"/>
    </row>
    <row r="69" spans="1:31" s="1561" customFormat="1" ht="11.25" customHeight="1">
      <c r="A69" s="898"/>
      <c r="B69" s="1556"/>
      <c r="C69" s="1556"/>
      <c r="D69" s="272"/>
      <c r="K69" s="1065"/>
      <c r="L69" s="1556"/>
      <c r="M69" s="1556"/>
      <c r="N69" s="1065"/>
      <c r="O69" s="1065"/>
      <c r="P69" s="1065"/>
      <c r="Q69" s="1065"/>
      <c r="R69" s="1556"/>
      <c r="S69" s="1065"/>
      <c r="T69" s="1065"/>
      <c r="U69" s="467"/>
      <c r="V69" s="1065"/>
      <c r="W69" s="1065"/>
      <c r="X69" s="1065"/>
      <c r="Y69" s="1065"/>
      <c r="Z69" s="1065"/>
      <c r="AA69" s="1552"/>
      <c r="AB69" s="489"/>
      <c r="AC69" s="489"/>
      <c r="AD69" s="489"/>
      <c r="AE69" s="489"/>
    </row>
    <row r="70" spans="1:31" s="1561" customFormat="1" ht="11.25" customHeight="1">
      <c r="A70" s="898"/>
      <c r="B70" s="1556"/>
      <c r="C70" s="1556"/>
      <c r="D70" s="272"/>
      <c r="K70" s="1065"/>
      <c r="L70" s="1556"/>
      <c r="M70" s="1556"/>
      <c r="N70" s="1065"/>
      <c r="O70" s="1065"/>
      <c r="P70" s="1065"/>
      <c r="Q70" s="1065"/>
      <c r="R70" s="1556"/>
      <c r="S70" s="1065"/>
      <c r="T70" s="1065"/>
      <c r="U70" s="467"/>
      <c r="V70" s="1065"/>
      <c r="W70" s="1065"/>
      <c r="X70" s="1065"/>
      <c r="Y70" s="1065"/>
      <c r="Z70" s="1065"/>
      <c r="AA70" s="1552"/>
      <c r="AB70" s="489"/>
      <c r="AC70" s="489"/>
      <c r="AD70" s="489"/>
      <c r="AE70" s="489"/>
    </row>
    <row r="71" spans="1:31" s="1561" customFormat="1" ht="11.25" customHeight="1">
      <c r="A71" s="898"/>
      <c r="B71" s="1556"/>
      <c r="C71" s="1556"/>
      <c r="D71" s="272"/>
      <c r="K71" s="1065"/>
      <c r="L71" s="1556"/>
      <c r="M71" s="1556"/>
      <c r="N71" s="1065"/>
      <c r="O71" s="1065"/>
      <c r="P71" s="1065"/>
      <c r="Q71" s="1065"/>
      <c r="R71" s="1556"/>
      <c r="S71" s="1065"/>
      <c r="T71" s="1065"/>
      <c r="U71" s="467"/>
      <c r="V71" s="1065"/>
      <c r="W71" s="1065"/>
      <c r="X71" s="1065"/>
      <c r="Y71" s="1065"/>
      <c r="Z71" s="1065"/>
      <c r="AA71" s="1552"/>
      <c r="AB71" s="489"/>
      <c r="AC71" s="489"/>
      <c r="AD71" s="489"/>
      <c r="AE71" s="489"/>
    </row>
    <row r="72" spans="1:31" s="1561" customFormat="1" ht="11.25" customHeight="1">
      <c r="A72" s="898"/>
      <c r="B72" s="1556"/>
      <c r="C72" s="1556"/>
      <c r="D72" s="272"/>
      <c r="K72" s="1065"/>
      <c r="L72" s="1556"/>
      <c r="M72" s="1556"/>
      <c r="N72" s="1065"/>
      <c r="O72" s="1065"/>
      <c r="P72" s="1065"/>
      <c r="Q72" s="1065"/>
      <c r="R72" s="1556"/>
      <c r="S72" s="1065"/>
      <c r="T72" s="1065"/>
      <c r="U72" s="467"/>
      <c r="V72" s="1065"/>
      <c r="W72" s="1065"/>
      <c r="X72" s="1065"/>
      <c r="Y72" s="1065"/>
      <c r="Z72" s="1065"/>
      <c r="AA72" s="1552"/>
      <c r="AB72" s="489"/>
      <c r="AC72" s="489"/>
      <c r="AD72" s="489"/>
      <c r="AE72" s="489"/>
    </row>
    <row r="73" spans="1:31" s="1561" customFormat="1" ht="11.25" customHeight="1">
      <c r="A73" s="898"/>
      <c r="B73" s="1556"/>
      <c r="C73" s="1556"/>
      <c r="D73" s="272"/>
      <c r="K73" s="1065"/>
      <c r="L73" s="1556"/>
      <c r="M73" s="1556"/>
      <c r="N73" s="1065"/>
      <c r="O73" s="1065"/>
      <c r="P73" s="1065"/>
      <c r="Q73" s="1065"/>
      <c r="R73" s="1556"/>
      <c r="S73" s="1065"/>
      <c r="T73" s="1065"/>
      <c r="U73" s="467"/>
      <c r="V73" s="1065"/>
      <c r="W73" s="1065"/>
      <c r="X73" s="1065"/>
      <c r="Y73" s="1065"/>
      <c r="Z73" s="1065"/>
      <c r="AA73" s="1552"/>
      <c r="AB73" s="489"/>
      <c r="AC73" s="489"/>
      <c r="AD73" s="489"/>
      <c r="AE73" s="489"/>
    </row>
    <row r="74" spans="1:31" s="1561" customFormat="1" ht="11.25" customHeight="1">
      <c r="A74" s="898"/>
      <c r="B74" s="1556"/>
      <c r="C74" s="1556"/>
      <c r="D74" s="272"/>
      <c r="K74" s="1065"/>
      <c r="L74" s="1556"/>
      <c r="M74" s="1556"/>
      <c r="N74" s="1065"/>
      <c r="O74" s="1065"/>
      <c r="P74" s="1065"/>
      <c r="Q74" s="1065"/>
      <c r="R74" s="1556"/>
      <c r="S74" s="1065"/>
      <c r="T74" s="1065"/>
      <c r="U74" s="467"/>
      <c r="V74" s="1065"/>
      <c r="W74" s="1065"/>
      <c r="X74" s="1065"/>
      <c r="Y74" s="1065"/>
      <c r="Z74" s="1065"/>
      <c r="AA74" s="1552"/>
      <c r="AB74" s="489"/>
      <c r="AC74" s="489"/>
      <c r="AD74" s="489"/>
      <c r="AE74" s="489"/>
    </row>
    <row r="75" spans="1:31" s="1561" customFormat="1" ht="11.25" customHeight="1">
      <c r="A75" s="898"/>
      <c r="B75" s="1556"/>
      <c r="C75" s="1556"/>
      <c r="D75" s="272"/>
      <c r="K75" s="1065"/>
      <c r="L75" s="1556"/>
      <c r="M75" s="1556"/>
      <c r="N75" s="1065"/>
      <c r="O75" s="1065"/>
      <c r="P75" s="1065"/>
      <c r="Q75" s="1065"/>
      <c r="R75" s="1556"/>
      <c r="S75" s="1065"/>
      <c r="T75" s="1065"/>
      <c r="U75" s="467"/>
      <c r="V75" s="1065"/>
      <c r="W75" s="1065"/>
      <c r="X75" s="1065"/>
      <c r="Y75" s="1065"/>
      <c r="Z75" s="1065"/>
      <c r="AA75" s="1552"/>
      <c r="AB75" s="489"/>
      <c r="AC75" s="489"/>
      <c r="AD75" s="489"/>
      <c r="AE75" s="489"/>
    </row>
    <row r="76" spans="1:31" s="1561" customFormat="1" ht="11.25" customHeight="1">
      <c r="A76" s="898"/>
      <c r="B76" s="1556"/>
      <c r="C76" s="1556"/>
      <c r="D76" s="272"/>
      <c r="K76" s="1065"/>
      <c r="L76" s="1556"/>
      <c r="M76" s="1556"/>
      <c r="N76" s="1065"/>
      <c r="O76" s="1065"/>
      <c r="P76" s="1065"/>
      <c r="Q76" s="1065"/>
      <c r="R76" s="1556"/>
      <c r="S76" s="1065"/>
      <c r="T76" s="1065"/>
      <c r="U76" s="467"/>
      <c r="V76" s="1065"/>
      <c r="W76" s="1065"/>
      <c r="X76" s="1065"/>
      <c r="Y76" s="1065"/>
      <c r="Z76" s="1065"/>
      <c r="AA76" s="1552"/>
      <c r="AB76" s="489"/>
      <c r="AC76" s="489"/>
      <c r="AD76" s="489"/>
      <c r="AE76" s="489"/>
    </row>
    <row r="77" spans="1:31" s="1561" customFormat="1" ht="11.25" customHeight="1">
      <c r="A77" s="898"/>
      <c r="B77" s="1556"/>
      <c r="C77" s="1556"/>
      <c r="D77" s="272"/>
      <c r="K77" s="1065"/>
      <c r="L77" s="1556"/>
      <c r="M77" s="1556"/>
      <c r="N77" s="1065"/>
      <c r="O77" s="1065"/>
      <c r="P77" s="1065"/>
      <c r="Q77" s="1065"/>
      <c r="R77" s="1556"/>
      <c r="S77" s="1065"/>
      <c r="T77" s="1065"/>
      <c r="U77" s="467"/>
      <c r="V77" s="1065"/>
      <c r="W77" s="1065"/>
      <c r="X77" s="1065"/>
      <c r="Y77" s="1065"/>
      <c r="Z77" s="1065"/>
      <c r="AA77" s="1552"/>
      <c r="AB77" s="489"/>
      <c r="AC77" s="489"/>
      <c r="AD77" s="489"/>
      <c r="AE77" s="489"/>
    </row>
    <row r="78" spans="1:31" s="1561" customFormat="1" ht="11.25" customHeight="1">
      <c r="A78" s="898"/>
      <c r="B78" s="1556"/>
      <c r="C78" s="1556"/>
      <c r="D78" s="272"/>
      <c r="K78" s="1065"/>
      <c r="L78" s="1556"/>
      <c r="M78" s="1556"/>
      <c r="N78" s="1065"/>
      <c r="O78" s="1065"/>
      <c r="P78" s="1065"/>
      <c r="Q78" s="1065"/>
      <c r="R78" s="1556"/>
      <c r="S78" s="1065"/>
      <c r="T78" s="1065"/>
      <c r="U78" s="467"/>
      <c r="V78" s="1065"/>
      <c r="W78" s="1065"/>
      <c r="X78" s="1065"/>
      <c r="Y78" s="1065"/>
      <c r="Z78" s="1065"/>
      <c r="AA78" s="1552"/>
      <c r="AB78" s="489"/>
      <c r="AC78" s="489"/>
      <c r="AD78" s="489"/>
      <c r="AE78" s="489"/>
    </row>
    <row r="79" spans="1:31" s="1561" customFormat="1" ht="11.25" customHeight="1">
      <c r="A79" s="898"/>
      <c r="B79" s="1556"/>
      <c r="C79" s="1556"/>
      <c r="D79" s="272"/>
      <c r="K79" s="1065"/>
      <c r="L79" s="1556"/>
      <c r="M79" s="1556"/>
      <c r="N79" s="1065"/>
      <c r="O79" s="1065"/>
      <c r="P79" s="1065"/>
      <c r="Q79" s="1065"/>
      <c r="R79" s="1556"/>
      <c r="S79" s="1065"/>
      <c r="T79" s="1065"/>
      <c r="U79" s="467"/>
      <c r="V79" s="1065"/>
      <c r="W79" s="1065"/>
      <c r="X79" s="1065"/>
      <c r="Y79" s="1065"/>
      <c r="Z79" s="1065"/>
      <c r="AA79" s="1552"/>
      <c r="AB79" s="489"/>
      <c r="AC79" s="489"/>
      <c r="AD79" s="489"/>
      <c r="AE79" s="489"/>
    </row>
    <row r="80" spans="1:31" s="1561" customFormat="1" ht="11.25" customHeight="1">
      <c r="A80" s="898"/>
      <c r="B80" s="1556"/>
      <c r="C80" s="1556"/>
      <c r="D80" s="272"/>
      <c r="K80" s="1065"/>
      <c r="L80" s="1556"/>
      <c r="M80" s="1556"/>
      <c r="N80" s="1065"/>
      <c r="O80" s="1065"/>
      <c r="P80" s="1065"/>
      <c r="Q80" s="1065"/>
      <c r="R80" s="1556"/>
      <c r="S80" s="1065"/>
      <c r="T80" s="1065"/>
      <c r="U80" s="467"/>
      <c r="V80" s="1065"/>
      <c r="W80" s="1065"/>
      <c r="X80" s="1065"/>
      <c r="Y80" s="1065"/>
      <c r="Z80" s="1065"/>
      <c r="AA80" s="1552"/>
      <c r="AB80" s="489"/>
      <c r="AC80" s="489"/>
      <c r="AD80" s="489"/>
      <c r="AE80" s="489"/>
    </row>
    <row r="81" spans="1:31" s="1561" customFormat="1" ht="11.25" customHeight="1">
      <c r="A81" s="898"/>
      <c r="B81" s="1556"/>
      <c r="C81" s="1556"/>
      <c r="D81" s="272"/>
      <c r="K81" s="1065"/>
      <c r="L81" s="1556"/>
      <c r="M81" s="1556"/>
      <c r="N81" s="1065"/>
      <c r="O81" s="1065"/>
      <c r="P81" s="1065"/>
      <c r="Q81" s="1065"/>
      <c r="R81" s="1556"/>
      <c r="S81" s="1065"/>
      <c r="T81" s="1065"/>
      <c r="U81" s="467"/>
      <c r="V81" s="1065"/>
      <c r="W81" s="1065"/>
      <c r="X81" s="1065"/>
      <c r="Y81" s="1065"/>
      <c r="Z81" s="1065"/>
      <c r="AA81" s="1552"/>
      <c r="AB81" s="489"/>
      <c r="AC81" s="489"/>
      <c r="AD81" s="489"/>
      <c r="AE81" s="489"/>
    </row>
    <row r="82" spans="1:31" s="1561" customFormat="1" ht="11.25" customHeight="1">
      <c r="A82" s="898"/>
      <c r="B82" s="1556"/>
      <c r="C82" s="1556"/>
      <c r="D82" s="272"/>
      <c r="K82" s="1065"/>
      <c r="L82" s="1556"/>
      <c r="M82" s="1556"/>
      <c r="N82" s="1065"/>
      <c r="O82" s="1065"/>
      <c r="P82" s="1065"/>
      <c r="Q82" s="1065"/>
      <c r="R82" s="1556"/>
      <c r="S82" s="1065"/>
      <c r="T82" s="1065"/>
      <c r="U82" s="467"/>
      <c r="V82" s="1065"/>
      <c r="W82" s="1065"/>
      <c r="X82" s="1065"/>
      <c r="Y82" s="1065"/>
      <c r="Z82" s="1065"/>
      <c r="AA82" s="1552"/>
      <c r="AB82" s="489"/>
      <c r="AC82" s="489"/>
      <c r="AD82" s="489"/>
      <c r="AE82" s="489"/>
    </row>
    <row r="83" spans="1:31" s="1561" customFormat="1" ht="11.25" customHeight="1">
      <c r="A83" s="898"/>
      <c r="B83" s="1556"/>
      <c r="C83" s="1556"/>
      <c r="D83" s="272"/>
      <c r="K83" s="1065"/>
      <c r="L83" s="1556"/>
      <c r="M83" s="1556"/>
      <c r="N83" s="1065"/>
      <c r="O83" s="1065"/>
      <c r="P83" s="1065"/>
      <c r="Q83" s="1065"/>
      <c r="R83" s="1556"/>
      <c r="S83" s="1065"/>
      <c r="T83" s="1065"/>
      <c r="U83" s="467"/>
      <c r="V83" s="1065"/>
      <c r="W83" s="1065"/>
      <c r="X83" s="1065"/>
      <c r="Y83" s="1065"/>
      <c r="Z83" s="1065"/>
      <c r="AA83" s="1552"/>
      <c r="AB83" s="489"/>
      <c r="AC83" s="489"/>
      <c r="AD83" s="489"/>
      <c r="AE83" s="489"/>
    </row>
    <row r="84" spans="1:31" s="1561" customFormat="1" ht="11.25" customHeight="1">
      <c r="A84" s="898"/>
      <c r="B84" s="1556"/>
      <c r="C84" s="1556"/>
      <c r="D84" s="272"/>
      <c r="K84" s="1065"/>
      <c r="L84" s="1556"/>
      <c r="M84" s="1556"/>
      <c r="N84" s="1065"/>
      <c r="O84" s="1065"/>
      <c r="P84" s="1065"/>
      <c r="Q84" s="1065"/>
      <c r="R84" s="1556"/>
      <c r="S84" s="1065"/>
      <c r="T84" s="1065"/>
      <c r="U84" s="467"/>
      <c r="V84" s="1065"/>
      <c r="W84" s="1065"/>
      <c r="X84" s="1065"/>
      <c r="Y84" s="1065"/>
      <c r="Z84" s="1065"/>
      <c r="AA84" s="1552"/>
      <c r="AB84" s="489"/>
      <c r="AC84" s="489"/>
      <c r="AD84" s="489"/>
      <c r="AE84" s="489"/>
    </row>
    <row r="85" spans="1:31" s="1561" customFormat="1" ht="11.25" customHeight="1">
      <c r="A85" s="898"/>
      <c r="B85" s="1556"/>
      <c r="C85" s="1556"/>
      <c r="D85" s="272"/>
      <c r="K85" s="1065"/>
      <c r="L85" s="1556"/>
      <c r="M85" s="1556"/>
      <c r="N85" s="1065"/>
      <c r="O85" s="1065"/>
      <c r="P85" s="1065"/>
      <c r="Q85" s="1065"/>
      <c r="R85" s="1556"/>
      <c r="S85" s="1065"/>
      <c r="T85" s="1065"/>
      <c r="U85" s="467"/>
      <c r="V85" s="1065"/>
      <c r="W85" s="1065"/>
      <c r="X85" s="1065"/>
      <c r="Y85" s="1065"/>
      <c r="Z85" s="1065"/>
      <c r="AA85" s="1552"/>
      <c r="AB85" s="489"/>
      <c r="AC85" s="489"/>
      <c r="AD85" s="489"/>
      <c r="AE85" s="489"/>
    </row>
    <row r="86" spans="1:31" s="1561" customFormat="1" ht="11.25" customHeight="1">
      <c r="A86" s="898"/>
      <c r="B86" s="1556"/>
      <c r="C86" s="1556"/>
      <c r="D86" s="272"/>
      <c r="K86" s="1065"/>
      <c r="L86" s="1556"/>
      <c r="M86" s="1556"/>
      <c r="N86" s="1065"/>
      <c r="O86" s="1065"/>
      <c r="P86" s="1065"/>
      <c r="Q86" s="1065"/>
      <c r="R86" s="1556"/>
      <c r="S86" s="1065"/>
      <c r="T86" s="1065"/>
      <c r="U86" s="467"/>
      <c r="V86" s="1065"/>
      <c r="W86" s="1065"/>
      <c r="X86" s="1065"/>
      <c r="Y86" s="1065"/>
      <c r="Z86" s="1065"/>
      <c r="AA86" s="1552"/>
      <c r="AB86" s="489"/>
      <c r="AC86" s="489"/>
      <c r="AD86" s="489"/>
      <c r="AE86" s="489"/>
    </row>
    <row r="87" spans="1:31" s="1561" customFormat="1" ht="11.25" customHeight="1">
      <c r="A87" s="898"/>
      <c r="B87" s="1556"/>
      <c r="C87" s="1556"/>
      <c r="D87" s="272"/>
      <c r="K87" s="1065"/>
      <c r="L87" s="1556"/>
      <c r="M87" s="1556"/>
      <c r="N87" s="1065"/>
      <c r="O87" s="1065"/>
      <c r="P87" s="1065"/>
      <c r="Q87" s="1065"/>
      <c r="R87" s="1556"/>
      <c r="S87" s="1065"/>
      <c r="T87" s="1065"/>
      <c r="U87" s="467"/>
      <c r="V87" s="1065"/>
      <c r="W87" s="1065"/>
      <c r="X87" s="1065"/>
      <c r="Y87" s="1065"/>
      <c r="Z87" s="1065"/>
      <c r="AA87" s="1552"/>
      <c r="AB87" s="489"/>
      <c r="AC87" s="489"/>
      <c r="AD87" s="489"/>
      <c r="AE87" s="489"/>
    </row>
    <row r="88" spans="1:31" s="1561" customFormat="1" ht="11.25" customHeight="1">
      <c r="A88" s="898"/>
      <c r="B88" s="1556"/>
      <c r="C88" s="1556"/>
      <c r="D88" s="272"/>
      <c r="K88" s="1065"/>
      <c r="L88" s="1556"/>
      <c r="M88" s="1556"/>
      <c r="N88" s="1065"/>
      <c r="O88" s="1065"/>
      <c r="P88" s="1065"/>
      <c r="Q88" s="1065"/>
      <c r="R88" s="1556"/>
      <c r="S88" s="1065"/>
      <c r="T88" s="1065"/>
      <c r="U88" s="467"/>
      <c r="V88" s="1065"/>
      <c r="W88" s="1065"/>
      <c r="X88" s="1065"/>
      <c r="Y88" s="1065"/>
      <c r="Z88" s="1065"/>
      <c r="AA88" s="1552"/>
      <c r="AB88" s="489"/>
      <c r="AC88" s="489"/>
      <c r="AD88" s="489"/>
      <c r="AE88" s="489"/>
    </row>
    <row r="89" spans="1:31" s="1561" customFormat="1" ht="11.25" customHeight="1">
      <c r="A89" s="898"/>
      <c r="B89" s="1556"/>
      <c r="C89" s="1556"/>
      <c r="D89" s="272"/>
      <c r="K89" s="1065"/>
      <c r="L89" s="1556"/>
      <c r="M89" s="1556"/>
      <c r="N89" s="1065"/>
      <c r="O89" s="1065"/>
      <c r="P89" s="1065"/>
      <c r="Q89" s="1065"/>
      <c r="R89" s="1556"/>
      <c r="S89" s="1065"/>
      <c r="T89" s="1065"/>
      <c r="U89" s="467"/>
      <c r="V89" s="1065"/>
      <c r="W89" s="1065"/>
      <c r="X89" s="1065"/>
      <c r="Y89" s="1065"/>
      <c r="Z89" s="1065"/>
      <c r="AA89" s="1552"/>
      <c r="AB89" s="489"/>
      <c r="AC89" s="489"/>
      <c r="AD89" s="489"/>
      <c r="AE89" s="489"/>
    </row>
    <row r="90" spans="1:31" s="1561" customFormat="1" ht="11.25" customHeight="1">
      <c r="A90" s="898"/>
      <c r="B90" s="1556"/>
      <c r="C90" s="1556"/>
      <c r="D90" s="272"/>
      <c r="K90" s="1065"/>
      <c r="L90" s="1556"/>
      <c r="M90" s="1556"/>
      <c r="N90" s="1065"/>
      <c r="O90" s="1065"/>
      <c r="P90" s="1065"/>
      <c r="Q90" s="1065"/>
      <c r="R90" s="1556"/>
      <c r="S90" s="1065"/>
      <c r="T90" s="1065"/>
      <c r="U90" s="467"/>
      <c r="V90" s="1065"/>
      <c r="W90" s="1065"/>
      <c r="X90" s="1065"/>
      <c r="Y90" s="1065"/>
      <c r="Z90" s="1065"/>
      <c r="AA90" s="1552"/>
      <c r="AB90" s="489"/>
      <c r="AC90" s="489"/>
      <c r="AD90" s="489"/>
      <c r="AE90" s="489"/>
    </row>
    <row r="91" spans="1:31" s="1561" customFormat="1" ht="11.25" customHeight="1">
      <c r="A91" s="898"/>
      <c r="B91" s="1556"/>
      <c r="C91" s="1556"/>
      <c r="D91" s="272"/>
      <c r="K91" s="1065"/>
      <c r="L91" s="1556"/>
      <c r="M91" s="1556"/>
      <c r="N91" s="1065"/>
      <c r="O91" s="1065"/>
      <c r="P91" s="1065"/>
      <c r="Q91" s="1065"/>
      <c r="R91" s="1556"/>
      <c r="S91" s="1065"/>
      <c r="T91" s="1065"/>
      <c r="U91" s="467"/>
      <c r="V91" s="1065"/>
      <c r="W91" s="1065"/>
      <c r="X91" s="1065"/>
      <c r="Y91" s="1065"/>
      <c r="Z91" s="1065"/>
      <c r="AA91" s="1552"/>
      <c r="AB91" s="489"/>
      <c r="AC91" s="489"/>
      <c r="AD91" s="489"/>
      <c r="AE91" s="489"/>
    </row>
    <row r="92" spans="1:31" s="1561" customFormat="1" ht="11.25" customHeight="1">
      <c r="A92" s="898"/>
      <c r="B92" s="1556"/>
      <c r="C92" s="1556"/>
      <c r="D92" s="272"/>
      <c r="K92" s="1065"/>
      <c r="L92" s="1556"/>
      <c r="M92" s="1556"/>
      <c r="N92" s="1065"/>
      <c r="O92" s="1065"/>
      <c r="P92" s="1065"/>
      <c r="Q92" s="1065"/>
      <c r="R92" s="1556"/>
      <c r="S92" s="1065"/>
      <c r="T92" s="1065"/>
      <c r="U92" s="467"/>
      <c r="V92" s="1065"/>
      <c r="W92" s="1065"/>
      <c r="X92" s="1065"/>
      <c r="Y92" s="1065"/>
      <c r="Z92" s="1065"/>
      <c r="AA92" s="1552"/>
      <c r="AB92" s="489"/>
      <c r="AC92" s="489"/>
      <c r="AD92" s="489"/>
      <c r="AE92" s="489"/>
    </row>
    <row r="93" spans="1:31" s="1561" customFormat="1" ht="11.25" customHeight="1">
      <c r="A93" s="898"/>
      <c r="B93" s="1556"/>
      <c r="C93" s="1556"/>
      <c r="D93" s="272"/>
      <c r="K93" s="1065"/>
      <c r="L93" s="1556"/>
      <c r="M93" s="1556"/>
      <c r="N93" s="1065"/>
      <c r="O93" s="1065"/>
      <c r="P93" s="1065"/>
      <c r="Q93" s="1065"/>
      <c r="R93" s="1556"/>
      <c r="S93" s="1065"/>
      <c r="T93" s="1065"/>
      <c r="U93" s="467"/>
      <c r="V93" s="1065"/>
      <c r="W93" s="1065"/>
      <c r="X93" s="1065"/>
      <c r="Y93" s="1065"/>
      <c r="Z93" s="1065"/>
      <c r="AA93" s="1552"/>
      <c r="AB93" s="489"/>
      <c r="AC93" s="489"/>
      <c r="AD93" s="489"/>
      <c r="AE93" s="489"/>
    </row>
    <row r="94" spans="1:31" s="1561" customFormat="1" ht="11.25" customHeight="1">
      <c r="A94" s="898"/>
      <c r="B94" s="1556"/>
      <c r="C94" s="1556"/>
      <c r="D94" s="272"/>
      <c r="K94" s="1065"/>
      <c r="L94" s="1556"/>
      <c r="M94" s="1556"/>
      <c r="N94" s="1065"/>
      <c r="O94" s="1065"/>
      <c r="P94" s="1065"/>
      <c r="Q94" s="1065"/>
      <c r="R94" s="1556"/>
      <c r="S94" s="1065"/>
      <c r="T94" s="1065"/>
      <c r="U94" s="467"/>
      <c r="V94" s="1065"/>
      <c r="W94" s="1065"/>
      <c r="X94" s="1065"/>
      <c r="Y94" s="1065"/>
      <c r="Z94" s="1065"/>
      <c r="AA94" s="1552"/>
      <c r="AB94" s="489"/>
      <c r="AC94" s="489"/>
      <c r="AD94" s="489"/>
      <c r="AE94" s="489"/>
    </row>
    <row r="95" spans="1:31" s="1561" customFormat="1" ht="11.25" customHeight="1">
      <c r="A95" s="898"/>
      <c r="B95" s="1556"/>
      <c r="C95" s="1556"/>
      <c r="D95" s="272"/>
      <c r="K95" s="1065"/>
      <c r="L95" s="1556"/>
      <c r="M95" s="1556"/>
      <c r="N95" s="1065"/>
      <c r="O95" s="1065"/>
      <c r="P95" s="1065"/>
      <c r="Q95" s="1065"/>
      <c r="R95" s="1556"/>
      <c r="S95" s="1065"/>
      <c r="T95" s="1065"/>
      <c r="U95" s="467"/>
      <c r="V95" s="1065"/>
      <c r="W95" s="1065"/>
      <c r="X95" s="1065"/>
      <c r="Y95" s="1065"/>
      <c r="Z95" s="1065"/>
      <c r="AA95" s="1552"/>
      <c r="AB95" s="489"/>
      <c r="AC95" s="489"/>
      <c r="AD95" s="489"/>
      <c r="AE95" s="489"/>
    </row>
    <row r="96" spans="1:31" s="1561" customFormat="1" ht="11.25" customHeight="1">
      <c r="A96" s="898"/>
      <c r="B96" s="1556"/>
      <c r="C96" s="1556"/>
      <c r="D96" s="272"/>
      <c r="K96" s="1065"/>
      <c r="L96" s="1556"/>
      <c r="M96" s="1556"/>
      <c r="N96" s="1065"/>
      <c r="O96" s="1065"/>
      <c r="P96" s="1065"/>
      <c r="Q96" s="1065"/>
      <c r="R96" s="1556"/>
      <c r="S96" s="1065"/>
      <c r="T96" s="1065"/>
      <c r="U96" s="467"/>
      <c r="V96" s="1065"/>
      <c r="W96" s="1065"/>
      <c r="X96" s="1065"/>
      <c r="Y96" s="1065"/>
      <c r="Z96" s="1065"/>
      <c r="AA96" s="1552"/>
      <c r="AB96" s="489"/>
      <c r="AC96" s="489"/>
      <c r="AD96" s="489"/>
      <c r="AE96" s="489"/>
    </row>
    <row r="97" spans="1:31" s="1561" customFormat="1" ht="11.25" customHeight="1">
      <c r="A97" s="898"/>
      <c r="B97" s="1556"/>
      <c r="C97" s="1556"/>
      <c r="D97" s="272"/>
      <c r="K97" s="1065"/>
      <c r="L97" s="1556"/>
      <c r="M97" s="1556"/>
      <c r="N97" s="1065"/>
      <c r="O97" s="1065"/>
      <c r="P97" s="1065"/>
      <c r="Q97" s="1065"/>
      <c r="R97" s="1556"/>
      <c r="S97" s="1065"/>
      <c r="T97" s="1065"/>
      <c r="U97" s="467"/>
      <c r="V97" s="1065"/>
      <c r="W97" s="1065"/>
      <c r="X97" s="1065"/>
      <c r="Y97" s="1065"/>
      <c r="Z97" s="1065"/>
      <c r="AA97" s="1552"/>
      <c r="AB97" s="489"/>
      <c r="AC97" s="489"/>
      <c r="AD97" s="489"/>
      <c r="AE97" s="489"/>
    </row>
    <row r="98" spans="1:31" s="1561" customFormat="1" ht="11.25" customHeight="1">
      <c r="A98" s="898"/>
      <c r="B98" s="1556"/>
      <c r="C98" s="1556"/>
      <c r="D98" s="272"/>
      <c r="K98" s="1065"/>
      <c r="L98" s="1556"/>
      <c r="M98" s="1556"/>
      <c r="N98" s="1065"/>
      <c r="O98" s="1065"/>
      <c r="P98" s="1065"/>
      <c r="Q98" s="1065"/>
      <c r="R98" s="1556"/>
      <c r="S98" s="1065"/>
      <c r="T98" s="1065"/>
      <c r="U98" s="467"/>
      <c r="V98" s="1065"/>
      <c r="W98" s="1065"/>
      <c r="X98" s="1065"/>
      <c r="Y98" s="1065"/>
      <c r="Z98" s="1065"/>
      <c r="AA98" s="1552"/>
      <c r="AB98" s="489"/>
      <c r="AC98" s="489"/>
      <c r="AD98" s="489"/>
      <c r="AE98" s="489"/>
    </row>
    <row r="99" spans="1:31" s="1561" customFormat="1" ht="11.25" customHeight="1">
      <c r="A99" s="898"/>
      <c r="B99" s="1556"/>
      <c r="C99" s="1556"/>
      <c r="D99" s="272"/>
      <c r="K99" s="1065"/>
      <c r="L99" s="1556"/>
      <c r="M99" s="1556"/>
      <c r="N99" s="1065"/>
      <c r="O99" s="1065"/>
      <c r="P99" s="1065"/>
      <c r="Q99" s="1065"/>
      <c r="R99" s="1556"/>
      <c r="S99" s="1065"/>
      <c r="T99" s="1065"/>
      <c r="U99" s="467"/>
      <c r="V99" s="1065"/>
      <c r="W99" s="1065"/>
      <c r="X99" s="1065"/>
      <c r="Y99" s="1065"/>
      <c r="Z99" s="1065"/>
      <c r="AA99" s="1552"/>
      <c r="AB99" s="489"/>
      <c r="AC99" s="489"/>
      <c r="AD99" s="489"/>
      <c r="AE99" s="489"/>
    </row>
    <row r="100" spans="1:31" s="1561" customFormat="1" ht="11.25" customHeight="1">
      <c r="A100" s="898"/>
      <c r="B100" s="1556"/>
      <c r="C100" s="1556"/>
      <c r="D100" s="272"/>
      <c r="K100" s="1065"/>
      <c r="L100" s="1556"/>
      <c r="M100" s="1556"/>
      <c r="N100" s="1065"/>
      <c r="O100" s="1065"/>
      <c r="P100" s="1065"/>
      <c r="Q100" s="1065"/>
      <c r="R100" s="1556"/>
      <c r="S100" s="1065"/>
      <c r="T100" s="1065"/>
      <c r="U100" s="467"/>
      <c r="V100" s="1065"/>
      <c r="W100" s="1065"/>
      <c r="X100" s="1065"/>
      <c r="Y100" s="1065"/>
      <c r="Z100" s="1065"/>
      <c r="AA100" s="1552"/>
      <c r="AB100" s="489"/>
      <c r="AC100" s="489"/>
      <c r="AD100" s="489"/>
      <c r="AE100" s="489"/>
    </row>
    <row r="101" spans="1:31" s="1561" customFormat="1" ht="11.25" customHeight="1">
      <c r="A101" s="898"/>
      <c r="B101" s="1556"/>
      <c r="C101" s="1556"/>
      <c r="D101" s="272"/>
      <c r="K101" s="1065"/>
      <c r="L101" s="1556"/>
      <c r="M101" s="1556"/>
      <c r="N101" s="1065"/>
      <c r="O101" s="1065"/>
      <c r="P101" s="1065"/>
      <c r="Q101" s="1065"/>
      <c r="R101" s="1556"/>
      <c r="S101" s="1065"/>
      <c r="T101" s="1065"/>
      <c r="U101" s="467"/>
      <c r="V101" s="1065"/>
      <c r="W101" s="1065"/>
      <c r="X101" s="1065"/>
      <c r="Y101" s="1065"/>
      <c r="Z101" s="1065"/>
      <c r="AA101" s="1552"/>
      <c r="AB101" s="489"/>
      <c r="AC101" s="489"/>
      <c r="AD101" s="489"/>
      <c r="AE101" s="489"/>
    </row>
    <row r="102" spans="1:31" s="1561" customFormat="1" ht="11.25" customHeight="1">
      <c r="A102" s="898"/>
      <c r="B102" s="1556"/>
      <c r="C102" s="1556"/>
      <c r="D102" s="272"/>
      <c r="K102" s="1065"/>
      <c r="L102" s="1556"/>
      <c r="M102" s="1556"/>
      <c r="N102" s="1065"/>
      <c r="O102" s="1065"/>
      <c r="P102" s="1065"/>
      <c r="Q102" s="1065"/>
      <c r="R102" s="1556"/>
      <c r="S102" s="1065"/>
      <c r="T102" s="1065"/>
      <c r="U102" s="467"/>
      <c r="V102" s="1065"/>
      <c r="W102" s="1065"/>
      <c r="X102" s="1065"/>
      <c r="Y102" s="1065"/>
      <c r="Z102" s="1065"/>
      <c r="AA102" s="1552"/>
      <c r="AB102" s="489"/>
      <c r="AC102" s="489"/>
      <c r="AD102" s="489"/>
      <c r="AE102" s="489"/>
    </row>
    <row r="103" spans="1:31" s="1561" customFormat="1" ht="11.25" customHeight="1">
      <c r="A103" s="898"/>
      <c r="B103" s="1556"/>
      <c r="C103" s="1556"/>
      <c r="D103" s="272"/>
      <c r="K103" s="1065"/>
      <c r="L103" s="1556"/>
      <c r="M103" s="1556"/>
      <c r="N103" s="1065"/>
      <c r="O103" s="1065"/>
      <c r="P103" s="1065"/>
      <c r="Q103" s="1065"/>
      <c r="R103" s="1556"/>
      <c r="S103" s="1065"/>
      <c r="T103" s="1065"/>
      <c r="U103" s="467"/>
      <c r="V103" s="1065"/>
      <c r="W103" s="1065"/>
      <c r="X103" s="1065"/>
      <c r="Y103" s="1065"/>
      <c r="Z103" s="1065"/>
      <c r="AA103" s="1552"/>
      <c r="AB103" s="489"/>
      <c r="AC103" s="489"/>
      <c r="AD103" s="489"/>
      <c r="AE103" s="489"/>
    </row>
    <row r="104" spans="1:31" s="1561" customFormat="1" ht="11.25" customHeight="1">
      <c r="A104" s="898"/>
      <c r="B104" s="1556"/>
      <c r="C104" s="1556"/>
      <c r="D104" s="272"/>
      <c r="K104" s="1065"/>
      <c r="L104" s="1556"/>
      <c r="M104" s="1556"/>
      <c r="N104" s="1065"/>
      <c r="O104" s="1065"/>
      <c r="P104" s="1065"/>
      <c r="Q104" s="1065"/>
      <c r="R104" s="1556"/>
      <c r="S104" s="1065"/>
      <c r="T104" s="1065"/>
      <c r="U104" s="467"/>
      <c r="V104" s="1065"/>
      <c r="W104" s="1065"/>
      <c r="X104" s="1065"/>
      <c r="Y104" s="1065"/>
      <c r="Z104" s="1065"/>
      <c r="AA104" s="1552"/>
      <c r="AB104" s="489"/>
      <c r="AC104" s="489"/>
      <c r="AD104" s="489"/>
      <c r="AE104" s="489"/>
    </row>
    <row r="105" spans="1:31" s="1561" customFormat="1" ht="11.25" customHeight="1">
      <c r="A105" s="898"/>
      <c r="B105" s="1556"/>
      <c r="C105" s="1556"/>
      <c r="D105" s="272"/>
      <c r="K105" s="1065"/>
      <c r="L105" s="1556"/>
      <c r="M105" s="1556"/>
      <c r="N105" s="1065"/>
      <c r="O105" s="1065"/>
      <c r="P105" s="1065"/>
      <c r="Q105" s="1065"/>
      <c r="R105" s="1556"/>
      <c r="S105" s="1065"/>
      <c r="T105" s="1065"/>
      <c r="U105" s="467"/>
      <c r="V105" s="1065"/>
      <c r="W105" s="1065"/>
      <c r="X105" s="1065"/>
      <c r="Y105" s="1065"/>
      <c r="Z105" s="1065"/>
      <c r="AA105" s="1552"/>
      <c r="AB105" s="489"/>
      <c r="AC105" s="489"/>
      <c r="AD105" s="489"/>
      <c r="AE105" s="489"/>
    </row>
    <row r="106" spans="1:31" s="1561" customFormat="1" ht="11.25" customHeight="1">
      <c r="A106" s="898"/>
      <c r="B106" s="1556"/>
      <c r="C106" s="1556"/>
      <c r="D106" s="272"/>
      <c r="K106" s="1065"/>
      <c r="L106" s="1556"/>
      <c r="M106" s="1556"/>
      <c r="N106" s="1065"/>
      <c r="O106" s="1065"/>
      <c r="P106" s="1065"/>
      <c r="Q106" s="1065"/>
      <c r="R106" s="1556"/>
      <c r="S106" s="1065"/>
      <c r="T106" s="1065"/>
      <c r="U106" s="467"/>
      <c r="V106" s="1065"/>
      <c r="W106" s="1065"/>
      <c r="X106" s="1065"/>
      <c r="Y106" s="1065"/>
      <c r="Z106" s="1065"/>
      <c r="AA106" s="1552"/>
      <c r="AB106" s="489"/>
      <c r="AC106" s="489"/>
      <c r="AD106" s="489"/>
      <c r="AE106" s="489"/>
    </row>
    <row r="107" spans="1:31" s="1561" customFormat="1" ht="11.25" customHeight="1">
      <c r="A107" s="898"/>
      <c r="B107" s="1556"/>
      <c r="C107" s="1556"/>
      <c r="D107" s="272"/>
      <c r="K107" s="1065"/>
      <c r="L107" s="1556"/>
      <c r="M107" s="1556"/>
      <c r="N107" s="1065"/>
      <c r="O107" s="1065"/>
      <c r="P107" s="1065"/>
      <c r="Q107" s="1065"/>
      <c r="R107" s="1556"/>
      <c r="S107" s="1065"/>
      <c r="T107" s="1065"/>
      <c r="U107" s="467"/>
      <c r="V107" s="1065"/>
      <c r="W107" s="1065"/>
      <c r="X107" s="1065"/>
      <c r="Y107" s="1065"/>
      <c r="Z107" s="1065"/>
      <c r="AA107" s="1552"/>
      <c r="AB107" s="489"/>
      <c r="AC107" s="489"/>
      <c r="AD107" s="489"/>
      <c r="AE107" s="489"/>
    </row>
    <row r="108" spans="1:31" s="1561" customFormat="1" ht="11.25" customHeight="1">
      <c r="A108" s="898"/>
      <c r="B108" s="1556"/>
      <c r="C108" s="1556"/>
      <c r="D108" s="272"/>
      <c r="K108" s="1065"/>
      <c r="L108" s="1556"/>
      <c r="M108" s="1556"/>
      <c r="N108" s="1065"/>
      <c r="O108" s="1065"/>
      <c r="P108" s="1065"/>
      <c r="Q108" s="1065"/>
      <c r="R108" s="1556"/>
      <c r="S108" s="1065"/>
      <c r="T108" s="1065"/>
      <c r="U108" s="467"/>
      <c r="V108" s="1065"/>
      <c r="W108" s="1065"/>
      <c r="X108" s="1065"/>
      <c r="Y108" s="1065"/>
      <c r="Z108" s="1065"/>
      <c r="AA108" s="1552"/>
      <c r="AB108" s="489"/>
      <c r="AC108" s="489"/>
      <c r="AD108" s="489"/>
      <c r="AE108" s="489"/>
    </row>
    <row r="109" spans="1:31" s="1561" customFormat="1" ht="11.25" customHeight="1">
      <c r="A109" s="898"/>
      <c r="B109" s="1556"/>
      <c r="C109" s="1556"/>
      <c r="D109" s="272"/>
      <c r="K109" s="1065"/>
      <c r="L109" s="1556"/>
      <c r="M109" s="1556"/>
      <c r="N109" s="1065"/>
      <c r="O109" s="1065"/>
      <c r="P109" s="1065"/>
      <c r="Q109" s="1065"/>
      <c r="R109" s="1556"/>
      <c r="S109" s="1065"/>
      <c r="T109" s="1065"/>
      <c r="U109" s="467"/>
      <c r="V109" s="1065"/>
      <c r="W109" s="1065"/>
      <c r="X109" s="1065"/>
      <c r="Y109" s="1065"/>
      <c r="Z109" s="1065"/>
      <c r="AA109" s="1552"/>
      <c r="AB109" s="489"/>
      <c r="AC109" s="489"/>
      <c r="AD109" s="489"/>
      <c r="AE109" s="489"/>
    </row>
    <row r="110" spans="1:31" s="1561" customFormat="1" ht="11.25" customHeight="1">
      <c r="A110" s="898"/>
      <c r="B110" s="1556"/>
      <c r="C110" s="1556"/>
      <c r="D110" s="272"/>
      <c r="K110" s="1065"/>
      <c r="L110" s="1556"/>
      <c r="M110" s="1556"/>
      <c r="N110" s="1065"/>
      <c r="O110" s="1065"/>
      <c r="P110" s="1065"/>
      <c r="Q110" s="1065"/>
      <c r="R110" s="1556"/>
      <c r="S110" s="1065"/>
      <c r="T110" s="1065"/>
      <c r="U110" s="467"/>
      <c r="V110" s="1065"/>
      <c r="W110" s="1065"/>
      <c r="X110" s="1065"/>
      <c r="Y110" s="1065"/>
      <c r="Z110" s="1065"/>
      <c r="AA110" s="1552"/>
      <c r="AB110" s="489"/>
      <c r="AC110" s="489"/>
      <c r="AD110" s="489"/>
      <c r="AE110" s="489"/>
    </row>
    <row r="111" spans="1:31" s="1561" customFormat="1" ht="11.25" customHeight="1">
      <c r="A111" s="898"/>
      <c r="B111" s="1556"/>
      <c r="C111" s="1556"/>
      <c r="D111" s="272"/>
      <c r="K111" s="1065"/>
      <c r="L111" s="1556"/>
      <c r="M111" s="1556"/>
      <c r="N111" s="1065"/>
      <c r="O111" s="1065"/>
      <c r="P111" s="1065"/>
      <c r="Q111" s="1065"/>
      <c r="R111" s="1556"/>
      <c r="S111" s="1065"/>
      <c r="T111" s="1065"/>
      <c r="U111" s="467"/>
      <c r="V111" s="1065"/>
      <c r="W111" s="1065"/>
      <c r="X111" s="1065"/>
      <c r="Y111" s="1065"/>
      <c r="Z111" s="1065"/>
      <c r="AA111" s="1552"/>
      <c r="AB111" s="489"/>
      <c r="AC111" s="489"/>
      <c r="AD111" s="489"/>
      <c r="AE111" s="489"/>
    </row>
    <row r="112" spans="1:31" s="1561" customFormat="1" ht="11.25" customHeight="1">
      <c r="A112" s="898"/>
      <c r="B112" s="1556"/>
      <c r="C112" s="1556"/>
      <c r="D112" s="272"/>
      <c r="K112" s="1065"/>
      <c r="L112" s="1556"/>
      <c r="M112" s="1556"/>
      <c r="N112" s="1065"/>
      <c r="O112" s="1065"/>
      <c r="P112" s="1065"/>
      <c r="Q112" s="1065"/>
      <c r="R112" s="1556"/>
      <c r="S112" s="1065"/>
      <c r="T112" s="1065"/>
      <c r="U112" s="467"/>
      <c r="V112" s="1065"/>
      <c r="W112" s="1065"/>
      <c r="X112" s="1065"/>
      <c r="Y112" s="1065"/>
      <c r="Z112" s="1065"/>
      <c r="AA112" s="1552"/>
      <c r="AB112" s="489"/>
      <c r="AC112" s="489"/>
      <c r="AD112" s="489"/>
      <c r="AE112" s="489"/>
    </row>
    <row r="113" spans="1:31" s="1561" customFormat="1" ht="11.25" customHeight="1">
      <c r="A113" s="898"/>
      <c r="B113" s="1556"/>
      <c r="C113" s="1556"/>
      <c r="D113" s="272"/>
      <c r="K113" s="1065"/>
      <c r="L113" s="1556"/>
      <c r="M113" s="1556"/>
      <c r="N113" s="1065"/>
      <c r="O113" s="1065"/>
      <c r="P113" s="1065"/>
      <c r="Q113" s="1065"/>
      <c r="R113" s="1556"/>
      <c r="S113" s="1065"/>
      <c r="T113" s="1065"/>
      <c r="U113" s="467"/>
      <c r="V113" s="1065"/>
      <c r="W113" s="1065"/>
      <c r="X113" s="1065"/>
      <c r="Y113" s="1065"/>
      <c r="Z113" s="1065"/>
      <c r="AA113" s="1552"/>
      <c r="AB113" s="489"/>
      <c r="AC113" s="489"/>
      <c r="AD113" s="489"/>
      <c r="AE113" s="489"/>
    </row>
    <row r="114" spans="1:31" s="1561" customFormat="1" ht="11.25" customHeight="1">
      <c r="A114" s="898"/>
      <c r="B114" s="1556"/>
      <c r="C114" s="1556"/>
      <c r="D114" s="272"/>
      <c r="K114" s="1065"/>
      <c r="L114" s="1556"/>
      <c r="M114" s="1556"/>
      <c r="N114" s="1065"/>
      <c r="O114" s="1065"/>
      <c r="P114" s="1065"/>
      <c r="Q114" s="1065"/>
      <c r="R114" s="1556"/>
      <c r="S114" s="1065"/>
      <c r="T114" s="1065"/>
      <c r="U114" s="467"/>
      <c r="V114" s="1065"/>
      <c r="W114" s="1065"/>
      <c r="X114" s="1065"/>
      <c r="Y114" s="1065"/>
      <c r="Z114" s="1065"/>
      <c r="AA114" s="1552"/>
      <c r="AB114" s="489"/>
      <c r="AC114" s="489"/>
      <c r="AD114" s="489"/>
      <c r="AE114" s="489"/>
    </row>
    <row r="115" spans="1:31" s="1561" customFormat="1" ht="11.25" customHeight="1">
      <c r="A115" s="898"/>
      <c r="B115" s="1556"/>
      <c r="C115" s="1556"/>
      <c r="D115" s="272"/>
      <c r="K115" s="1065"/>
      <c r="L115" s="1556"/>
      <c r="M115" s="1556"/>
      <c r="N115" s="1065"/>
      <c r="O115" s="1065"/>
      <c r="P115" s="1065"/>
      <c r="Q115" s="1065"/>
      <c r="R115" s="1556"/>
      <c r="S115" s="1065"/>
      <c r="T115" s="1065"/>
      <c r="U115" s="467"/>
      <c r="V115" s="1065"/>
      <c r="W115" s="1065"/>
      <c r="X115" s="1065"/>
      <c r="Y115" s="1065"/>
      <c r="Z115" s="1065"/>
      <c r="AA115" s="1552"/>
      <c r="AB115" s="489"/>
      <c r="AC115" s="489"/>
      <c r="AD115" s="489"/>
      <c r="AE115" s="489"/>
    </row>
    <row r="116" spans="1:31" s="1561" customFormat="1" ht="11.25" customHeight="1">
      <c r="A116" s="898"/>
      <c r="B116" s="1556"/>
      <c r="C116" s="1556"/>
      <c r="D116" s="272"/>
      <c r="K116" s="1065"/>
      <c r="L116" s="1556"/>
      <c r="M116" s="1556"/>
      <c r="N116" s="1065"/>
      <c r="O116" s="1065"/>
      <c r="P116" s="1065"/>
      <c r="Q116" s="1065"/>
      <c r="R116" s="1556"/>
      <c r="S116" s="1065"/>
      <c r="T116" s="1065"/>
      <c r="U116" s="467"/>
      <c r="V116" s="1065"/>
      <c r="W116" s="1065"/>
      <c r="X116" s="1065"/>
      <c r="Y116" s="1065"/>
      <c r="Z116" s="1065"/>
      <c r="AA116" s="1552"/>
      <c r="AB116" s="489"/>
      <c r="AC116" s="489"/>
      <c r="AD116" s="489"/>
      <c r="AE116" s="489"/>
    </row>
    <row r="117" spans="1:31" s="1561" customFormat="1" ht="11.25" customHeight="1">
      <c r="A117" s="898"/>
      <c r="B117" s="1556"/>
      <c r="C117" s="1556"/>
      <c r="D117" s="272"/>
      <c r="K117" s="1065"/>
      <c r="L117" s="1556"/>
      <c r="M117" s="1556"/>
      <c r="N117" s="1065"/>
      <c r="O117" s="1065"/>
      <c r="P117" s="1065"/>
      <c r="Q117" s="1065"/>
      <c r="R117" s="1556"/>
      <c r="S117" s="1065"/>
      <c r="T117" s="1065"/>
      <c r="U117" s="467"/>
      <c r="V117" s="1065"/>
      <c r="W117" s="1065"/>
      <c r="X117" s="1065"/>
      <c r="Y117" s="1065"/>
      <c r="Z117" s="1065"/>
      <c r="AA117" s="1552"/>
      <c r="AB117" s="489"/>
      <c r="AC117" s="489"/>
      <c r="AD117" s="489"/>
      <c r="AE117" s="489"/>
    </row>
    <row r="118" spans="1:31" s="1561" customFormat="1" ht="11.25" customHeight="1">
      <c r="A118" s="898"/>
      <c r="B118" s="1556"/>
      <c r="C118" s="1556"/>
      <c r="D118" s="272"/>
      <c r="K118" s="1065"/>
      <c r="L118" s="1556"/>
      <c r="M118" s="1556"/>
      <c r="N118" s="1065"/>
      <c r="O118" s="1065"/>
      <c r="P118" s="1065"/>
      <c r="Q118" s="1065"/>
      <c r="R118" s="1556"/>
      <c r="S118" s="1065"/>
      <c r="T118" s="1065"/>
      <c r="U118" s="467"/>
      <c r="V118" s="1065"/>
      <c r="W118" s="1065"/>
      <c r="X118" s="1065"/>
      <c r="Y118" s="1065"/>
      <c r="Z118" s="1065"/>
      <c r="AA118" s="1552"/>
      <c r="AB118" s="489"/>
      <c r="AC118" s="489"/>
      <c r="AD118" s="489"/>
      <c r="AE118" s="489"/>
    </row>
    <row r="119" spans="1:31" s="1561" customFormat="1" ht="11.25" customHeight="1">
      <c r="A119" s="898"/>
      <c r="B119" s="1556"/>
      <c r="C119" s="1556"/>
      <c r="D119" s="272"/>
      <c r="K119" s="1065"/>
      <c r="L119" s="1556"/>
      <c r="M119" s="1556"/>
      <c r="N119" s="1065"/>
      <c r="O119" s="1065"/>
      <c r="P119" s="1065"/>
      <c r="Q119" s="1065"/>
      <c r="R119" s="1556"/>
      <c r="S119" s="1065"/>
      <c r="T119" s="1065"/>
      <c r="U119" s="467"/>
      <c r="V119" s="1065"/>
      <c r="W119" s="1065"/>
      <c r="X119" s="1065"/>
      <c r="Y119" s="1065"/>
      <c r="Z119" s="1065"/>
      <c r="AA119" s="1552"/>
      <c r="AB119" s="489"/>
      <c r="AC119" s="489"/>
      <c r="AD119" s="489"/>
      <c r="AE119" s="489"/>
    </row>
    <row r="120" spans="1:31" s="1561" customFormat="1" ht="11.25" customHeight="1">
      <c r="A120" s="898"/>
      <c r="B120" s="1556"/>
      <c r="C120" s="1556"/>
      <c r="D120" s="272"/>
      <c r="K120" s="1065"/>
      <c r="L120" s="1556"/>
      <c r="M120" s="1556"/>
      <c r="N120" s="1065"/>
      <c r="O120" s="1065"/>
      <c r="P120" s="1065"/>
      <c r="Q120" s="1065"/>
      <c r="R120" s="1556"/>
      <c r="S120" s="1065"/>
      <c r="T120" s="1065"/>
      <c r="U120" s="467"/>
      <c r="V120" s="1065"/>
      <c r="W120" s="1065"/>
      <c r="X120" s="1065"/>
      <c r="Y120" s="1065"/>
      <c r="Z120" s="1065"/>
      <c r="AA120" s="1552"/>
      <c r="AB120" s="489"/>
      <c r="AC120" s="489"/>
      <c r="AD120" s="489"/>
      <c r="AE120" s="489"/>
    </row>
    <row r="121" spans="1:31" s="1561" customFormat="1" ht="11.25" customHeight="1">
      <c r="A121" s="898"/>
      <c r="B121" s="1556"/>
      <c r="C121" s="1556"/>
      <c r="D121" s="272"/>
      <c r="K121" s="1065"/>
      <c r="L121" s="1556"/>
      <c r="M121" s="1556"/>
      <c r="N121" s="1065"/>
      <c r="O121" s="1065"/>
      <c r="P121" s="1065"/>
      <c r="Q121" s="1065"/>
      <c r="R121" s="1556"/>
      <c r="S121" s="1065"/>
      <c r="T121" s="1065"/>
      <c r="U121" s="467"/>
      <c r="V121" s="1065"/>
      <c r="W121" s="1065"/>
      <c r="X121" s="1065"/>
      <c r="Y121" s="1065"/>
      <c r="Z121" s="1065"/>
      <c r="AA121" s="1552"/>
      <c r="AB121" s="489"/>
      <c r="AC121" s="489"/>
      <c r="AD121" s="489"/>
      <c r="AE121" s="489"/>
    </row>
    <row r="122" spans="1:31" s="1561" customFormat="1" ht="11.25" customHeight="1">
      <c r="A122" s="898"/>
      <c r="B122" s="1556"/>
      <c r="C122" s="1556"/>
      <c r="D122" s="272"/>
      <c r="K122" s="1065"/>
      <c r="L122" s="1556"/>
      <c r="M122" s="1556"/>
      <c r="N122" s="1065"/>
      <c r="O122" s="1065"/>
      <c r="P122" s="1065"/>
      <c r="Q122" s="1065"/>
      <c r="R122" s="1556"/>
      <c r="S122" s="1065"/>
      <c r="T122" s="1065"/>
      <c r="U122" s="467"/>
      <c r="V122" s="1065"/>
      <c r="W122" s="1065"/>
      <c r="X122" s="1065"/>
      <c r="Y122" s="1065"/>
      <c r="Z122" s="1065"/>
      <c r="AA122" s="1552"/>
      <c r="AB122" s="489"/>
      <c r="AC122" s="489"/>
      <c r="AD122" s="489"/>
      <c r="AE122" s="489"/>
    </row>
    <row r="123" spans="1:31" s="1561" customFormat="1" ht="11.25" customHeight="1">
      <c r="A123" s="898"/>
      <c r="B123" s="1556"/>
      <c r="C123" s="1556"/>
      <c r="D123" s="272"/>
      <c r="K123" s="1065"/>
      <c r="L123" s="1556"/>
      <c r="M123" s="1556"/>
      <c r="N123" s="1065"/>
      <c r="O123" s="1065"/>
      <c r="P123" s="1065"/>
      <c r="Q123" s="1065"/>
      <c r="R123" s="1556"/>
      <c r="S123" s="1065"/>
      <c r="T123" s="1065"/>
      <c r="U123" s="467"/>
      <c r="V123" s="1065"/>
      <c r="W123" s="1065"/>
      <c r="X123" s="1065"/>
      <c r="Y123" s="1065"/>
      <c r="Z123" s="1065"/>
      <c r="AA123" s="1552"/>
      <c r="AB123" s="489"/>
      <c r="AC123" s="489"/>
      <c r="AD123" s="489"/>
      <c r="AE123" s="489"/>
    </row>
    <row r="124" spans="1:31" s="1561" customFormat="1" ht="11.25" customHeight="1">
      <c r="A124" s="898"/>
      <c r="B124" s="1556"/>
      <c r="C124" s="1556"/>
      <c r="D124" s="272"/>
      <c r="K124" s="1065"/>
      <c r="L124" s="1556"/>
      <c r="M124" s="1556"/>
      <c r="N124" s="1065"/>
      <c r="O124" s="1065"/>
      <c r="P124" s="1065"/>
      <c r="Q124" s="1065"/>
      <c r="R124" s="1556"/>
      <c r="S124" s="1065"/>
      <c r="T124" s="1065"/>
      <c r="U124" s="467"/>
      <c r="V124" s="1065"/>
      <c r="W124" s="1065"/>
      <c r="X124" s="1065"/>
      <c r="Y124" s="1065"/>
      <c r="Z124" s="1065"/>
      <c r="AA124" s="1552"/>
      <c r="AB124" s="489"/>
      <c r="AC124" s="489"/>
      <c r="AD124" s="489"/>
      <c r="AE124" s="489"/>
    </row>
    <row r="125" spans="1:31" s="1561" customFormat="1" ht="11.25" customHeight="1">
      <c r="A125" s="898"/>
      <c r="B125" s="1556"/>
      <c r="C125" s="1556"/>
      <c r="D125" s="272"/>
      <c r="K125" s="1065"/>
      <c r="L125" s="1556"/>
      <c r="M125" s="1556"/>
      <c r="N125" s="1065"/>
      <c r="O125" s="1065"/>
      <c r="P125" s="1065"/>
      <c r="Q125" s="1065"/>
      <c r="R125" s="1556"/>
      <c r="S125" s="1065"/>
      <c r="T125" s="1065"/>
      <c r="U125" s="467"/>
      <c r="V125" s="1065"/>
      <c r="W125" s="1065"/>
      <c r="X125" s="1065"/>
      <c r="Y125" s="1065"/>
      <c r="Z125" s="1065"/>
      <c r="AA125" s="1552"/>
      <c r="AB125" s="489"/>
      <c r="AC125" s="489"/>
      <c r="AD125" s="489"/>
      <c r="AE125" s="489"/>
    </row>
    <row r="126" spans="1:31" s="1561" customFormat="1" ht="11.25" customHeight="1">
      <c r="A126" s="898"/>
      <c r="B126" s="1556"/>
      <c r="C126" s="1556"/>
      <c r="D126" s="272"/>
      <c r="K126" s="1065"/>
      <c r="L126" s="1556"/>
      <c r="M126" s="1556"/>
      <c r="N126" s="1065"/>
      <c r="O126" s="1065"/>
      <c r="P126" s="1065"/>
      <c r="Q126" s="1065"/>
      <c r="R126" s="1556"/>
      <c r="S126" s="1065"/>
      <c r="T126" s="1065"/>
      <c r="U126" s="467"/>
      <c r="V126" s="1065"/>
      <c r="W126" s="1065"/>
      <c r="X126" s="1065"/>
      <c r="Y126" s="1065"/>
      <c r="Z126" s="1065"/>
      <c r="AA126" s="1552"/>
      <c r="AB126" s="489"/>
      <c r="AC126" s="489"/>
      <c r="AD126" s="489"/>
      <c r="AE126" s="489"/>
    </row>
    <row r="127" spans="1:31" s="1561" customFormat="1" ht="11.25" customHeight="1">
      <c r="A127" s="898"/>
      <c r="B127" s="1556"/>
      <c r="C127" s="1556"/>
      <c r="D127" s="272"/>
      <c r="K127" s="1065"/>
      <c r="L127" s="1556"/>
      <c r="M127" s="1556"/>
      <c r="N127" s="1065"/>
      <c r="O127" s="1065"/>
      <c r="P127" s="1065"/>
      <c r="Q127" s="1065"/>
      <c r="R127" s="1556"/>
      <c r="S127" s="1065"/>
      <c r="T127" s="1065"/>
      <c r="U127" s="467"/>
      <c r="V127" s="1065"/>
      <c r="W127" s="1065"/>
      <c r="X127" s="1065"/>
      <c r="Y127" s="1065"/>
      <c r="Z127" s="1065"/>
      <c r="AA127" s="1552"/>
      <c r="AB127" s="489"/>
      <c r="AC127" s="489"/>
      <c r="AD127" s="489"/>
      <c r="AE127" s="489"/>
    </row>
    <row r="128" spans="1:31" s="1561" customFormat="1" ht="11.25" customHeight="1">
      <c r="A128" s="898"/>
      <c r="B128" s="1556"/>
      <c r="C128" s="1556"/>
      <c r="D128" s="272"/>
      <c r="K128" s="1065"/>
      <c r="L128" s="1556"/>
      <c r="M128" s="1556"/>
      <c r="N128" s="1065"/>
      <c r="O128" s="1065"/>
      <c r="P128" s="1065"/>
      <c r="Q128" s="1065"/>
      <c r="R128" s="1556"/>
      <c r="S128" s="1065"/>
      <c r="T128" s="1065"/>
      <c r="U128" s="467"/>
      <c r="V128" s="1065"/>
      <c r="W128" s="1065"/>
      <c r="X128" s="1065"/>
      <c r="Y128" s="1065"/>
      <c r="Z128" s="1065"/>
      <c r="AA128" s="1552"/>
      <c r="AB128" s="489"/>
      <c r="AC128" s="489"/>
      <c r="AD128" s="489"/>
      <c r="AE128" s="489"/>
    </row>
    <row r="129" spans="1:31" s="1561" customFormat="1" ht="11.25" customHeight="1">
      <c r="A129" s="898"/>
      <c r="B129" s="1556"/>
      <c r="C129" s="1556"/>
      <c r="D129" s="272"/>
      <c r="K129" s="1065"/>
      <c r="L129" s="1556"/>
      <c r="M129" s="1556"/>
      <c r="N129" s="1065"/>
      <c r="O129" s="1065"/>
      <c r="P129" s="1065"/>
      <c r="Q129" s="1065"/>
      <c r="R129" s="1556"/>
      <c r="S129" s="1065"/>
      <c r="T129" s="1065"/>
      <c r="U129" s="467"/>
      <c r="V129" s="1065"/>
      <c r="W129" s="1065"/>
      <c r="X129" s="1065"/>
      <c r="Y129" s="1065"/>
      <c r="Z129" s="1065"/>
      <c r="AA129" s="1552"/>
      <c r="AB129" s="489"/>
      <c r="AC129" s="489"/>
      <c r="AD129" s="489"/>
      <c r="AE129" s="489"/>
    </row>
    <row r="130" spans="1:31" s="1561" customFormat="1" ht="11.25" customHeight="1">
      <c r="A130" s="898"/>
      <c r="B130" s="1556"/>
      <c r="C130" s="1556"/>
      <c r="D130" s="272"/>
      <c r="K130" s="1065"/>
      <c r="L130" s="1556"/>
      <c r="M130" s="1556"/>
      <c r="N130" s="1065"/>
      <c r="O130" s="1065"/>
      <c r="P130" s="1065"/>
      <c r="Q130" s="1065"/>
      <c r="R130" s="1556"/>
      <c r="S130" s="1065"/>
      <c r="T130" s="1065"/>
      <c r="U130" s="467"/>
      <c r="V130" s="1065"/>
      <c r="W130" s="1065"/>
      <c r="X130" s="1065"/>
      <c r="Y130" s="1065"/>
      <c r="Z130" s="1065"/>
      <c r="AA130" s="1552"/>
      <c r="AB130" s="489"/>
      <c r="AC130" s="489"/>
      <c r="AD130" s="489"/>
      <c r="AE130" s="489"/>
    </row>
    <row r="131" spans="1:31" s="1561" customFormat="1" ht="11.25" customHeight="1">
      <c r="A131" s="898"/>
      <c r="B131" s="1556"/>
      <c r="C131" s="1556"/>
      <c r="D131" s="272"/>
      <c r="K131" s="1065"/>
      <c r="L131" s="1556"/>
      <c r="M131" s="1556"/>
      <c r="N131" s="1065"/>
      <c r="O131" s="1065"/>
      <c r="P131" s="1065"/>
      <c r="Q131" s="1065"/>
      <c r="R131" s="1556"/>
      <c r="S131" s="1065"/>
      <c r="T131" s="1065"/>
      <c r="U131" s="467"/>
      <c r="V131" s="1065"/>
      <c r="W131" s="1065"/>
      <c r="X131" s="1065"/>
      <c r="Y131" s="1065"/>
      <c r="Z131" s="1065"/>
      <c r="AA131" s="1552"/>
      <c r="AB131" s="489"/>
      <c r="AC131" s="489"/>
      <c r="AD131" s="489"/>
      <c r="AE131" s="489"/>
    </row>
    <row r="132" spans="1:31" s="1561" customFormat="1" ht="11.25" customHeight="1">
      <c r="A132" s="898"/>
      <c r="B132" s="1556"/>
      <c r="C132" s="1556"/>
      <c r="D132" s="272"/>
      <c r="K132" s="1065"/>
      <c r="L132" s="1556"/>
      <c r="M132" s="1556"/>
      <c r="N132" s="1065"/>
      <c r="O132" s="1065"/>
      <c r="P132" s="1065"/>
      <c r="Q132" s="1065"/>
      <c r="R132" s="1556"/>
      <c r="S132" s="1065"/>
      <c r="T132" s="1065"/>
      <c r="U132" s="467"/>
      <c r="V132" s="1065"/>
      <c r="W132" s="1065"/>
      <c r="X132" s="1065"/>
      <c r="Y132" s="1065"/>
      <c r="Z132" s="1065"/>
      <c r="AA132" s="1552"/>
      <c r="AB132" s="489"/>
      <c r="AC132" s="489"/>
      <c r="AD132" s="489"/>
      <c r="AE132" s="489"/>
    </row>
    <row r="133" spans="1:31" s="1561" customFormat="1" ht="11.25" customHeight="1">
      <c r="A133" s="898"/>
      <c r="B133" s="1556"/>
      <c r="C133" s="1556"/>
      <c r="D133" s="272"/>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6" spans="1:31" s="1561" customFormat="1" ht="11.25" customHeight="1">
      <c r="A196" s="898"/>
      <c r="B196" s="1556"/>
      <c r="C196" s="1556"/>
      <c r="D196" s="272"/>
      <c r="K196" s="1065"/>
      <c r="L196" s="1556"/>
      <c r="M196" s="1556"/>
      <c r="N196" s="1065"/>
      <c r="O196" s="1065"/>
      <c r="P196" s="1065"/>
      <c r="Q196" s="1065"/>
      <c r="R196" s="1556"/>
      <c r="S196" s="1065"/>
      <c r="T196" s="1065"/>
      <c r="U196" s="467"/>
      <c r="V196" s="1065"/>
      <c r="W196" s="1065"/>
      <c r="X196" s="1065"/>
      <c r="Y196" s="1065"/>
      <c r="Z196" s="1065"/>
      <c r="AA196" s="1552"/>
      <c r="AB196" s="489"/>
      <c r="AC196" s="489"/>
      <c r="AD196" s="489"/>
      <c r="AE196" s="489"/>
    </row>
    <row r="197" spans="1:31" s="1561" customFormat="1" ht="11.25" customHeight="1">
      <c r="A197" s="898"/>
      <c r="B197" s="1556"/>
      <c r="C197" s="1556"/>
      <c r="D197" s="272"/>
      <c r="K197" s="1065"/>
      <c r="L197" s="1556"/>
      <c r="M197" s="1556"/>
      <c r="N197" s="1065"/>
      <c r="O197" s="1065"/>
      <c r="P197" s="1065"/>
      <c r="Q197" s="1065"/>
      <c r="R197" s="1556"/>
      <c r="S197" s="1065"/>
      <c r="T197" s="1065"/>
      <c r="U197" s="467"/>
      <c r="V197" s="1065"/>
      <c r="W197" s="1065"/>
      <c r="X197" s="1065"/>
      <c r="Y197" s="1065"/>
      <c r="Z197" s="1065"/>
      <c r="AA197" s="1552"/>
      <c r="AB197" s="489"/>
      <c r="AC197" s="489"/>
      <c r="AD197" s="489"/>
      <c r="AE197" s="489"/>
    </row>
    <row r="198" spans="1:31" s="1561" customFormat="1" ht="11.25" customHeight="1">
      <c r="A198" s="898"/>
      <c r="B198" s="1556"/>
      <c r="C198" s="1556"/>
      <c r="D198" s="272"/>
      <c r="K198" s="1065"/>
      <c r="L198" s="1556"/>
      <c r="M198" s="1556"/>
      <c r="N198" s="1065"/>
      <c r="O198" s="1065"/>
      <c r="P198" s="1065"/>
      <c r="Q198" s="1065"/>
      <c r="R198" s="1556"/>
      <c r="S198" s="1065"/>
      <c r="T198" s="1065"/>
      <c r="U198" s="467"/>
      <c r="V198" s="1065"/>
      <c r="W198" s="1065"/>
      <c r="X198" s="1065"/>
      <c r="Y198" s="1065"/>
      <c r="Z198" s="1065"/>
      <c r="AA198" s="1552"/>
      <c r="AB198" s="489"/>
      <c r="AC198" s="489"/>
      <c r="AD198" s="489"/>
      <c r="AE198" s="489"/>
    </row>
    <row r="199" spans="1:31" s="1561" customFormat="1" ht="11.25" customHeight="1">
      <c r="A199" s="898"/>
      <c r="B199" s="1556"/>
      <c r="C199" s="1556"/>
      <c r="D199" s="272"/>
      <c r="K199" s="1065"/>
      <c r="L199" s="1556"/>
      <c r="M199" s="1556"/>
      <c r="N199" s="1065"/>
      <c r="O199" s="1065"/>
      <c r="P199" s="1065"/>
      <c r="Q199" s="1065"/>
      <c r="R199" s="1556"/>
      <c r="S199" s="1065"/>
      <c r="T199" s="1065"/>
      <c r="U199" s="467"/>
      <c r="V199" s="1065"/>
      <c r="W199" s="1065"/>
      <c r="X199" s="1065"/>
      <c r="Y199" s="1065"/>
      <c r="Z199" s="1065"/>
      <c r="AA199" s="1552"/>
      <c r="AB199" s="489"/>
      <c r="AC199" s="489"/>
      <c r="AD199" s="489"/>
      <c r="AE199" s="489"/>
    </row>
    <row r="200" spans="1:31" s="1561" customFormat="1" ht="11.25" customHeight="1">
      <c r="A200" s="898"/>
      <c r="B200" s="1556"/>
      <c r="C200" s="1556"/>
      <c r="D200" s="272"/>
      <c r="K200" s="1065"/>
      <c r="L200" s="1556"/>
      <c r="M200" s="1556"/>
      <c r="N200" s="1065"/>
      <c r="O200" s="1065"/>
      <c r="P200" s="1065"/>
      <c r="Q200" s="1065"/>
      <c r="R200" s="1556"/>
      <c r="S200" s="1065"/>
      <c r="T200" s="1065"/>
      <c r="U200" s="467"/>
      <c r="V200" s="1065"/>
      <c r="W200" s="1065"/>
      <c r="X200" s="1065"/>
      <c r="Y200" s="1065"/>
      <c r="Z200" s="1065"/>
      <c r="AA200" s="1552"/>
      <c r="AB200" s="489"/>
      <c r="AC200" s="489"/>
      <c r="AD200" s="489"/>
      <c r="AE200" s="489"/>
    </row>
    <row r="201" spans="1:31" s="1561" customFormat="1" ht="11.25" customHeight="1">
      <c r="A201" s="898"/>
      <c r="B201" s="1556"/>
      <c r="C201" s="1556"/>
      <c r="D201" s="272"/>
      <c r="K201" s="1065"/>
      <c r="L201" s="1556"/>
      <c r="M201" s="1556"/>
      <c r="N201" s="1065"/>
      <c r="O201" s="1065"/>
      <c r="P201" s="1065"/>
      <c r="Q201" s="1065"/>
      <c r="R201" s="1556"/>
      <c r="S201" s="1065"/>
      <c r="T201" s="1065"/>
      <c r="U201" s="467"/>
      <c r="V201" s="1065"/>
      <c r="W201" s="1065"/>
      <c r="X201" s="1065"/>
      <c r="Y201" s="1065"/>
      <c r="Z201" s="1065"/>
      <c r="AA201" s="1552"/>
      <c r="AB201" s="489"/>
      <c r="AC201" s="489"/>
      <c r="AD201" s="489"/>
      <c r="AE201" s="489"/>
    </row>
    <row r="202" spans="1:31" s="1561" customFormat="1" ht="11.25" customHeight="1">
      <c r="A202" s="898"/>
      <c r="B202" s="1556"/>
      <c r="C202" s="1556"/>
      <c r="D202" s="272"/>
      <c r="K202" s="1065"/>
      <c r="L202" s="1556"/>
      <c r="M202" s="1556"/>
      <c r="N202" s="1065"/>
      <c r="O202" s="1065"/>
      <c r="P202" s="1065"/>
      <c r="Q202" s="1065"/>
      <c r="R202" s="1556"/>
      <c r="S202" s="1065"/>
      <c r="T202" s="1065"/>
      <c r="U202" s="467"/>
      <c r="V202" s="1065"/>
      <c r="W202" s="1065"/>
      <c r="X202" s="1065"/>
      <c r="Y202" s="1065"/>
      <c r="Z202" s="1065"/>
      <c r="AA202" s="1552"/>
      <c r="AB202" s="489"/>
      <c r="AC202" s="489"/>
      <c r="AD202" s="489"/>
      <c r="AE202" s="489"/>
    </row>
    <row r="203" spans="1:31" s="1561" customFormat="1" ht="11.25" customHeight="1">
      <c r="A203" s="898"/>
      <c r="B203" s="1556"/>
      <c r="C203" s="1556"/>
      <c r="D203" s="272"/>
      <c r="K203" s="1065"/>
      <c r="L203" s="1556"/>
      <c r="M203" s="1556"/>
      <c r="N203" s="1065"/>
      <c r="O203" s="1065"/>
      <c r="P203" s="1065"/>
      <c r="Q203" s="1065"/>
      <c r="R203" s="1556"/>
      <c r="S203" s="1065"/>
      <c r="T203" s="1065"/>
      <c r="U203" s="467"/>
      <c r="V203" s="1065"/>
      <c r="W203" s="1065"/>
      <c r="X203" s="1065"/>
      <c r="Y203" s="1065"/>
      <c r="Z203" s="1065"/>
      <c r="AA203" s="1552"/>
      <c r="AB203" s="489"/>
      <c r="AC203" s="489"/>
      <c r="AD203" s="489"/>
      <c r="AE203" s="489"/>
    </row>
    <row r="204" spans="1:31" s="1561" customFormat="1" ht="11.25" customHeight="1">
      <c r="A204" s="898"/>
      <c r="B204" s="1556"/>
      <c r="C204" s="1556"/>
      <c r="D204" s="272"/>
      <c r="K204" s="1065"/>
      <c r="L204" s="1556"/>
      <c r="M204" s="1556"/>
      <c r="N204" s="1065"/>
      <c r="O204" s="1065"/>
      <c r="P204" s="1065"/>
      <c r="Q204" s="1065"/>
      <c r="R204" s="1556"/>
      <c r="S204" s="1065"/>
      <c r="T204" s="1065"/>
      <c r="U204" s="467"/>
      <c r="V204" s="1065"/>
      <c r="W204" s="1065"/>
      <c r="X204" s="1065"/>
      <c r="Y204" s="1065"/>
      <c r="Z204" s="1065"/>
      <c r="AA204" s="1552"/>
      <c r="AB204" s="489"/>
      <c r="AC204" s="489"/>
      <c r="AD204" s="489"/>
      <c r="AE204" s="489"/>
    </row>
    <row r="208" spans="1:31" ht="11.25" customHeight="1">
      <c r="A208" s="901"/>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row>
    <row r="209" spans="1:31" ht="11.25" customHeight="1">
      <c r="A209" s="901"/>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row>
    <row r="210" spans="1:31" ht="11.25" customHeight="1">
      <c r="A210" s="901"/>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row>
    <row r="211" spans="1:31" ht="11.25" customHeight="1">
      <c r="A211" s="901"/>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row>
    <row r="212" spans="1:31" ht="11.25" customHeight="1">
      <c r="A212" s="901"/>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row>
    <row r="213" spans="1:31" ht="11.25" customHeight="1">
      <c r="A213" s="901"/>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row>
    <row r="214" spans="1:31" ht="11.25" customHeight="1">
      <c r="A214" s="901"/>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row>
    <row r="215" spans="1:31" ht="11.25" customHeight="1">
      <c r="A215" s="901"/>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row>
    <row r="216" spans="1:31" ht="11.25" customHeight="1">
      <c r="A216" s="901"/>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row>
    <row r="217" spans="1:31" ht="11.25" customHeight="1">
      <c r="A217" s="901"/>
      <c r="B217" s="1551"/>
      <c r="D217" s="1551"/>
      <c r="K217" s="1551"/>
      <c r="N217" s="1551"/>
      <c r="O217" s="1551"/>
      <c r="P217" s="1551"/>
      <c r="Q217" s="1551"/>
      <c r="S217" s="1551"/>
      <c r="T217" s="1551"/>
      <c r="U217" s="1551"/>
      <c r="V217" s="1551"/>
      <c r="W217" s="1551"/>
      <c r="X217" s="1551"/>
      <c r="Y217" s="1551"/>
      <c r="Z217" s="1551"/>
      <c r="AA217" s="1551"/>
      <c r="AB217" s="1551"/>
      <c r="AC217" s="1551"/>
      <c r="AD217" s="1551"/>
      <c r="AE217" s="1551"/>
    </row>
    <row r="218" spans="1:31" ht="11.25" customHeight="1">
      <c r="A218" s="901"/>
      <c r="B218" s="1551"/>
      <c r="D218" s="1551"/>
      <c r="K218" s="1551"/>
      <c r="N218" s="1551"/>
      <c r="O218" s="1551"/>
      <c r="P218" s="1551"/>
      <c r="Q218" s="1551"/>
      <c r="S218" s="1551"/>
      <c r="T218" s="1551"/>
      <c r="U218" s="1551"/>
      <c r="V218" s="1551"/>
      <c r="W218" s="1551"/>
      <c r="X218" s="1551"/>
      <c r="Y218" s="1551"/>
      <c r="Z218" s="1551"/>
      <c r="AA218" s="1551"/>
      <c r="AB218" s="1551"/>
      <c r="AC218" s="1551"/>
      <c r="AD218" s="1551"/>
      <c r="AE218" s="1551"/>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4.57031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s="1287" customFormat="1" ht="11.25" hidden="1" customHeight="1">
      <c r="A1" s="898"/>
      <c r="C1" s="1556"/>
      <c r="D1" s="460"/>
      <c r="H1" s="1065">
        <v>4</v>
      </c>
      <c r="I1" s="1065">
        <v>4</v>
      </c>
      <c r="L1" s="1556"/>
      <c r="M1" s="1556"/>
      <c r="R1" s="1556"/>
    </row>
    <row r="2" spans="1:31" s="1287" customFormat="1" ht="22.5" hidden="1" customHeight="1">
      <c r="A2" s="898"/>
      <c r="C2" s="1556"/>
      <c r="D2" s="461"/>
      <c r="E2" s="1578"/>
      <c r="F2" s="463"/>
      <c r="G2" s="1577" t="s">
        <v>721</v>
      </c>
      <c r="H2" s="464"/>
      <c r="I2" s="464"/>
      <c r="J2" s="465" t="s">
        <v>724</v>
      </c>
      <c r="K2" s="466"/>
      <c r="L2" s="1556"/>
      <c r="M2" s="1556"/>
      <c r="R2" s="1556"/>
      <c r="U2" s="467"/>
      <c r="AA2" s="1552"/>
      <c r="AB2" s="1552"/>
      <c r="AC2" s="1552"/>
      <c r="AD2" s="1552"/>
      <c r="AE2" s="1552"/>
    </row>
    <row r="3" spans="1:31" ht="11.25" hidden="1" customHeight="1"/>
    <row r="4" spans="1:31" s="1552" customFormat="1" ht="11.25" hidden="1" customHeight="1">
      <c r="A4" s="898"/>
      <c r="B4" s="1065"/>
      <c r="C4" s="1556"/>
      <c r="D4" s="285"/>
      <c r="J4" s="1552">
        <v>4</v>
      </c>
      <c r="K4" s="1065"/>
      <c r="L4" s="1556"/>
      <c r="M4" s="1556"/>
      <c r="N4" s="1065"/>
      <c r="O4" s="1065"/>
      <c r="P4" s="1065"/>
      <c r="Q4" s="1065"/>
      <c r="R4" s="1556"/>
      <c r="S4" s="1065"/>
      <c r="T4" s="1065"/>
      <c r="U4" s="467"/>
      <c r="V4" s="1065"/>
      <c r="W4" s="1065"/>
      <c r="X4" s="1065"/>
      <c r="Y4" s="1065"/>
      <c r="Z4" s="1065"/>
    </row>
    <row r="6" spans="1:31" ht="32.25" customHeight="1">
      <c r="E6" s="7673" t="s">
        <v>858</v>
      </c>
      <c r="F6" s="7673"/>
      <c r="G6" s="7673"/>
      <c r="H6" s="7673"/>
      <c r="I6" s="7673"/>
      <c r="J6" s="479"/>
    </row>
    <row r="7" spans="1:31" ht="24" customHeight="1">
      <c r="E7" s="7620" t="str">
        <f>IF(org=0,"Не определено",org)</f>
        <v>ГУП СК "Ставрополькрайводоканал"</v>
      </c>
      <c r="F7" s="7620"/>
      <c r="G7" s="7620"/>
      <c r="H7" s="7620"/>
      <c r="I7" s="7620"/>
    </row>
    <row r="8" spans="1:31" ht="11.25" customHeight="1">
      <c r="E8" s="1042"/>
      <c r="F8" s="1042"/>
      <c r="G8" s="1042"/>
      <c r="H8" s="1042"/>
      <c r="I8" s="1042"/>
    </row>
    <row r="9" spans="1:31" s="1562" customFormat="1" ht="0.75" customHeight="1">
      <c r="A9" s="1072"/>
      <c r="H9" s="803"/>
      <c r="I9" s="803" t="s">
        <v>231</v>
      </c>
    </row>
    <row r="10" spans="1:31" ht="11.25" customHeight="1">
      <c r="E10" s="628"/>
      <c r="F10" s="7764" t="s">
        <v>223</v>
      </c>
      <c r="G10" s="7765"/>
      <c r="H10" s="1579" t="str">
        <f>IF(H9="","",INDEX(DIFFERENTIATION_UNMERGE_VD,MATCH(H9,DIFFERENTIATION_ID_DIFF,0)))</f>
        <v/>
      </c>
      <c r="I10" s="1579">
        <f>IF(I9="","",INDEX(DIFFERENTIATION_UNMERGE_VD,MATCH(I9,DIFFERENTIATION_ID_DIFF,0)))</f>
        <v>0</v>
      </c>
      <c r="J10" s="7559"/>
    </row>
    <row r="11" spans="1:31" ht="11.25" customHeight="1">
      <c r="E11" s="628"/>
      <c r="F11" s="7764" t="s">
        <v>733</v>
      </c>
      <c r="G11" s="7765"/>
      <c r="H11" s="1579" t="str">
        <f>IF(H9="","",INDEX(DIFFERENTIATION_UNMERGE_AREA,MATCH(H9,DIFFERENTIATION_ID_DIFF,0)))</f>
        <v/>
      </c>
      <c r="I11" s="1579" t="str">
        <f>IF(I9="","",INDEX(DIFFERENTIATION_UNMERGE_AREA,MATCH(I9,DIFFERENTIATION_ID_DIFF,0)))</f>
        <v/>
      </c>
      <c r="J11" s="7559"/>
    </row>
    <row r="12" spans="1:31" ht="11.25" hidden="1" customHeight="1">
      <c r="E12" s="1582"/>
      <c r="F12" s="7780" t="s">
        <v>734</v>
      </c>
      <c r="G12" s="7781"/>
      <c r="H12" s="1583" t="str">
        <f>IF(H9="","",INDEX(DIFFERENTIATION_UNMERGE_SYSTEM,MATCH(H9,DIFFERENTIATION_ID_DIFF,0)))</f>
        <v/>
      </c>
      <c r="I12" s="1583" t="str">
        <f>IF(I9="","",INDEX(DIFFERENTIATION_UNMERGE_SYSTEM,MATCH(I9,DIFFERENTIATION_ID_DIFF,0)))</f>
        <v>без дифференциации</v>
      </c>
      <c r="J12" s="7559"/>
    </row>
    <row r="13" spans="1:31" ht="11.25" customHeight="1">
      <c r="E13" s="7766" t="s">
        <v>474</v>
      </c>
      <c r="F13" s="7767"/>
      <c r="G13" s="7767"/>
      <c r="H13" s="1576"/>
      <c r="I13" s="1576"/>
      <c r="J13" s="7559"/>
    </row>
    <row r="14" spans="1:31" ht="22.5" customHeight="1">
      <c r="E14" s="1577" t="s">
        <v>86</v>
      </c>
      <c r="F14" s="1580" t="s">
        <v>476</v>
      </c>
      <c r="G14" s="1580" t="s">
        <v>735</v>
      </c>
      <c r="H14" s="1580" t="s">
        <v>477</v>
      </c>
      <c r="I14" s="1580" t="s">
        <v>477</v>
      </c>
      <c r="J14" s="7559"/>
    </row>
    <row r="15" spans="1:31" ht="18.75" customHeight="1">
      <c r="D15" s="1558"/>
      <c r="E15" s="1550" t="s">
        <v>97</v>
      </c>
      <c r="F15" s="624" t="s">
        <v>859</v>
      </c>
      <c r="G15" s="1577" t="s">
        <v>721</v>
      </c>
      <c r="H15" s="480"/>
      <c r="I15" s="480"/>
      <c r="J15" s="204" t="s">
        <v>860</v>
      </c>
      <c r="K15" s="466" t="s">
        <v>788</v>
      </c>
    </row>
    <row r="16" spans="1:31" ht="22.5" customHeight="1">
      <c r="D16" s="1558"/>
      <c r="E16" s="1550" t="s">
        <v>100</v>
      </c>
      <c r="F16" s="1585" t="s">
        <v>861</v>
      </c>
      <c r="G16" s="1577" t="s">
        <v>721</v>
      </c>
      <c r="H16" s="481">
        <f>SUM(H17,H20:H27)</f>
        <v>0</v>
      </c>
      <c r="I16" s="481">
        <f>SUM(I17,I20:I27)</f>
        <v>0</v>
      </c>
      <c r="J16" s="204" t="s">
        <v>862</v>
      </c>
      <c r="K16" s="466" t="s">
        <v>788</v>
      </c>
    </row>
    <row r="17" spans="1:31" ht="33.75" customHeight="1">
      <c r="D17" s="1558"/>
      <c r="E17" s="1584" t="s">
        <v>791</v>
      </c>
      <c r="F17" s="1587" t="s">
        <v>863</v>
      </c>
      <c r="G17" s="1574" t="s">
        <v>721</v>
      </c>
      <c r="H17" s="480"/>
      <c r="I17" s="480"/>
      <c r="J17" s="204" t="s">
        <v>864</v>
      </c>
      <c r="K17" s="466"/>
    </row>
    <row r="18" spans="1:31" ht="18.75" customHeight="1">
      <c r="D18" s="1558"/>
      <c r="E18" s="1584" t="s">
        <v>794</v>
      </c>
      <c r="F18" s="1588" t="s">
        <v>865</v>
      </c>
      <c r="G18" s="1574" t="s">
        <v>721</v>
      </c>
      <c r="H18" s="480"/>
      <c r="I18" s="480"/>
      <c r="J18" s="204"/>
      <c r="K18" s="466"/>
    </row>
    <row r="19" spans="1:31" ht="22.5" customHeight="1">
      <c r="D19" s="1558"/>
      <c r="E19" s="1584" t="s">
        <v>797</v>
      </c>
      <c r="F19" s="1588" t="s">
        <v>866</v>
      </c>
      <c r="G19" s="1574" t="s">
        <v>721</v>
      </c>
      <c r="H19" s="480"/>
      <c r="I19" s="480"/>
      <c r="J19" s="204"/>
      <c r="K19" s="466"/>
    </row>
    <row r="20" spans="1:31" ht="33.75" customHeight="1">
      <c r="D20" s="1558"/>
      <c r="E20" s="1584" t="s">
        <v>481</v>
      </c>
      <c r="F20" s="1587" t="s">
        <v>867</v>
      </c>
      <c r="G20" s="1574" t="s">
        <v>721</v>
      </c>
      <c r="H20" s="480"/>
      <c r="I20" s="480"/>
      <c r="J20" s="204"/>
      <c r="K20" s="466"/>
    </row>
    <row r="21" spans="1:31" ht="33.75" customHeight="1">
      <c r="D21" s="1558"/>
      <c r="E21" s="1584" t="s">
        <v>484</v>
      </c>
      <c r="F21" s="1587" t="s">
        <v>868</v>
      </c>
      <c r="G21" s="1574" t="s">
        <v>721</v>
      </c>
      <c r="H21" s="480"/>
      <c r="I21" s="480"/>
      <c r="J21" s="204"/>
      <c r="K21" s="466"/>
    </row>
    <row r="22" spans="1:31" ht="56.25" customHeight="1">
      <c r="D22" s="1558"/>
      <c r="E22" s="1584" t="s">
        <v>811</v>
      </c>
      <c r="F22" s="1587" t="s">
        <v>869</v>
      </c>
      <c r="G22" s="1574" t="s">
        <v>721</v>
      </c>
      <c r="H22" s="480"/>
      <c r="I22" s="480"/>
      <c r="J22" s="204"/>
      <c r="K22" s="466"/>
    </row>
    <row r="23" spans="1:31" ht="33.75" customHeight="1">
      <c r="D23" s="1558"/>
      <c r="E23" s="1584" t="s">
        <v>818</v>
      </c>
      <c r="F23" s="1587" t="s">
        <v>870</v>
      </c>
      <c r="G23" s="1574" t="s">
        <v>721</v>
      </c>
      <c r="H23" s="480"/>
      <c r="I23" s="480"/>
      <c r="J23" s="204"/>
      <c r="K23" s="466"/>
    </row>
    <row r="24" spans="1:31" ht="33.75" customHeight="1">
      <c r="D24" s="1558"/>
      <c r="E24" s="1584" t="s">
        <v>820</v>
      </c>
      <c r="F24" s="1587" t="s">
        <v>871</v>
      </c>
      <c r="G24" s="1574" t="s">
        <v>721</v>
      </c>
      <c r="H24" s="480"/>
      <c r="I24" s="480"/>
      <c r="J24" s="204"/>
      <c r="K24" s="466"/>
    </row>
    <row r="25" spans="1:31" ht="22.5" customHeight="1">
      <c r="D25" s="1558"/>
      <c r="E25" s="1584" t="s">
        <v>822</v>
      </c>
      <c r="F25" s="1587" t="s">
        <v>872</v>
      </c>
      <c r="G25" s="1574" t="s">
        <v>721</v>
      </c>
      <c r="H25" s="480"/>
      <c r="I25" s="480"/>
      <c r="J25" s="204"/>
      <c r="K25" s="466"/>
    </row>
    <row r="26" spans="1:31" ht="67.5" customHeight="1">
      <c r="D26" s="1558"/>
      <c r="E26" s="1584" t="s">
        <v>824</v>
      </c>
      <c r="F26" s="1587" t="s">
        <v>873</v>
      </c>
      <c r="G26" s="1574" t="s">
        <v>721</v>
      </c>
      <c r="H26" s="480"/>
      <c r="I26" s="480"/>
      <c r="J26" s="204"/>
      <c r="K26" s="466"/>
    </row>
    <row r="27" spans="1:31" s="1287" customFormat="1" ht="22.5" customHeight="1">
      <c r="A27" s="898"/>
      <c r="C27" s="1556"/>
      <c r="D27" s="1558"/>
      <c r="E27" s="1549" t="s">
        <v>828</v>
      </c>
      <c r="F27" s="1548" t="s">
        <v>874</v>
      </c>
      <c r="G27" s="1575" t="s">
        <v>721</v>
      </c>
      <c r="H27" s="502">
        <f>SUM(H28:H29)</f>
        <v>0</v>
      </c>
      <c r="I27" s="502">
        <f>SUM(I28:I29)</f>
        <v>0</v>
      </c>
      <c r="J27" s="204" t="s">
        <v>826</v>
      </c>
      <c r="K27" s="466"/>
      <c r="L27" s="1556"/>
      <c r="M27" s="1556"/>
      <c r="R27" s="1556"/>
      <c r="U27" s="467"/>
      <c r="AA27" s="1552"/>
      <c r="AB27" s="1552"/>
      <c r="AC27" s="1552"/>
      <c r="AD27" s="1552"/>
      <c r="AE27" s="1552"/>
    </row>
    <row r="28" spans="1:31" s="1562" customFormat="1" ht="0.75" customHeight="1">
      <c r="A28" s="1072"/>
      <c r="D28" s="471"/>
      <c r="E28" s="716" t="str">
        <f>E27&amp;".0"</f>
        <v>2.9.0</v>
      </c>
      <c r="F28" s="902"/>
      <c r="G28" s="474"/>
      <c r="H28" s="903"/>
      <c r="I28" s="903"/>
      <c r="J28" s="904"/>
    </row>
    <row r="29" spans="1:31" s="1287" customFormat="1" ht="18.75" customHeight="1">
      <c r="A29" s="898"/>
      <c r="C29" s="1556"/>
      <c r="D29" s="1553"/>
      <c r="E29" s="493"/>
      <c r="F29" s="1586" t="s">
        <v>746</v>
      </c>
      <c r="G29" s="495"/>
      <c r="H29" s="496"/>
      <c r="I29" s="496"/>
      <c r="J29" s="215" t="s">
        <v>827</v>
      </c>
      <c r="K29" s="466"/>
      <c r="L29" s="1556"/>
      <c r="M29" s="1556"/>
      <c r="R29" s="1556"/>
      <c r="U29" s="467"/>
      <c r="AA29" s="1552"/>
      <c r="AB29" s="1552"/>
      <c r="AC29" s="1552"/>
      <c r="AD29" s="1552"/>
      <c r="AE29" s="1552"/>
    </row>
    <row r="30" spans="1:31" s="1287" customFormat="1" ht="22.5" customHeight="1">
      <c r="A30" s="898"/>
      <c r="C30" s="1556"/>
      <c r="D30" s="1558"/>
      <c r="E30" s="1584" t="s">
        <v>88</v>
      </c>
      <c r="F30" s="1581" t="s">
        <v>875</v>
      </c>
      <c r="G30" s="1574" t="s">
        <v>721</v>
      </c>
      <c r="H30" s="480"/>
      <c r="I30" s="480"/>
      <c r="J30" s="204"/>
      <c r="K30" s="466"/>
      <c r="L30" s="1556"/>
      <c r="M30" s="1556"/>
      <c r="R30" s="1556"/>
      <c r="U30" s="467"/>
      <c r="AA30" s="1552"/>
      <c r="AB30" s="1552"/>
      <c r="AC30" s="1552"/>
      <c r="AD30" s="1552"/>
      <c r="AE30" s="1552"/>
    </row>
    <row r="31" spans="1:31" s="1287" customFormat="1" ht="33.75" customHeight="1">
      <c r="A31" s="898"/>
      <c r="C31" s="1556"/>
      <c r="D31" s="498"/>
      <c r="E31" s="1584" t="s">
        <v>89</v>
      </c>
      <c r="F31" s="1581" t="s">
        <v>876</v>
      </c>
      <c r="G31" s="1574" t="s">
        <v>721</v>
      </c>
      <c r="H31" s="480"/>
      <c r="I31" s="480"/>
      <c r="J31" s="204" t="s">
        <v>877</v>
      </c>
      <c r="K31" s="466"/>
      <c r="L31" s="1556"/>
      <c r="M31" s="1556"/>
      <c r="R31" s="1556"/>
      <c r="U31" s="467"/>
      <c r="AA31" s="1552"/>
      <c r="AB31" s="1552"/>
      <c r="AC31" s="1552"/>
      <c r="AD31" s="1552"/>
      <c r="AE31" s="1552"/>
    </row>
    <row r="32" spans="1:31" s="1287" customFormat="1" ht="22.5" customHeight="1">
      <c r="A32" s="898"/>
      <c r="C32" s="1556"/>
      <c r="D32" s="1558"/>
      <c r="E32" s="1584" t="s">
        <v>836</v>
      </c>
      <c r="F32" s="608" t="s">
        <v>840</v>
      </c>
      <c r="G32" s="1574" t="s">
        <v>721</v>
      </c>
      <c r="H32" s="480"/>
      <c r="I32" s="480"/>
      <c r="J32" s="204" t="s">
        <v>878</v>
      </c>
      <c r="K32" s="466"/>
      <c r="L32" s="1556"/>
      <c r="M32" s="1556"/>
      <c r="R32" s="1556"/>
      <c r="U32" s="467"/>
      <c r="AA32" s="1552"/>
      <c r="AB32" s="1552"/>
      <c r="AC32" s="1552"/>
      <c r="AD32" s="1552"/>
      <c r="AE32" s="1552"/>
    </row>
    <row r="33" spans="1:31" s="1287" customFormat="1" ht="22.5" customHeight="1">
      <c r="A33" s="898"/>
      <c r="C33" s="1556"/>
      <c r="D33" s="1558"/>
      <c r="E33" s="1584" t="s">
        <v>879</v>
      </c>
      <c r="F33" s="608" t="s">
        <v>880</v>
      </c>
      <c r="G33" s="1574" t="s">
        <v>721</v>
      </c>
      <c r="H33" s="480"/>
      <c r="I33" s="480"/>
      <c r="J33" s="204" t="s">
        <v>881</v>
      </c>
      <c r="K33" s="466"/>
      <c r="L33" s="1556"/>
      <c r="M33" s="1556"/>
      <c r="R33" s="1556"/>
      <c r="U33" s="467"/>
      <c r="AA33" s="1552"/>
      <c r="AB33" s="1552"/>
      <c r="AC33" s="1552"/>
      <c r="AD33" s="1552"/>
      <c r="AE33" s="1552"/>
    </row>
    <row r="34" spans="1:31" s="1287" customFormat="1" ht="22.5" customHeight="1">
      <c r="A34" s="898"/>
      <c r="C34" s="1556"/>
      <c r="D34" s="1558"/>
      <c r="E34" s="1584" t="s">
        <v>882</v>
      </c>
      <c r="F34" s="608" t="s">
        <v>846</v>
      </c>
      <c r="G34" s="1574" t="s">
        <v>721</v>
      </c>
      <c r="H34" s="480"/>
      <c r="I34" s="480"/>
      <c r="J34" s="204" t="s">
        <v>883</v>
      </c>
      <c r="K34" s="466"/>
      <c r="L34" s="1556"/>
      <c r="M34" s="1556"/>
      <c r="R34" s="1556"/>
      <c r="U34" s="467"/>
      <c r="AA34" s="1552"/>
      <c r="AB34" s="1552"/>
      <c r="AC34" s="1552"/>
      <c r="AD34" s="1552"/>
      <c r="AE34" s="1552"/>
    </row>
    <row r="35" spans="1:31" s="1287" customFormat="1" ht="33.75" customHeight="1">
      <c r="A35" s="898"/>
      <c r="C35" s="1556" t="s">
        <v>757</v>
      </c>
      <c r="D35" s="1558"/>
      <c r="E35" s="1584" t="s">
        <v>111</v>
      </c>
      <c r="F35" s="1581" t="s">
        <v>848</v>
      </c>
      <c r="G35" s="1577" t="s">
        <v>480</v>
      </c>
      <c r="H35" s="330"/>
      <c r="I35" s="330"/>
      <c r="J35" s="204" t="s">
        <v>884</v>
      </c>
      <c r="K35" s="466"/>
      <c r="L35" s="1556"/>
      <c r="M35" s="1556"/>
      <c r="R35" s="1556"/>
      <c r="U35" s="467"/>
      <c r="AA35" s="1552"/>
      <c r="AB35" s="1552"/>
      <c r="AC35" s="1552"/>
      <c r="AD35" s="1552"/>
      <c r="AE35" s="1552"/>
    </row>
    <row r="36" spans="1:31" s="1287" customFormat="1" ht="22.5" customHeight="1">
      <c r="A36" s="898"/>
      <c r="C36" s="1556"/>
      <c r="D36" s="1558"/>
      <c r="E36" s="1584" t="s">
        <v>90</v>
      </c>
      <c r="F36" s="1581" t="s">
        <v>885</v>
      </c>
      <c r="G36" s="1574" t="s">
        <v>852</v>
      </c>
      <c r="H36" s="468"/>
      <c r="I36" s="468"/>
      <c r="J36" s="204" t="s">
        <v>853</v>
      </c>
      <c r="K36" s="466"/>
      <c r="L36" s="1556"/>
      <c r="M36" s="1556"/>
      <c r="R36" s="1556"/>
      <c r="U36" s="467"/>
      <c r="AA36" s="1552"/>
      <c r="AB36" s="1552"/>
      <c r="AC36" s="1552"/>
      <c r="AD36" s="1552"/>
      <c r="AE36" s="1552"/>
    </row>
    <row r="37" spans="1:31" s="1287" customFormat="1" ht="22.5" customHeight="1">
      <c r="A37" s="898"/>
      <c r="C37" s="1556"/>
      <c r="D37" s="1558"/>
      <c r="E37" s="1584" t="s">
        <v>91</v>
      </c>
      <c r="F37" s="1581" t="s">
        <v>886</v>
      </c>
      <c r="G37" s="1574" t="s">
        <v>855</v>
      </c>
      <c r="H37" s="468"/>
      <c r="I37" s="468"/>
      <c r="J37" s="204" t="s">
        <v>856</v>
      </c>
      <c r="K37" s="466"/>
      <c r="L37" s="1556"/>
      <c r="M37" s="1556"/>
      <c r="R37" s="1556"/>
      <c r="U37" s="467"/>
      <c r="AA37" s="1552"/>
      <c r="AB37" s="1552"/>
      <c r="AC37" s="1552"/>
      <c r="AD37" s="1552"/>
      <c r="AE37" s="1552"/>
    </row>
    <row r="38" spans="1:31" ht="11.25" customHeight="1">
      <c r="D38" s="1558"/>
    </row>
    <row r="39" spans="1:31" ht="26.25" customHeight="1">
      <c r="D39" s="1558"/>
      <c r="E39" s="1169" t="s">
        <v>887</v>
      </c>
      <c r="F39" s="7709" t="s">
        <v>888</v>
      </c>
      <c r="G39" s="7709"/>
      <c r="H39" s="7709"/>
      <c r="I39" s="7709"/>
      <c r="J39" s="7709"/>
    </row>
    <row r="40" spans="1:31" s="1561" customFormat="1" ht="37.5" customHeight="1">
      <c r="A40" s="898"/>
      <c r="B40" s="1556"/>
      <c r="C40" s="1556"/>
      <c r="D40" s="272"/>
      <c r="F40" s="7709" t="s">
        <v>889</v>
      </c>
      <c r="G40" s="7709"/>
      <c r="H40" s="7709"/>
      <c r="I40" s="7709"/>
      <c r="J40" s="7709"/>
      <c r="K40" s="1065"/>
      <c r="L40" s="1556"/>
      <c r="M40" s="1556"/>
      <c r="N40" s="1065"/>
      <c r="O40" s="1065"/>
      <c r="P40" s="1065"/>
      <c r="Q40" s="1065"/>
      <c r="R40" s="1556"/>
      <c r="S40" s="1065"/>
      <c r="T40" s="1065"/>
      <c r="U40" s="467"/>
      <c r="V40" s="1065"/>
      <c r="W40" s="1065"/>
      <c r="X40" s="1065"/>
      <c r="Y40" s="1065"/>
      <c r="Z40" s="1065"/>
      <c r="AA40" s="1552"/>
      <c r="AB40" s="489"/>
      <c r="AC40" s="489"/>
      <c r="AD40" s="489"/>
      <c r="AE40" s="489"/>
    </row>
    <row r="41" spans="1:31" s="1561" customFormat="1" ht="11.25" customHeight="1">
      <c r="A41" s="898"/>
      <c r="B41" s="1556"/>
      <c r="C41" s="1556"/>
      <c r="D41" s="272"/>
      <c r="K41" s="1065"/>
      <c r="L41" s="1556"/>
      <c r="M41" s="1556"/>
      <c r="N41" s="1065"/>
      <c r="O41" s="1065"/>
      <c r="P41" s="1065"/>
      <c r="Q41" s="1065"/>
      <c r="R41" s="1556"/>
      <c r="S41" s="1065"/>
      <c r="T41" s="1065"/>
      <c r="U41" s="467"/>
      <c r="V41" s="1065"/>
      <c r="W41" s="1065"/>
      <c r="X41" s="1065"/>
      <c r="Y41" s="1065"/>
      <c r="Z41" s="1065"/>
      <c r="AA41" s="1552"/>
      <c r="AB41" s="489"/>
      <c r="AC41" s="489"/>
      <c r="AD41" s="489"/>
      <c r="AE41" s="489"/>
    </row>
    <row r="42" spans="1:31" s="1561" customFormat="1" ht="11.25" customHeight="1">
      <c r="A42" s="898"/>
      <c r="B42" s="1556"/>
      <c r="C42" s="1556"/>
      <c r="D42" s="272"/>
      <c r="K42" s="1065"/>
      <c r="L42" s="1556"/>
      <c r="M42" s="1556"/>
      <c r="N42" s="1065"/>
      <c r="O42" s="1065"/>
      <c r="P42" s="1065"/>
      <c r="Q42" s="1065"/>
      <c r="R42" s="1556"/>
      <c r="S42" s="1065"/>
      <c r="T42" s="1065"/>
      <c r="U42" s="467"/>
      <c r="V42" s="1065"/>
      <c r="W42" s="1065"/>
      <c r="X42" s="1065"/>
      <c r="Y42" s="1065"/>
      <c r="Z42" s="1065"/>
      <c r="AA42" s="1552"/>
      <c r="AB42" s="489"/>
      <c r="AC42" s="489"/>
      <c r="AD42" s="489"/>
      <c r="AE42" s="489"/>
    </row>
    <row r="43" spans="1:31" s="1561" customFormat="1" ht="11.25" customHeight="1">
      <c r="A43" s="898"/>
      <c r="B43" s="1556"/>
      <c r="C43" s="1556"/>
      <c r="D43" s="272"/>
      <c r="H43" s="489"/>
      <c r="I43" s="489"/>
      <c r="K43" s="1065"/>
      <c r="L43" s="1556"/>
      <c r="M43" s="1556"/>
      <c r="N43" s="1065"/>
      <c r="O43" s="1065"/>
      <c r="P43" s="1065"/>
      <c r="Q43" s="1065"/>
      <c r="R43" s="1556"/>
      <c r="S43" s="1065"/>
      <c r="T43" s="1065"/>
      <c r="U43" s="467"/>
      <c r="V43" s="1065"/>
      <c r="W43" s="1065"/>
      <c r="X43" s="1065"/>
      <c r="Y43" s="1065"/>
      <c r="Z43" s="1065"/>
      <c r="AA43" s="1552"/>
      <c r="AB43" s="489"/>
      <c r="AC43" s="489"/>
      <c r="AD43" s="489"/>
      <c r="AE43" s="489"/>
    </row>
    <row r="44" spans="1:31" s="1561" customFormat="1" ht="11.25" customHeight="1">
      <c r="A44" s="898"/>
      <c r="B44" s="1556"/>
      <c r="C44" s="1556"/>
      <c r="D44" s="272"/>
      <c r="K44" s="1065"/>
      <c r="L44" s="1556"/>
      <c r="M44" s="1556"/>
      <c r="N44" s="1065"/>
      <c r="O44" s="1065"/>
      <c r="P44" s="1065"/>
      <c r="Q44" s="1065"/>
      <c r="R44" s="1556"/>
      <c r="S44" s="1065"/>
      <c r="T44" s="1065"/>
      <c r="U44" s="467"/>
      <c r="V44" s="1065"/>
      <c r="W44" s="1065"/>
      <c r="X44" s="1065"/>
      <c r="Y44" s="1065"/>
      <c r="Z44" s="1065"/>
      <c r="AA44" s="1552"/>
      <c r="AB44" s="489"/>
      <c r="AC44" s="489"/>
      <c r="AD44" s="489"/>
      <c r="AE44" s="489"/>
    </row>
    <row r="45" spans="1:31" s="1561" customFormat="1" ht="11.25" customHeight="1">
      <c r="A45" s="898"/>
      <c r="B45" s="1556"/>
      <c r="C45" s="1556"/>
      <c r="D45" s="272"/>
      <c r="K45" s="1065"/>
      <c r="L45" s="1556"/>
      <c r="M45" s="1556"/>
      <c r="N45" s="1065"/>
      <c r="O45" s="1065"/>
      <c r="P45" s="1065"/>
      <c r="Q45" s="1065"/>
      <c r="R45" s="1556"/>
      <c r="S45" s="1065"/>
      <c r="T45" s="1065"/>
      <c r="U45" s="467"/>
      <c r="V45" s="1065"/>
      <c r="W45" s="1065"/>
      <c r="X45" s="1065"/>
      <c r="Y45" s="1065"/>
      <c r="Z45" s="1065"/>
      <c r="AA45" s="1552"/>
      <c r="AB45" s="489"/>
      <c r="AC45" s="489"/>
      <c r="AD45" s="489"/>
      <c r="AE45" s="489"/>
    </row>
    <row r="46" spans="1:31" s="1561" customFormat="1" ht="11.25" customHeight="1">
      <c r="A46" s="898"/>
      <c r="B46" s="1556"/>
      <c r="C46" s="1556"/>
      <c r="D46" s="272"/>
      <c r="K46" s="1065"/>
      <c r="L46" s="1556"/>
      <c r="M46" s="1556"/>
      <c r="N46" s="1065"/>
      <c r="O46" s="1065"/>
      <c r="P46" s="1065"/>
      <c r="Q46" s="1065"/>
      <c r="R46" s="1556"/>
      <c r="S46" s="1065"/>
      <c r="T46" s="1065"/>
      <c r="U46" s="467"/>
      <c r="V46" s="1065"/>
      <c r="W46" s="1065"/>
      <c r="X46" s="1065"/>
      <c r="Y46" s="1065"/>
      <c r="Z46" s="1065"/>
      <c r="AA46" s="1552"/>
      <c r="AB46" s="489"/>
      <c r="AC46" s="489"/>
      <c r="AD46" s="489"/>
      <c r="AE46" s="489"/>
    </row>
    <row r="47" spans="1:31" s="1561" customFormat="1" ht="11.25" customHeight="1">
      <c r="A47" s="898"/>
      <c r="B47" s="1556"/>
      <c r="C47" s="1556"/>
      <c r="D47" s="272"/>
      <c r="K47" s="1065"/>
      <c r="L47" s="1556"/>
      <c r="M47" s="1556"/>
      <c r="N47" s="1065"/>
      <c r="O47" s="1065"/>
      <c r="P47" s="1065"/>
      <c r="Q47" s="1065"/>
      <c r="R47" s="1556"/>
      <c r="S47" s="1065"/>
      <c r="T47" s="1065"/>
      <c r="U47" s="467"/>
      <c r="V47" s="1065"/>
      <c r="W47" s="1065"/>
      <c r="X47" s="1065"/>
      <c r="Y47" s="1065"/>
      <c r="Z47" s="1065"/>
      <c r="AA47" s="1552"/>
      <c r="AB47" s="489"/>
      <c r="AC47" s="489"/>
      <c r="AD47" s="489"/>
      <c r="AE47" s="489"/>
    </row>
    <row r="48" spans="1:31" s="1561" customFormat="1" ht="11.25" customHeight="1">
      <c r="A48" s="898"/>
      <c r="B48" s="1556"/>
      <c r="C48" s="1556"/>
      <c r="D48" s="272"/>
      <c r="K48" s="1065"/>
      <c r="L48" s="1556"/>
      <c r="M48" s="1556"/>
      <c r="N48" s="1065"/>
      <c r="O48" s="1065"/>
      <c r="P48" s="1065"/>
      <c r="Q48" s="1065"/>
      <c r="R48" s="1556"/>
      <c r="S48" s="1065"/>
      <c r="T48" s="1065"/>
      <c r="U48" s="467"/>
      <c r="V48" s="1065"/>
      <c r="W48" s="1065"/>
      <c r="X48" s="1065"/>
      <c r="Y48" s="1065"/>
      <c r="Z48" s="1065"/>
      <c r="AA48" s="1552"/>
      <c r="AB48" s="489"/>
      <c r="AC48" s="489"/>
      <c r="AD48" s="489"/>
      <c r="AE48" s="489"/>
    </row>
    <row r="49" spans="1:31" s="1561" customFormat="1" ht="11.25" customHeight="1">
      <c r="A49" s="898"/>
      <c r="B49" s="1556"/>
      <c r="C49" s="1556"/>
      <c r="D49" s="272"/>
      <c r="K49" s="1065"/>
      <c r="L49" s="1556"/>
      <c r="M49" s="1556"/>
      <c r="N49" s="1065"/>
      <c r="O49" s="1065"/>
      <c r="P49" s="1065"/>
      <c r="Q49" s="1065"/>
      <c r="R49" s="1556"/>
      <c r="S49" s="1065"/>
      <c r="T49" s="1065"/>
      <c r="U49" s="467"/>
      <c r="V49" s="1065"/>
      <c r="W49" s="1065"/>
      <c r="X49" s="1065"/>
      <c r="Y49" s="1065"/>
      <c r="Z49" s="1065"/>
      <c r="AA49" s="1552"/>
      <c r="AB49" s="489"/>
      <c r="AC49" s="489"/>
      <c r="AD49" s="489"/>
      <c r="AE49" s="489"/>
    </row>
    <row r="50" spans="1:31" s="1561" customFormat="1" ht="11.25" customHeight="1">
      <c r="A50" s="898"/>
      <c r="B50" s="1556"/>
      <c r="C50" s="1556"/>
      <c r="D50" s="272"/>
      <c r="K50" s="1065"/>
      <c r="L50" s="1556"/>
      <c r="M50" s="1556"/>
      <c r="N50" s="1065"/>
      <c r="O50" s="1065"/>
      <c r="P50" s="1065"/>
      <c r="Q50" s="1065"/>
      <c r="R50" s="1556"/>
      <c r="S50" s="1065"/>
      <c r="T50" s="1065"/>
      <c r="U50" s="467"/>
      <c r="V50" s="1065"/>
      <c r="W50" s="1065"/>
      <c r="X50" s="1065"/>
      <c r="Y50" s="1065"/>
      <c r="Z50" s="1065"/>
      <c r="AA50" s="1552"/>
      <c r="AB50" s="489"/>
      <c r="AC50" s="489"/>
      <c r="AD50" s="489"/>
      <c r="AE50" s="489"/>
    </row>
    <row r="51" spans="1:31" s="1561" customFormat="1" ht="11.25" customHeight="1">
      <c r="A51" s="898"/>
      <c r="B51" s="1556"/>
      <c r="C51" s="1556"/>
      <c r="D51" s="272"/>
      <c r="K51" s="1065"/>
      <c r="L51" s="1556"/>
      <c r="M51" s="1556"/>
      <c r="N51" s="1065"/>
      <c r="O51" s="1065"/>
      <c r="P51" s="1065"/>
      <c r="Q51" s="1065"/>
      <c r="R51" s="1556"/>
      <c r="S51" s="1065"/>
      <c r="T51" s="1065"/>
      <c r="U51" s="467"/>
      <c r="V51" s="1065"/>
      <c r="W51" s="1065"/>
      <c r="X51" s="1065"/>
      <c r="Y51" s="1065"/>
      <c r="Z51" s="1065"/>
      <c r="AA51" s="1552"/>
      <c r="AB51" s="489"/>
      <c r="AC51" s="489"/>
      <c r="AD51" s="489"/>
      <c r="AE51" s="489"/>
    </row>
    <row r="52" spans="1:31" s="1561" customFormat="1" ht="11.25" customHeight="1">
      <c r="A52" s="898"/>
      <c r="B52" s="1556"/>
      <c r="C52" s="1556"/>
      <c r="D52" s="272"/>
      <c r="K52" s="1065"/>
      <c r="L52" s="1556"/>
      <c r="M52" s="1556"/>
      <c r="N52" s="1065"/>
      <c r="O52" s="1065"/>
      <c r="P52" s="1065"/>
      <c r="Q52" s="1065"/>
      <c r="R52" s="1556"/>
      <c r="S52" s="1065"/>
      <c r="T52" s="1065"/>
      <c r="U52" s="467"/>
      <c r="V52" s="1065"/>
      <c r="W52" s="1065"/>
      <c r="X52" s="1065"/>
      <c r="Y52" s="1065"/>
      <c r="Z52" s="1065"/>
      <c r="AA52" s="1552"/>
      <c r="AB52" s="489"/>
      <c r="AC52" s="489"/>
      <c r="AD52" s="489"/>
      <c r="AE52" s="489"/>
    </row>
    <row r="53" spans="1:31" s="1561" customFormat="1" ht="11.25" customHeight="1">
      <c r="A53" s="898"/>
      <c r="B53" s="1556"/>
      <c r="C53" s="1556"/>
      <c r="D53" s="272"/>
      <c r="K53" s="1065"/>
      <c r="L53" s="1556"/>
      <c r="M53" s="1556"/>
      <c r="N53" s="1065"/>
      <c r="O53" s="1065"/>
      <c r="P53" s="1065"/>
      <c r="Q53" s="1065"/>
      <c r="R53" s="1556"/>
      <c r="S53" s="1065"/>
      <c r="T53" s="1065"/>
      <c r="U53" s="467"/>
      <c r="V53" s="1065"/>
      <c r="W53" s="1065"/>
      <c r="X53" s="1065"/>
      <c r="Y53" s="1065"/>
      <c r="Z53" s="1065"/>
      <c r="AA53" s="1552"/>
      <c r="AB53" s="489"/>
      <c r="AC53" s="489"/>
      <c r="AD53" s="489"/>
      <c r="AE53" s="489"/>
    </row>
    <row r="54" spans="1:31" s="1561" customFormat="1" ht="11.25" customHeight="1">
      <c r="A54" s="898"/>
      <c r="B54" s="1556"/>
      <c r="C54" s="1556"/>
      <c r="D54" s="272"/>
      <c r="K54" s="1065"/>
      <c r="L54" s="1556"/>
      <c r="M54" s="1556"/>
      <c r="N54" s="1065"/>
      <c r="O54" s="1065"/>
      <c r="P54" s="1065"/>
      <c r="Q54" s="1065"/>
      <c r="R54" s="1556"/>
      <c r="S54" s="1065"/>
      <c r="T54" s="1065"/>
      <c r="U54" s="467"/>
      <c r="V54" s="1065"/>
      <c r="W54" s="1065"/>
      <c r="X54" s="1065"/>
      <c r="Y54" s="1065"/>
      <c r="Z54" s="1065"/>
      <c r="AA54" s="1552"/>
      <c r="AB54" s="489"/>
      <c r="AC54" s="489"/>
      <c r="AD54" s="489"/>
      <c r="AE54" s="489"/>
    </row>
    <row r="55" spans="1:31" s="1561" customFormat="1" ht="11.25" customHeight="1">
      <c r="A55" s="898"/>
      <c r="B55" s="1556"/>
      <c r="C55" s="1556"/>
      <c r="D55" s="272"/>
      <c r="K55" s="1065"/>
      <c r="L55" s="1556"/>
      <c r="M55" s="1556"/>
      <c r="N55" s="1065"/>
      <c r="O55" s="1065"/>
      <c r="P55" s="1065"/>
      <c r="Q55" s="1065"/>
      <c r="R55" s="1556"/>
      <c r="S55" s="1065"/>
      <c r="T55" s="1065"/>
      <c r="U55" s="467"/>
      <c r="V55" s="1065"/>
      <c r="W55" s="1065"/>
      <c r="X55" s="1065"/>
      <c r="Y55" s="1065"/>
      <c r="Z55" s="1065"/>
      <c r="AA55" s="1552"/>
      <c r="AB55" s="489"/>
      <c r="AC55" s="489"/>
      <c r="AD55" s="489"/>
      <c r="AE55" s="489"/>
    </row>
    <row r="56" spans="1:31" s="1561" customFormat="1" ht="11.25" customHeight="1">
      <c r="A56" s="898"/>
      <c r="B56" s="1556"/>
      <c r="C56" s="1556"/>
      <c r="D56" s="272"/>
      <c r="K56" s="1065"/>
      <c r="L56" s="1556"/>
      <c r="M56" s="1556"/>
      <c r="N56" s="1065"/>
      <c r="O56" s="1065"/>
      <c r="P56" s="1065"/>
      <c r="Q56" s="1065"/>
      <c r="R56" s="1556"/>
      <c r="S56" s="1065"/>
      <c r="T56" s="1065"/>
      <c r="U56" s="467"/>
      <c r="V56" s="1065"/>
      <c r="W56" s="1065"/>
      <c r="X56" s="1065"/>
      <c r="Y56" s="1065"/>
      <c r="Z56" s="1065"/>
      <c r="AA56" s="1552"/>
      <c r="AB56" s="489"/>
      <c r="AC56" s="489"/>
      <c r="AD56" s="489"/>
      <c r="AE56" s="489"/>
    </row>
    <row r="57" spans="1:31" s="1561" customFormat="1" ht="11.25" customHeight="1">
      <c r="A57" s="898"/>
      <c r="B57" s="1556"/>
      <c r="C57" s="1556"/>
      <c r="D57" s="272"/>
      <c r="K57" s="1065"/>
      <c r="L57" s="1556"/>
      <c r="M57" s="1556"/>
      <c r="N57" s="1065"/>
      <c r="O57" s="1065"/>
      <c r="P57" s="1065"/>
      <c r="Q57" s="1065"/>
      <c r="R57" s="1556"/>
      <c r="S57" s="1065"/>
      <c r="T57" s="1065"/>
      <c r="U57" s="467"/>
      <c r="V57" s="1065"/>
      <c r="W57" s="1065"/>
      <c r="X57" s="1065"/>
      <c r="Y57" s="1065"/>
      <c r="Z57" s="1065"/>
      <c r="AA57" s="1552"/>
      <c r="AB57" s="489"/>
      <c r="AC57" s="489"/>
      <c r="AD57" s="489"/>
      <c r="AE57" s="489"/>
    </row>
    <row r="58" spans="1:31" s="1561" customFormat="1" ht="11.25" customHeight="1">
      <c r="A58" s="898"/>
      <c r="B58" s="1556"/>
      <c r="C58" s="1556"/>
      <c r="D58" s="272"/>
      <c r="K58" s="1065"/>
      <c r="L58" s="1556"/>
      <c r="M58" s="1556"/>
      <c r="N58" s="1065"/>
      <c r="O58" s="1065"/>
      <c r="P58" s="1065"/>
      <c r="Q58" s="1065"/>
      <c r="R58" s="1556"/>
      <c r="S58" s="1065"/>
      <c r="T58" s="1065"/>
      <c r="U58" s="467"/>
      <c r="V58" s="1065"/>
      <c r="W58" s="1065"/>
      <c r="X58" s="1065"/>
      <c r="Y58" s="1065"/>
      <c r="Z58" s="1065"/>
      <c r="AA58" s="1552"/>
      <c r="AB58" s="489"/>
      <c r="AC58" s="489"/>
      <c r="AD58" s="489"/>
      <c r="AE58" s="489"/>
    </row>
    <row r="59" spans="1:31" s="1561" customFormat="1" ht="11.25" customHeight="1">
      <c r="A59" s="898"/>
      <c r="B59" s="1556"/>
      <c r="C59" s="1556"/>
      <c r="D59" s="272"/>
      <c r="K59" s="1065"/>
      <c r="L59" s="1556"/>
      <c r="M59" s="1556"/>
      <c r="N59" s="1065"/>
      <c r="O59" s="1065"/>
      <c r="P59" s="1065"/>
      <c r="Q59" s="1065"/>
      <c r="R59" s="1556"/>
      <c r="S59" s="1065"/>
      <c r="T59" s="1065"/>
      <c r="U59" s="467"/>
      <c r="V59" s="1065"/>
      <c r="W59" s="1065"/>
      <c r="X59" s="1065"/>
      <c r="Y59" s="1065"/>
      <c r="Z59" s="1065"/>
      <c r="AA59" s="1552"/>
      <c r="AB59" s="489"/>
      <c r="AC59" s="489"/>
      <c r="AD59" s="489"/>
      <c r="AE59" s="489"/>
    </row>
    <row r="60" spans="1:31" s="1561" customFormat="1" ht="11.25" customHeight="1">
      <c r="A60" s="898"/>
      <c r="B60" s="1556"/>
      <c r="C60" s="1556"/>
      <c r="D60" s="272"/>
      <c r="K60" s="1065"/>
      <c r="L60" s="1556"/>
      <c r="M60" s="1556"/>
      <c r="N60" s="1065"/>
      <c r="O60" s="1065"/>
      <c r="P60" s="1065"/>
      <c r="Q60" s="1065"/>
      <c r="R60" s="1556"/>
      <c r="S60" s="1065"/>
      <c r="T60" s="1065"/>
      <c r="U60" s="467"/>
      <c r="V60" s="1065"/>
      <c r="W60" s="1065"/>
      <c r="X60" s="1065"/>
      <c r="Y60" s="1065"/>
      <c r="Z60" s="1065"/>
      <c r="AA60" s="1552"/>
      <c r="AB60" s="489"/>
      <c r="AC60" s="489"/>
      <c r="AD60" s="489"/>
      <c r="AE60" s="489"/>
    </row>
    <row r="61" spans="1:31" s="1561" customFormat="1" ht="11.25" customHeight="1">
      <c r="A61" s="898"/>
      <c r="B61" s="1556"/>
      <c r="C61" s="1556"/>
      <c r="D61" s="272"/>
      <c r="K61" s="1065"/>
      <c r="L61" s="1556"/>
      <c r="M61" s="1556"/>
      <c r="N61" s="1065"/>
      <c r="O61" s="1065"/>
      <c r="P61" s="1065"/>
      <c r="Q61" s="1065"/>
      <c r="R61" s="1556"/>
      <c r="S61" s="1065"/>
      <c r="T61" s="1065"/>
      <c r="U61" s="467"/>
      <c r="V61" s="1065"/>
      <c r="W61" s="1065"/>
      <c r="X61" s="1065"/>
      <c r="Y61" s="1065"/>
      <c r="Z61" s="1065"/>
      <c r="AA61" s="1552"/>
      <c r="AB61" s="489"/>
      <c r="AC61" s="489"/>
      <c r="AD61" s="489"/>
      <c r="AE61" s="489"/>
    </row>
    <row r="62" spans="1:31" s="1561" customFormat="1" ht="11.25" customHeight="1">
      <c r="A62" s="898"/>
      <c r="B62" s="1556"/>
      <c r="C62" s="1556"/>
      <c r="D62" s="272"/>
      <c r="K62" s="1065"/>
      <c r="L62" s="1556"/>
      <c r="M62" s="1556"/>
      <c r="N62" s="1065"/>
      <c r="O62" s="1065"/>
      <c r="P62" s="1065"/>
      <c r="Q62" s="1065"/>
      <c r="R62" s="1556"/>
      <c r="S62" s="1065"/>
      <c r="T62" s="1065"/>
      <c r="U62" s="467"/>
      <c r="V62" s="1065"/>
      <c r="W62" s="1065"/>
      <c r="X62" s="1065"/>
      <c r="Y62" s="1065"/>
      <c r="Z62" s="1065"/>
      <c r="AA62" s="1552"/>
      <c r="AB62" s="489"/>
      <c r="AC62" s="489"/>
      <c r="AD62" s="489"/>
      <c r="AE62" s="489"/>
    </row>
    <row r="63" spans="1:31" s="1561" customFormat="1" ht="11.25" customHeight="1">
      <c r="A63" s="898"/>
      <c r="B63" s="1556"/>
      <c r="C63" s="1556"/>
      <c r="D63" s="272"/>
      <c r="K63" s="1065"/>
      <c r="L63" s="1556"/>
      <c r="M63" s="1556"/>
      <c r="N63" s="1065"/>
      <c r="O63" s="1065"/>
      <c r="P63" s="1065"/>
      <c r="Q63" s="1065"/>
      <c r="R63" s="1556"/>
      <c r="S63" s="1065"/>
      <c r="T63" s="1065"/>
      <c r="U63" s="467"/>
      <c r="V63" s="1065"/>
      <c r="W63" s="1065"/>
      <c r="X63" s="1065"/>
      <c r="Y63" s="1065"/>
      <c r="Z63" s="1065"/>
      <c r="AA63" s="1552"/>
      <c r="AB63" s="489"/>
      <c r="AC63" s="489"/>
      <c r="AD63" s="489"/>
      <c r="AE63" s="489"/>
    </row>
    <row r="64" spans="1:31" s="1561" customFormat="1" ht="11.25" customHeight="1">
      <c r="A64" s="898"/>
      <c r="B64" s="1556"/>
      <c r="C64" s="1556"/>
      <c r="D64" s="272"/>
      <c r="K64" s="1065"/>
      <c r="L64" s="1556"/>
      <c r="M64" s="1556"/>
      <c r="N64" s="1065"/>
      <c r="O64" s="1065"/>
      <c r="P64" s="1065"/>
      <c r="Q64" s="1065"/>
      <c r="R64" s="1556"/>
      <c r="S64" s="1065"/>
      <c r="T64" s="1065"/>
      <c r="U64" s="467"/>
      <c r="V64" s="1065"/>
      <c r="W64" s="1065"/>
      <c r="X64" s="1065"/>
      <c r="Y64" s="1065"/>
      <c r="Z64" s="1065"/>
      <c r="AA64" s="1552"/>
      <c r="AB64" s="489"/>
      <c r="AC64" s="489"/>
      <c r="AD64" s="489"/>
      <c r="AE64" s="489"/>
    </row>
    <row r="65" spans="1:31" s="1561" customFormat="1" ht="11.25" customHeight="1">
      <c r="A65" s="898"/>
      <c r="B65" s="1556"/>
      <c r="C65" s="1556"/>
      <c r="D65" s="272"/>
      <c r="K65" s="1065"/>
      <c r="L65" s="1556"/>
      <c r="M65" s="1556"/>
      <c r="N65" s="1065"/>
      <c r="O65" s="1065"/>
      <c r="P65" s="1065"/>
      <c r="Q65" s="1065"/>
      <c r="R65" s="1556"/>
      <c r="S65" s="1065"/>
      <c r="T65" s="1065"/>
      <c r="U65" s="467"/>
      <c r="V65" s="1065"/>
      <c r="W65" s="1065"/>
      <c r="X65" s="1065"/>
      <c r="Y65" s="1065"/>
      <c r="Z65" s="1065"/>
      <c r="AA65" s="1552"/>
      <c r="AB65" s="489"/>
      <c r="AC65" s="489"/>
      <c r="AD65" s="489"/>
      <c r="AE65" s="489"/>
    </row>
    <row r="66" spans="1:31" s="1561" customFormat="1" ht="11.25" customHeight="1">
      <c r="A66" s="898"/>
      <c r="B66" s="1556"/>
      <c r="C66" s="1556"/>
      <c r="D66" s="272"/>
      <c r="K66" s="1065"/>
      <c r="L66" s="1556"/>
      <c r="M66" s="1556"/>
      <c r="N66" s="1065"/>
      <c r="O66" s="1065"/>
      <c r="P66" s="1065"/>
      <c r="Q66" s="1065"/>
      <c r="R66" s="1556"/>
      <c r="S66" s="1065"/>
      <c r="T66" s="1065"/>
      <c r="U66" s="467"/>
      <c r="V66" s="1065"/>
      <c r="W66" s="1065"/>
      <c r="X66" s="1065"/>
      <c r="Y66" s="1065"/>
      <c r="Z66" s="1065"/>
      <c r="AA66" s="1552"/>
      <c r="AB66" s="489"/>
      <c r="AC66" s="489"/>
      <c r="AD66" s="489"/>
      <c r="AE66" s="489"/>
    </row>
    <row r="67" spans="1:31" s="1561" customFormat="1" ht="11.25" customHeight="1">
      <c r="A67" s="898"/>
      <c r="B67" s="1556"/>
      <c r="C67" s="1556"/>
      <c r="D67" s="272"/>
      <c r="K67" s="1065"/>
      <c r="L67" s="1556"/>
      <c r="M67" s="1556"/>
      <c r="N67" s="1065"/>
      <c r="O67" s="1065"/>
      <c r="P67" s="1065"/>
      <c r="Q67" s="1065"/>
      <c r="R67" s="1556"/>
      <c r="S67" s="1065"/>
      <c r="T67" s="1065"/>
      <c r="U67" s="467"/>
      <c r="V67" s="1065"/>
      <c r="W67" s="1065"/>
      <c r="X67" s="1065"/>
      <c r="Y67" s="1065"/>
      <c r="Z67" s="1065"/>
      <c r="AA67" s="1552"/>
      <c r="AB67" s="489"/>
      <c r="AC67" s="489"/>
      <c r="AD67" s="489"/>
      <c r="AE67" s="489"/>
    </row>
    <row r="68" spans="1:31" s="1561" customFormat="1" ht="11.25" customHeight="1">
      <c r="A68" s="898"/>
      <c r="B68" s="1556"/>
      <c r="C68" s="1556"/>
      <c r="D68" s="272"/>
      <c r="K68" s="1065"/>
      <c r="L68" s="1556"/>
      <c r="M68" s="1556"/>
      <c r="N68" s="1065"/>
      <c r="O68" s="1065"/>
      <c r="P68" s="1065"/>
      <c r="Q68" s="1065"/>
      <c r="R68" s="1556"/>
      <c r="S68" s="1065"/>
      <c r="T68" s="1065"/>
      <c r="U68" s="467"/>
      <c r="V68" s="1065"/>
      <c r="W68" s="1065"/>
      <c r="X68" s="1065"/>
      <c r="Y68" s="1065"/>
      <c r="Z68" s="1065"/>
      <c r="AA68" s="1552"/>
      <c r="AB68" s="489"/>
      <c r="AC68" s="489"/>
      <c r="AD68" s="489"/>
      <c r="AE68" s="489"/>
    </row>
    <row r="69" spans="1:31" s="1561" customFormat="1" ht="11.25" customHeight="1">
      <c r="A69" s="898"/>
      <c r="B69" s="1556"/>
      <c r="C69" s="1556"/>
      <c r="D69" s="272"/>
      <c r="K69" s="1065"/>
      <c r="L69" s="1556"/>
      <c r="M69" s="1556"/>
      <c r="N69" s="1065"/>
      <c r="O69" s="1065"/>
      <c r="P69" s="1065"/>
      <c r="Q69" s="1065"/>
      <c r="R69" s="1556"/>
      <c r="S69" s="1065"/>
      <c r="T69" s="1065"/>
      <c r="U69" s="467"/>
      <c r="V69" s="1065"/>
      <c r="W69" s="1065"/>
      <c r="X69" s="1065"/>
      <c r="Y69" s="1065"/>
      <c r="Z69" s="1065"/>
      <c r="AA69" s="1552"/>
      <c r="AB69" s="489"/>
      <c r="AC69" s="489"/>
      <c r="AD69" s="489"/>
      <c r="AE69" s="489"/>
    </row>
    <row r="70" spans="1:31" s="1561" customFormat="1" ht="11.25" customHeight="1">
      <c r="A70" s="898"/>
      <c r="B70" s="1556"/>
      <c r="C70" s="1556"/>
      <c r="D70" s="272"/>
      <c r="K70" s="1065"/>
      <c r="L70" s="1556"/>
      <c r="M70" s="1556"/>
      <c r="N70" s="1065"/>
      <c r="O70" s="1065"/>
      <c r="P70" s="1065"/>
      <c r="Q70" s="1065"/>
      <c r="R70" s="1556"/>
      <c r="S70" s="1065"/>
      <c r="T70" s="1065"/>
      <c r="U70" s="467"/>
      <c r="V70" s="1065"/>
      <c r="W70" s="1065"/>
      <c r="X70" s="1065"/>
      <c r="Y70" s="1065"/>
      <c r="Z70" s="1065"/>
      <c r="AA70" s="1552"/>
      <c r="AB70" s="489"/>
      <c r="AC70" s="489"/>
      <c r="AD70" s="489"/>
      <c r="AE70" s="489"/>
    </row>
    <row r="71" spans="1:31" s="1561" customFormat="1" ht="11.25" customHeight="1">
      <c r="A71" s="898"/>
      <c r="B71" s="1556"/>
      <c r="C71" s="1556"/>
      <c r="D71" s="272"/>
      <c r="K71" s="1065"/>
      <c r="L71" s="1556"/>
      <c r="M71" s="1556"/>
      <c r="N71" s="1065"/>
      <c r="O71" s="1065"/>
      <c r="P71" s="1065"/>
      <c r="Q71" s="1065"/>
      <c r="R71" s="1556"/>
      <c r="S71" s="1065"/>
      <c r="T71" s="1065"/>
      <c r="U71" s="467"/>
      <c r="V71" s="1065"/>
      <c r="W71" s="1065"/>
      <c r="X71" s="1065"/>
      <c r="Y71" s="1065"/>
      <c r="Z71" s="1065"/>
      <c r="AA71" s="1552"/>
      <c r="AB71" s="489"/>
      <c r="AC71" s="489"/>
      <c r="AD71" s="489"/>
      <c r="AE71" s="489"/>
    </row>
    <row r="72" spans="1:31" s="1561" customFormat="1" ht="11.25" customHeight="1">
      <c r="A72" s="898"/>
      <c r="B72" s="1556"/>
      <c r="C72" s="1556"/>
      <c r="D72" s="272"/>
      <c r="K72" s="1065"/>
      <c r="L72" s="1556"/>
      <c r="M72" s="1556"/>
      <c r="N72" s="1065"/>
      <c r="O72" s="1065"/>
      <c r="P72" s="1065"/>
      <c r="Q72" s="1065"/>
      <c r="R72" s="1556"/>
      <c r="S72" s="1065"/>
      <c r="T72" s="1065"/>
      <c r="U72" s="467"/>
      <c r="V72" s="1065"/>
      <c r="W72" s="1065"/>
      <c r="X72" s="1065"/>
      <c r="Y72" s="1065"/>
      <c r="Z72" s="1065"/>
      <c r="AA72" s="1552"/>
      <c r="AB72" s="489"/>
      <c r="AC72" s="489"/>
      <c r="AD72" s="489"/>
      <c r="AE72" s="489"/>
    </row>
    <row r="73" spans="1:31" s="1561" customFormat="1" ht="11.25" customHeight="1">
      <c r="A73" s="898"/>
      <c r="B73" s="1556"/>
      <c r="C73" s="1556"/>
      <c r="D73" s="272"/>
      <c r="K73" s="1065"/>
      <c r="L73" s="1556"/>
      <c r="M73" s="1556"/>
      <c r="N73" s="1065"/>
      <c r="O73" s="1065"/>
      <c r="P73" s="1065"/>
      <c r="Q73" s="1065"/>
      <c r="R73" s="1556"/>
      <c r="S73" s="1065"/>
      <c r="T73" s="1065"/>
      <c r="U73" s="467"/>
      <c r="V73" s="1065"/>
      <c r="W73" s="1065"/>
      <c r="X73" s="1065"/>
      <c r="Y73" s="1065"/>
      <c r="Z73" s="1065"/>
      <c r="AA73" s="1552"/>
      <c r="AB73" s="489"/>
      <c r="AC73" s="489"/>
      <c r="AD73" s="489"/>
      <c r="AE73" s="489"/>
    </row>
    <row r="74" spans="1:31" s="1561" customFormat="1" ht="11.25" customHeight="1">
      <c r="A74" s="898"/>
      <c r="B74" s="1556"/>
      <c r="C74" s="1556"/>
      <c r="D74" s="272"/>
      <c r="K74" s="1065"/>
      <c r="L74" s="1556"/>
      <c r="M74" s="1556"/>
      <c r="N74" s="1065"/>
      <c r="O74" s="1065"/>
      <c r="P74" s="1065"/>
      <c r="Q74" s="1065"/>
      <c r="R74" s="1556"/>
      <c r="S74" s="1065"/>
      <c r="T74" s="1065"/>
      <c r="U74" s="467"/>
      <c r="V74" s="1065"/>
      <c r="W74" s="1065"/>
      <c r="X74" s="1065"/>
      <c r="Y74" s="1065"/>
      <c r="Z74" s="1065"/>
      <c r="AA74" s="1552"/>
      <c r="AB74" s="489"/>
      <c r="AC74" s="489"/>
      <c r="AD74" s="489"/>
      <c r="AE74" s="489"/>
    </row>
    <row r="75" spans="1:31" s="1561" customFormat="1" ht="11.25" customHeight="1">
      <c r="A75" s="898"/>
      <c r="B75" s="1556"/>
      <c r="C75" s="1556"/>
      <c r="D75" s="272"/>
      <c r="K75" s="1065"/>
      <c r="L75" s="1556"/>
      <c r="M75" s="1556"/>
      <c r="N75" s="1065"/>
      <c r="O75" s="1065"/>
      <c r="P75" s="1065"/>
      <c r="Q75" s="1065"/>
      <c r="R75" s="1556"/>
      <c r="S75" s="1065"/>
      <c r="T75" s="1065"/>
      <c r="U75" s="467"/>
      <c r="V75" s="1065"/>
      <c r="W75" s="1065"/>
      <c r="X75" s="1065"/>
      <c r="Y75" s="1065"/>
      <c r="Z75" s="1065"/>
      <c r="AA75" s="1552"/>
      <c r="AB75" s="489"/>
      <c r="AC75" s="489"/>
      <c r="AD75" s="489"/>
      <c r="AE75" s="489"/>
    </row>
    <row r="76" spans="1:31" s="1561" customFormat="1" ht="11.25" customHeight="1">
      <c r="A76" s="898"/>
      <c r="B76" s="1556"/>
      <c r="C76" s="1556"/>
      <c r="D76" s="272"/>
      <c r="K76" s="1065"/>
      <c r="L76" s="1556"/>
      <c r="M76" s="1556"/>
      <c r="N76" s="1065"/>
      <c r="O76" s="1065"/>
      <c r="P76" s="1065"/>
      <c r="Q76" s="1065"/>
      <c r="R76" s="1556"/>
      <c r="S76" s="1065"/>
      <c r="T76" s="1065"/>
      <c r="U76" s="467"/>
      <c r="V76" s="1065"/>
      <c r="W76" s="1065"/>
      <c r="X76" s="1065"/>
      <c r="Y76" s="1065"/>
      <c r="Z76" s="1065"/>
      <c r="AA76" s="1552"/>
      <c r="AB76" s="489"/>
      <c r="AC76" s="489"/>
      <c r="AD76" s="489"/>
      <c r="AE76" s="489"/>
    </row>
    <row r="77" spans="1:31" s="1561" customFormat="1" ht="11.25" customHeight="1">
      <c r="A77" s="898"/>
      <c r="B77" s="1556"/>
      <c r="C77" s="1556"/>
      <c r="D77" s="272"/>
      <c r="K77" s="1065"/>
      <c r="L77" s="1556"/>
      <c r="M77" s="1556"/>
      <c r="N77" s="1065"/>
      <c r="O77" s="1065"/>
      <c r="P77" s="1065"/>
      <c r="Q77" s="1065"/>
      <c r="R77" s="1556"/>
      <c r="S77" s="1065"/>
      <c r="T77" s="1065"/>
      <c r="U77" s="467"/>
      <c r="V77" s="1065"/>
      <c r="W77" s="1065"/>
      <c r="X77" s="1065"/>
      <c r="Y77" s="1065"/>
      <c r="Z77" s="1065"/>
      <c r="AA77" s="1552"/>
      <c r="AB77" s="489"/>
      <c r="AC77" s="489"/>
      <c r="AD77" s="489"/>
      <c r="AE77" s="489"/>
    </row>
    <row r="78" spans="1:31" s="1561" customFormat="1" ht="11.25" customHeight="1">
      <c r="A78" s="898"/>
      <c r="B78" s="1556"/>
      <c r="C78" s="1556"/>
      <c r="D78" s="272"/>
      <c r="K78" s="1065"/>
      <c r="L78" s="1556"/>
      <c r="M78" s="1556"/>
      <c r="N78" s="1065"/>
      <c r="O78" s="1065"/>
      <c r="P78" s="1065"/>
      <c r="Q78" s="1065"/>
      <c r="R78" s="1556"/>
      <c r="S78" s="1065"/>
      <c r="T78" s="1065"/>
      <c r="U78" s="467"/>
      <c r="V78" s="1065"/>
      <c r="W78" s="1065"/>
      <c r="X78" s="1065"/>
      <c r="Y78" s="1065"/>
      <c r="Z78" s="1065"/>
      <c r="AA78" s="1552"/>
      <c r="AB78" s="489"/>
      <c r="AC78" s="489"/>
      <c r="AD78" s="489"/>
      <c r="AE78" s="489"/>
    </row>
    <row r="79" spans="1:31" s="1561" customFormat="1" ht="11.25" customHeight="1">
      <c r="A79" s="898"/>
      <c r="B79" s="1556"/>
      <c r="C79" s="1556"/>
      <c r="D79" s="272"/>
      <c r="K79" s="1065"/>
      <c r="L79" s="1556"/>
      <c r="M79" s="1556"/>
      <c r="N79" s="1065"/>
      <c r="O79" s="1065"/>
      <c r="P79" s="1065"/>
      <c r="Q79" s="1065"/>
      <c r="R79" s="1556"/>
      <c r="S79" s="1065"/>
      <c r="T79" s="1065"/>
      <c r="U79" s="467"/>
      <c r="V79" s="1065"/>
      <c r="W79" s="1065"/>
      <c r="X79" s="1065"/>
      <c r="Y79" s="1065"/>
      <c r="Z79" s="1065"/>
      <c r="AA79" s="1552"/>
      <c r="AB79" s="489"/>
      <c r="AC79" s="489"/>
      <c r="AD79" s="489"/>
      <c r="AE79" s="489"/>
    </row>
    <row r="80" spans="1:31" s="1561" customFormat="1" ht="11.25" customHeight="1">
      <c r="A80" s="898"/>
      <c r="B80" s="1556"/>
      <c r="C80" s="1556"/>
      <c r="D80" s="272"/>
      <c r="K80" s="1065"/>
      <c r="L80" s="1556"/>
      <c r="M80" s="1556"/>
      <c r="N80" s="1065"/>
      <c r="O80" s="1065"/>
      <c r="P80" s="1065"/>
      <c r="Q80" s="1065"/>
      <c r="R80" s="1556"/>
      <c r="S80" s="1065"/>
      <c r="T80" s="1065"/>
      <c r="U80" s="467"/>
      <c r="V80" s="1065"/>
      <c r="W80" s="1065"/>
      <c r="X80" s="1065"/>
      <c r="Y80" s="1065"/>
      <c r="Z80" s="1065"/>
      <c r="AA80" s="1552"/>
      <c r="AB80" s="489"/>
      <c r="AC80" s="489"/>
      <c r="AD80" s="489"/>
      <c r="AE80" s="489"/>
    </row>
    <row r="81" spans="1:31" s="1561" customFormat="1" ht="11.25" customHeight="1">
      <c r="A81" s="898"/>
      <c r="B81" s="1556"/>
      <c r="C81" s="1556"/>
      <c r="D81" s="272"/>
      <c r="K81" s="1065"/>
      <c r="L81" s="1556"/>
      <c r="M81" s="1556"/>
      <c r="N81" s="1065"/>
      <c r="O81" s="1065"/>
      <c r="P81" s="1065"/>
      <c r="Q81" s="1065"/>
      <c r="R81" s="1556"/>
      <c r="S81" s="1065"/>
      <c r="T81" s="1065"/>
      <c r="U81" s="467"/>
      <c r="V81" s="1065"/>
      <c r="W81" s="1065"/>
      <c r="X81" s="1065"/>
      <c r="Y81" s="1065"/>
      <c r="Z81" s="1065"/>
      <c r="AA81" s="1552"/>
      <c r="AB81" s="489"/>
      <c r="AC81" s="489"/>
      <c r="AD81" s="489"/>
      <c r="AE81" s="489"/>
    </row>
    <row r="82" spans="1:31" s="1561" customFormat="1" ht="11.25" customHeight="1">
      <c r="A82" s="898"/>
      <c r="B82" s="1556"/>
      <c r="C82" s="1556"/>
      <c r="D82" s="272"/>
      <c r="K82" s="1065"/>
      <c r="L82" s="1556"/>
      <c r="M82" s="1556"/>
      <c r="N82" s="1065"/>
      <c r="O82" s="1065"/>
      <c r="P82" s="1065"/>
      <c r="Q82" s="1065"/>
      <c r="R82" s="1556"/>
      <c r="S82" s="1065"/>
      <c r="T82" s="1065"/>
      <c r="U82" s="467"/>
      <c r="V82" s="1065"/>
      <c r="W82" s="1065"/>
      <c r="X82" s="1065"/>
      <c r="Y82" s="1065"/>
      <c r="Z82" s="1065"/>
      <c r="AA82" s="1552"/>
      <c r="AB82" s="489"/>
      <c r="AC82" s="489"/>
      <c r="AD82" s="489"/>
      <c r="AE82" s="489"/>
    </row>
    <row r="83" spans="1:31" s="1561" customFormat="1" ht="11.25" customHeight="1">
      <c r="A83" s="898"/>
      <c r="B83" s="1556"/>
      <c r="C83" s="1556"/>
      <c r="D83" s="272"/>
      <c r="K83" s="1065"/>
      <c r="L83" s="1556"/>
      <c r="M83" s="1556"/>
      <c r="N83" s="1065"/>
      <c r="O83" s="1065"/>
      <c r="P83" s="1065"/>
      <c r="Q83" s="1065"/>
      <c r="R83" s="1556"/>
      <c r="S83" s="1065"/>
      <c r="T83" s="1065"/>
      <c r="U83" s="467"/>
      <c r="V83" s="1065"/>
      <c r="W83" s="1065"/>
      <c r="X83" s="1065"/>
      <c r="Y83" s="1065"/>
      <c r="Z83" s="1065"/>
      <c r="AA83" s="1552"/>
      <c r="AB83" s="489"/>
      <c r="AC83" s="489"/>
      <c r="AD83" s="489"/>
      <c r="AE83" s="489"/>
    </row>
    <row r="84" spans="1:31" s="1561" customFormat="1" ht="11.25" customHeight="1">
      <c r="A84" s="898"/>
      <c r="B84" s="1556"/>
      <c r="C84" s="1556"/>
      <c r="D84" s="272"/>
      <c r="K84" s="1065"/>
      <c r="L84" s="1556"/>
      <c r="M84" s="1556"/>
      <c r="N84" s="1065"/>
      <c r="O84" s="1065"/>
      <c r="P84" s="1065"/>
      <c r="Q84" s="1065"/>
      <c r="R84" s="1556"/>
      <c r="S84" s="1065"/>
      <c r="T84" s="1065"/>
      <c r="U84" s="467"/>
      <c r="V84" s="1065"/>
      <c r="W84" s="1065"/>
      <c r="X84" s="1065"/>
      <c r="Y84" s="1065"/>
      <c r="Z84" s="1065"/>
      <c r="AA84" s="1552"/>
      <c r="AB84" s="489"/>
      <c r="AC84" s="489"/>
      <c r="AD84" s="489"/>
      <c r="AE84" s="489"/>
    </row>
    <row r="85" spans="1:31" s="1561" customFormat="1" ht="11.25" customHeight="1">
      <c r="A85" s="898"/>
      <c r="B85" s="1556"/>
      <c r="C85" s="1556"/>
      <c r="D85" s="272"/>
      <c r="K85" s="1065"/>
      <c r="L85" s="1556"/>
      <c r="M85" s="1556"/>
      <c r="N85" s="1065"/>
      <c r="O85" s="1065"/>
      <c r="P85" s="1065"/>
      <c r="Q85" s="1065"/>
      <c r="R85" s="1556"/>
      <c r="S85" s="1065"/>
      <c r="T85" s="1065"/>
      <c r="U85" s="467"/>
      <c r="V85" s="1065"/>
      <c r="W85" s="1065"/>
      <c r="X85" s="1065"/>
      <c r="Y85" s="1065"/>
      <c r="Z85" s="1065"/>
      <c r="AA85" s="1552"/>
      <c r="AB85" s="489"/>
      <c r="AC85" s="489"/>
      <c r="AD85" s="489"/>
      <c r="AE85" s="489"/>
    </row>
    <row r="86" spans="1:31" s="1561" customFormat="1" ht="11.25" customHeight="1">
      <c r="A86" s="898"/>
      <c r="B86" s="1556"/>
      <c r="C86" s="1556"/>
      <c r="D86" s="272"/>
      <c r="K86" s="1065"/>
      <c r="L86" s="1556"/>
      <c r="M86" s="1556"/>
      <c r="N86" s="1065"/>
      <c r="O86" s="1065"/>
      <c r="P86" s="1065"/>
      <c r="Q86" s="1065"/>
      <c r="R86" s="1556"/>
      <c r="S86" s="1065"/>
      <c r="T86" s="1065"/>
      <c r="U86" s="467"/>
      <c r="V86" s="1065"/>
      <c r="W86" s="1065"/>
      <c r="X86" s="1065"/>
      <c r="Y86" s="1065"/>
      <c r="Z86" s="1065"/>
      <c r="AA86" s="1552"/>
      <c r="AB86" s="489"/>
      <c r="AC86" s="489"/>
      <c r="AD86" s="489"/>
      <c r="AE86" s="489"/>
    </row>
    <row r="87" spans="1:31" s="1561" customFormat="1" ht="11.25" customHeight="1">
      <c r="A87" s="898"/>
      <c r="B87" s="1556"/>
      <c r="C87" s="1556"/>
      <c r="D87" s="272"/>
      <c r="K87" s="1065"/>
      <c r="L87" s="1556"/>
      <c r="M87" s="1556"/>
      <c r="N87" s="1065"/>
      <c r="O87" s="1065"/>
      <c r="P87" s="1065"/>
      <c r="Q87" s="1065"/>
      <c r="R87" s="1556"/>
      <c r="S87" s="1065"/>
      <c r="T87" s="1065"/>
      <c r="U87" s="467"/>
      <c r="V87" s="1065"/>
      <c r="W87" s="1065"/>
      <c r="X87" s="1065"/>
      <c r="Y87" s="1065"/>
      <c r="Z87" s="1065"/>
      <c r="AA87" s="1552"/>
      <c r="AB87" s="489"/>
      <c r="AC87" s="489"/>
      <c r="AD87" s="489"/>
      <c r="AE87" s="489"/>
    </row>
    <row r="88" spans="1:31" s="1561" customFormat="1" ht="11.25" customHeight="1">
      <c r="A88" s="898"/>
      <c r="B88" s="1556"/>
      <c r="C88" s="1556"/>
      <c r="D88" s="272"/>
      <c r="K88" s="1065"/>
      <c r="L88" s="1556"/>
      <c r="M88" s="1556"/>
      <c r="N88" s="1065"/>
      <c r="O88" s="1065"/>
      <c r="P88" s="1065"/>
      <c r="Q88" s="1065"/>
      <c r="R88" s="1556"/>
      <c r="S88" s="1065"/>
      <c r="T88" s="1065"/>
      <c r="U88" s="467"/>
      <c r="V88" s="1065"/>
      <c r="W88" s="1065"/>
      <c r="X88" s="1065"/>
      <c r="Y88" s="1065"/>
      <c r="Z88" s="1065"/>
      <c r="AA88" s="1552"/>
      <c r="AB88" s="489"/>
      <c r="AC88" s="489"/>
      <c r="AD88" s="489"/>
      <c r="AE88" s="489"/>
    </row>
    <row r="89" spans="1:31" s="1561" customFormat="1" ht="11.25" customHeight="1">
      <c r="A89" s="898"/>
      <c r="B89" s="1556"/>
      <c r="C89" s="1556"/>
      <c r="D89" s="272"/>
      <c r="K89" s="1065"/>
      <c r="L89" s="1556"/>
      <c r="M89" s="1556"/>
      <c r="N89" s="1065"/>
      <c r="O89" s="1065"/>
      <c r="P89" s="1065"/>
      <c r="Q89" s="1065"/>
      <c r="R89" s="1556"/>
      <c r="S89" s="1065"/>
      <c r="T89" s="1065"/>
      <c r="U89" s="467"/>
      <c r="V89" s="1065"/>
      <c r="W89" s="1065"/>
      <c r="X89" s="1065"/>
      <c r="Y89" s="1065"/>
      <c r="Z89" s="1065"/>
      <c r="AA89" s="1552"/>
      <c r="AB89" s="489"/>
      <c r="AC89" s="489"/>
      <c r="AD89" s="489"/>
      <c r="AE89" s="489"/>
    </row>
    <row r="90" spans="1:31" s="1561" customFormat="1" ht="11.25" customHeight="1">
      <c r="A90" s="898"/>
      <c r="B90" s="1556"/>
      <c r="C90" s="1556"/>
      <c r="D90" s="272"/>
      <c r="K90" s="1065"/>
      <c r="L90" s="1556"/>
      <c r="M90" s="1556"/>
      <c r="N90" s="1065"/>
      <c r="O90" s="1065"/>
      <c r="P90" s="1065"/>
      <c r="Q90" s="1065"/>
      <c r="R90" s="1556"/>
      <c r="S90" s="1065"/>
      <c r="T90" s="1065"/>
      <c r="U90" s="467"/>
      <c r="V90" s="1065"/>
      <c r="W90" s="1065"/>
      <c r="X90" s="1065"/>
      <c r="Y90" s="1065"/>
      <c r="Z90" s="1065"/>
      <c r="AA90" s="1552"/>
      <c r="AB90" s="489"/>
      <c r="AC90" s="489"/>
      <c r="AD90" s="489"/>
      <c r="AE90" s="489"/>
    </row>
    <row r="91" spans="1:31" s="1561" customFormat="1" ht="11.25" customHeight="1">
      <c r="A91" s="898"/>
      <c r="B91" s="1556"/>
      <c r="C91" s="1556"/>
      <c r="D91" s="272"/>
      <c r="K91" s="1065"/>
      <c r="L91" s="1556"/>
      <c r="M91" s="1556"/>
      <c r="N91" s="1065"/>
      <c r="O91" s="1065"/>
      <c r="P91" s="1065"/>
      <c r="Q91" s="1065"/>
      <c r="R91" s="1556"/>
      <c r="S91" s="1065"/>
      <c r="T91" s="1065"/>
      <c r="U91" s="467"/>
      <c r="V91" s="1065"/>
      <c r="W91" s="1065"/>
      <c r="X91" s="1065"/>
      <c r="Y91" s="1065"/>
      <c r="Z91" s="1065"/>
      <c r="AA91" s="1552"/>
      <c r="AB91" s="489"/>
      <c r="AC91" s="489"/>
      <c r="AD91" s="489"/>
      <c r="AE91" s="489"/>
    </row>
    <row r="92" spans="1:31" s="1561" customFormat="1" ht="11.25" customHeight="1">
      <c r="A92" s="898"/>
      <c r="B92" s="1556"/>
      <c r="C92" s="1556"/>
      <c r="D92" s="272"/>
      <c r="K92" s="1065"/>
      <c r="L92" s="1556"/>
      <c r="M92" s="1556"/>
      <c r="N92" s="1065"/>
      <c r="O92" s="1065"/>
      <c r="P92" s="1065"/>
      <c r="Q92" s="1065"/>
      <c r="R92" s="1556"/>
      <c r="S92" s="1065"/>
      <c r="T92" s="1065"/>
      <c r="U92" s="467"/>
      <c r="V92" s="1065"/>
      <c r="W92" s="1065"/>
      <c r="X92" s="1065"/>
      <c r="Y92" s="1065"/>
      <c r="Z92" s="1065"/>
      <c r="AA92" s="1552"/>
      <c r="AB92" s="489"/>
      <c r="AC92" s="489"/>
      <c r="AD92" s="489"/>
      <c r="AE92" s="489"/>
    </row>
    <row r="93" spans="1:31" s="1561" customFormat="1" ht="11.25" customHeight="1">
      <c r="A93" s="898"/>
      <c r="B93" s="1556"/>
      <c r="C93" s="1556"/>
      <c r="D93" s="272"/>
      <c r="K93" s="1065"/>
      <c r="L93" s="1556"/>
      <c r="M93" s="1556"/>
      <c r="N93" s="1065"/>
      <c r="O93" s="1065"/>
      <c r="P93" s="1065"/>
      <c r="Q93" s="1065"/>
      <c r="R93" s="1556"/>
      <c r="S93" s="1065"/>
      <c r="T93" s="1065"/>
      <c r="U93" s="467"/>
      <c r="V93" s="1065"/>
      <c r="W93" s="1065"/>
      <c r="X93" s="1065"/>
      <c r="Y93" s="1065"/>
      <c r="Z93" s="1065"/>
      <c r="AA93" s="1552"/>
      <c r="AB93" s="489"/>
      <c r="AC93" s="489"/>
      <c r="AD93" s="489"/>
      <c r="AE93" s="489"/>
    </row>
    <row r="94" spans="1:31" s="1561" customFormat="1" ht="11.25" customHeight="1">
      <c r="A94" s="898"/>
      <c r="B94" s="1556"/>
      <c r="C94" s="1556"/>
      <c r="D94" s="272"/>
      <c r="K94" s="1065"/>
      <c r="L94" s="1556"/>
      <c r="M94" s="1556"/>
      <c r="N94" s="1065"/>
      <c r="O94" s="1065"/>
      <c r="P94" s="1065"/>
      <c r="Q94" s="1065"/>
      <c r="R94" s="1556"/>
      <c r="S94" s="1065"/>
      <c r="T94" s="1065"/>
      <c r="U94" s="467"/>
      <c r="V94" s="1065"/>
      <c r="W94" s="1065"/>
      <c r="X94" s="1065"/>
      <c r="Y94" s="1065"/>
      <c r="Z94" s="1065"/>
      <c r="AA94" s="1552"/>
      <c r="AB94" s="489"/>
      <c r="AC94" s="489"/>
      <c r="AD94" s="489"/>
      <c r="AE94" s="489"/>
    </row>
    <row r="95" spans="1:31" s="1561" customFormat="1" ht="11.25" customHeight="1">
      <c r="A95" s="898"/>
      <c r="B95" s="1556"/>
      <c r="C95" s="1556"/>
      <c r="D95" s="272"/>
      <c r="K95" s="1065"/>
      <c r="L95" s="1556"/>
      <c r="M95" s="1556"/>
      <c r="N95" s="1065"/>
      <c r="O95" s="1065"/>
      <c r="P95" s="1065"/>
      <c r="Q95" s="1065"/>
      <c r="R95" s="1556"/>
      <c r="S95" s="1065"/>
      <c r="T95" s="1065"/>
      <c r="U95" s="467"/>
      <c r="V95" s="1065"/>
      <c r="W95" s="1065"/>
      <c r="X95" s="1065"/>
      <c r="Y95" s="1065"/>
      <c r="Z95" s="1065"/>
      <c r="AA95" s="1552"/>
      <c r="AB95" s="489"/>
      <c r="AC95" s="489"/>
      <c r="AD95" s="489"/>
      <c r="AE95" s="489"/>
    </row>
    <row r="96" spans="1:31" s="1561" customFormat="1" ht="11.25" customHeight="1">
      <c r="A96" s="898"/>
      <c r="B96" s="1556"/>
      <c r="C96" s="1556"/>
      <c r="D96" s="272"/>
      <c r="K96" s="1065"/>
      <c r="L96" s="1556"/>
      <c r="M96" s="1556"/>
      <c r="N96" s="1065"/>
      <c r="O96" s="1065"/>
      <c r="P96" s="1065"/>
      <c r="Q96" s="1065"/>
      <c r="R96" s="1556"/>
      <c r="S96" s="1065"/>
      <c r="T96" s="1065"/>
      <c r="U96" s="467"/>
      <c r="V96" s="1065"/>
      <c r="W96" s="1065"/>
      <c r="X96" s="1065"/>
      <c r="Y96" s="1065"/>
      <c r="Z96" s="1065"/>
      <c r="AA96" s="1552"/>
      <c r="AB96" s="489"/>
      <c r="AC96" s="489"/>
      <c r="AD96" s="489"/>
      <c r="AE96" s="489"/>
    </row>
    <row r="97" spans="1:31" s="1561" customFormat="1" ht="11.25" customHeight="1">
      <c r="A97" s="898"/>
      <c r="B97" s="1556"/>
      <c r="C97" s="1556"/>
      <c r="D97" s="272"/>
      <c r="K97" s="1065"/>
      <c r="L97" s="1556"/>
      <c r="M97" s="1556"/>
      <c r="N97" s="1065"/>
      <c r="O97" s="1065"/>
      <c r="P97" s="1065"/>
      <c r="Q97" s="1065"/>
      <c r="R97" s="1556"/>
      <c r="S97" s="1065"/>
      <c r="T97" s="1065"/>
      <c r="U97" s="467"/>
      <c r="V97" s="1065"/>
      <c r="W97" s="1065"/>
      <c r="X97" s="1065"/>
      <c r="Y97" s="1065"/>
      <c r="Z97" s="1065"/>
      <c r="AA97" s="1552"/>
      <c r="AB97" s="489"/>
      <c r="AC97" s="489"/>
      <c r="AD97" s="489"/>
      <c r="AE97" s="489"/>
    </row>
    <row r="98" spans="1:31" s="1561" customFormat="1" ht="11.25" customHeight="1">
      <c r="A98" s="898"/>
      <c r="B98" s="1556"/>
      <c r="C98" s="1556"/>
      <c r="D98" s="272"/>
      <c r="K98" s="1065"/>
      <c r="L98" s="1556"/>
      <c r="M98" s="1556"/>
      <c r="N98" s="1065"/>
      <c r="O98" s="1065"/>
      <c r="P98" s="1065"/>
      <c r="Q98" s="1065"/>
      <c r="R98" s="1556"/>
      <c r="S98" s="1065"/>
      <c r="T98" s="1065"/>
      <c r="U98" s="467"/>
      <c r="V98" s="1065"/>
      <c r="W98" s="1065"/>
      <c r="X98" s="1065"/>
      <c r="Y98" s="1065"/>
      <c r="Z98" s="1065"/>
      <c r="AA98" s="1552"/>
      <c r="AB98" s="489"/>
      <c r="AC98" s="489"/>
      <c r="AD98" s="489"/>
      <c r="AE98" s="489"/>
    </row>
    <row r="99" spans="1:31" s="1561" customFormat="1" ht="11.25" customHeight="1">
      <c r="A99" s="898"/>
      <c r="B99" s="1556"/>
      <c r="C99" s="1556"/>
      <c r="D99" s="272"/>
      <c r="K99" s="1065"/>
      <c r="L99" s="1556"/>
      <c r="M99" s="1556"/>
      <c r="N99" s="1065"/>
      <c r="O99" s="1065"/>
      <c r="P99" s="1065"/>
      <c r="Q99" s="1065"/>
      <c r="R99" s="1556"/>
      <c r="S99" s="1065"/>
      <c r="T99" s="1065"/>
      <c r="U99" s="467"/>
      <c r="V99" s="1065"/>
      <c r="W99" s="1065"/>
      <c r="X99" s="1065"/>
      <c r="Y99" s="1065"/>
      <c r="Z99" s="1065"/>
      <c r="AA99" s="1552"/>
      <c r="AB99" s="489"/>
      <c r="AC99" s="489"/>
      <c r="AD99" s="489"/>
      <c r="AE99" s="489"/>
    </row>
    <row r="100" spans="1:31" s="1561" customFormat="1" ht="11.25" customHeight="1">
      <c r="A100" s="898"/>
      <c r="B100" s="1556"/>
      <c r="C100" s="1556"/>
      <c r="D100" s="272"/>
      <c r="K100" s="1065"/>
      <c r="L100" s="1556"/>
      <c r="M100" s="1556"/>
      <c r="N100" s="1065"/>
      <c r="O100" s="1065"/>
      <c r="P100" s="1065"/>
      <c r="Q100" s="1065"/>
      <c r="R100" s="1556"/>
      <c r="S100" s="1065"/>
      <c r="T100" s="1065"/>
      <c r="U100" s="467"/>
      <c r="V100" s="1065"/>
      <c r="W100" s="1065"/>
      <c r="X100" s="1065"/>
      <c r="Y100" s="1065"/>
      <c r="Z100" s="1065"/>
      <c r="AA100" s="1552"/>
      <c r="AB100" s="489"/>
      <c r="AC100" s="489"/>
      <c r="AD100" s="489"/>
      <c r="AE100" s="489"/>
    </row>
    <row r="101" spans="1:31" s="1561" customFormat="1" ht="11.25" customHeight="1">
      <c r="A101" s="898"/>
      <c r="B101" s="1556"/>
      <c r="C101" s="1556"/>
      <c r="D101" s="272"/>
      <c r="K101" s="1065"/>
      <c r="L101" s="1556"/>
      <c r="M101" s="1556"/>
      <c r="N101" s="1065"/>
      <c r="O101" s="1065"/>
      <c r="P101" s="1065"/>
      <c r="Q101" s="1065"/>
      <c r="R101" s="1556"/>
      <c r="S101" s="1065"/>
      <c r="T101" s="1065"/>
      <c r="U101" s="467"/>
      <c r="V101" s="1065"/>
      <c r="W101" s="1065"/>
      <c r="X101" s="1065"/>
      <c r="Y101" s="1065"/>
      <c r="Z101" s="1065"/>
      <c r="AA101" s="1552"/>
      <c r="AB101" s="489"/>
      <c r="AC101" s="489"/>
      <c r="AD101" s="489"/>
      <c r="AE101" s="489"/>
    </row>
    <row r="102" spans="1:31" s="1561" customFormat="1" ht="11.25" customHeight="1">
      <c r="A102" s="898"/>
      <c r="B102" s="1556"/>
      <c r="C102" s="1556"/>
      <c r="D102" s="272"/>
      <c r="K102" s="1065"/>
      <c r="L102" s="1556"/>
      <c r="M102" s="1556"/>
      <c r="N102" s="1065"/>
      <c r="O102" s="1065"/>
      <c r="P102" s="1065"/>
      <c r="Q102" s="1065"/>
      <c r="R102" s="1556"/>
      <c r="S102" s="1065"/>
      <c r="T102" s="1065"/>
      <c r="U102" s="467"/>
      <c r="V102" s="1065"/>
      <c r="W102" s="1065"/>
      <c r="X102" s="1065"/>
      <c r="Y102" s="1065"/>
      <c r="Z102" s="1065"/>
      <c r="AA102" s="1552"/>
      <c r="AB102" s="489"/>
      <c r="AC102" s="489"/>
      <c r="AD102" s="489"/>
      <c r="AE102" s="489"/>
    </row>
    <row r="103" spans="1:31" s="1561" customFormat="1" ht="11.25" customHeight="1">
      <c r="A103" s="898"/>
      <c r="B103" s="1556"/>
      <c r="C103" s="1556"/>
      <c r="D103" s="272"/>
      <c r="K103" s="1065"/>
      <c r="L103" s="1556"/>
      <c r="M103" s="1556"/>
      <c r="N103" s="1065"/>
      <c r="O103" s="1065"/>
      <c r="P103" s="1065"/>
      <c r="Q103" s="1065"/>
      <c r="R103" s="1556"/>
      <c r="S103" s="1065"/>
      <c r="T103" s="1065"/>
      <c r="U103" s="467"/>
      <c r="V103" s="1065"/>
      <c r="W103" s="1065"/>
      <c r="X103" s="1065"/>
      <c r="Y103" s="1065"/>
      <c r="Z103" s="1065"/>
      <c r="AA103" s="1552"/>
      <c r="AB103" s="489"/>
      <c r="AC103" s="489"/>
      <c r="AD103" s="489"/>
      <c r="AE103" s="489"/>
    </row>
    <row r="104" spans="1:31" s="1561" customFormat="1" ht="11.25" customHeight="1">
      <c r="A104" s="898"/>
      <c r="B104" s="1556"/>
      <c r="C104" s="1556"/>
      <c r="D104" s="272"/>
      <c r="K104" s="1065"/>
      <c r="L104" s="1556"/>
      <c r="M104" s="1556"/>
      <c r="N104" s="1065"/>
      <c r="O104" s="1065"/>
      <c r="P104" s="1065"/>
      <c r="Q104" s="1065"/>
      <c r="R104" s="1556"/>
      <c r="S104" s="1065"/>
      <c r="T104" s="1065"/>
      <c r="U104" s="467"/>
      <c r="V104" s="1065"/>
      <c r="W104" s="1065"/>
      <c r="X104" s="1065"/>
      <c r="Y104" s="1065"/>
      <c r="Z104" s="1065"/>
      <c r="AA104" s="1552"/>
      <c r="AB104" s="489"/>
      <c r="AC104" s="489"/>
      <c r="AD104" s="489"/>
      <c r="AE104" s="489"/>
    </row>
    <row r="105" spans="1:31" s="1561" customFormat="1" ht="11.25" customHeight="1">
      <c r="A105" s="898"/>
      <c r="B105" s="1556"/>
      <c r="C105" s="1556"/>
      <c r="D105" s="272"/>
      <c r="K105" s="1065"/>
      <c r="L105" s="1556"/>
      <c r="M105" s="1556"/>
      <c r="N105" s="1065"/>
      <c r="O105" s="1065"/>
      <c r="P105" s="1065"/>
      <c r="Q105" s="1065"/>
      <c r="R105" s="1556"/>
      <c r="S105" s="1065"/>
      <c r="T105" s="1065"/>
      <c r="U105" s="467"/>
      <c r="V105" s="1065"/>
      <c r="W105" s="1065"/>
      <c r="X105" s="1065"/>
      <c r="Y105" s="1065"/>
      <c r="Z105" s="1065"/>
      <c r="AA105" s="1552"/>
      <c r="AB105" s="489"/>
      <c r="AC105" s="489"/>
      <c r="AD105" s="489"/>
      <c r="AE105" s="489"/>
    </row>
    <row r="106" spans="1:31" s="1561" customFormat="1" ht="11.25" customHeight="1">
      <c r="A106" s="898"/>
      <c r="B106" s="1556"/>
      <c r="C106" s="1556"/>
      <c r="D106" s="272"/>
      <c r="K106" s="1065"/>
      <c r="L106" s="1556"/>
      <c r="M106" s="1556"/>
      <c r="N106" s="1065"/>
      <c r="O106" s="1065"/>
      <c r="P106" s="1065"/>
      <c r="Q106" s="1065"/>
      <c r="R106" s="1556"/>
      <c r="S106" s="1065"/>
      <c r="T106" s="1065"/>
      <c r="U106" s="467"/>
      <c r="V106" s="1065"/>
      <c r="W106" s="1065"/>
      <c r="X106" s="1065"/>
      <c r="Y106" s="1065"/>
      <c r="Z106" s="1065"/>
      <c r="AA106" s="1552"/>
      <c r="AB106" s="489"/>
      <c r="AC106" s="489"/>
      <c r="AD106" s="489"/>
      <c r="AE106" s="489"/>
    </row>
    <row r="107" spans="1:31" s="1561" customFormat="1" ht="11.25" customHeight="1">
      <c r="A107" s="898"/>
      <c r="B107" s="1556"/>
      <c r="C107" s="1556"/>
      <c r="D107" s="272"/>
      <c r="K107" s="1065"/>
      <c r="L107" s="1556"/>
      <c r="M107" s="1556"/>
      <c r="N107" s="1065"/>
      <c r="O107" s="1065"/>
      <c r="P107" s="1065"/>
      <c r="Q107" s="1065"/>
      <c r="R107" s="1556"/>
      <c r="S107" s="1065"/>
      <c r="T107" s="1065"/>
      <c r="U107" s="467"/>
      <c r="V107" s="1065"/>
      <c r="W107" s="1065"/>
      <c r="X107" s="1065"/>
      <c r="Y107" s="1065"/>
      <c r="Z107" s="1065"/>
      <c r="AA107" s="1552"/>
      <c r="AB107" s="489"/>
      <c r="AC107" s="489"/>
      <c r="AD107" s="489"/>
      <c r="AE107" s="489"/>
    </row>
    <row r="108" spans="1:31" s="1561" customFormat="1" ht="11.25" customHeight="1">
      <c r="A108" s="898"/>
      <c r="B108" s="1556"/>
      <c r="C108" s="1556"/>
      <c r="D108" s="272"/>
      <c r="K108" s="1065"/>
      <c r="L108" s="1556"/>
      <c r="M108" s="1556"/>
      <c r="N108" s="1065"/>
      <c r="O108" s="1065"/>
      <c r="P108" s="1065"/>
      <c r="Q108" s="1065"/>
      <c r="R108" s="1556"/>
      <c r="S108" s="1065"/>
      <c r="T108" s="1065"/>
      <c r="U108" s="467"/>
      <c r="V108" s="1065"/>
      <c r="W108" s="1065"/>
      <c r="X108" s="1065"/>
      <c r="Y108" s="1065"/>
      <c r="Z108" s="1065"/>
      <c r="AA108" s="1552"/>
      <c r="AB108" s="489"/>
      <c r="AC108" s="489"/>
      <c r="AD108" s="489"/>
      <c r="AE108" s="489"/>
    </row>
    <row r="109" spans="1:31" s="1561" customFormat="1" ht="11.25" customHeight="1">
      <c r="A109" s="898"/>
      <c r="B109" s="1556"/>
      <c r="C109" s="1556"/>
      <c r="D109" s="272"/>
      <c r="K109" s="1065"/>
      <c r="L109" s="1556"/>
      <c r="M109" s="1556"/>
      <c r="N109" s="1065"/>
      <c r="O109" s="1065"/>
      <c r="P109" s="1065"/>
      <c r="Q109" s="1065"/>
      <c r="R109" s="1556"/>
      <c r="S109" s="1065"/>
      <c r="T109" s="1065"/>
      <c r="U109" s="467"/>
      <c r="V109" s="1065"/>
      <c r="W109" s="1065"/>
      <c r="X109" s="1065"/>
      <c r="Y109" s="1065"/>
      <c r="Z109" s="1065"/>
      <c r="AA109" s="1552"/>
      <c r="AB109" s="489"/>
      <c r="AC109" s="489"/>
      <c r="AD109" s="489"/>
      <c r="AE109" s="489"/>
    </row>
    <row r="110" spans="1:31" s="1561" customFormat="1" ht="11.25" customHeight="1">
      <c r="A110" s="898"/>
      <c r="B110" s="1556"/>
      <c r="C110" s="1556"/>
      <c r="D110" s="272"/>
      <c r="K110" s="1065"/>
      <c r="L110" s="1556"/>
      <c r="M110" s="1556"/>
      <c r="N110" s="1065"/>
      <c r="O110" s="1065"/>
      <c r="P110" s="1065"/>
      <c r="Q110" s="1065"/>
      <c r="R110" s="1556"/>
      <c r="S110" s="1065"/>
      <c r="T110" s="1065"/>
      <c r="U110" s="467"/>
      <c r="V110" s="1065"/>
      <c r="W110" s="1065"/>
      <c r="X110" s="1065"/>
      <c r="Y110" s="1065"/>
      <c r="Z110" s="1065"/>
      <c r="AA110" s="1552"/>
      <c r="AB110" s="489"/>
      <c r="AC110" s="489"/>
      <c r="AD110" s="489"/>
      <c r="AE110" s="489"/>
    </row>
    <row r="111" spans="1:31" s="1561" customFormat="1" ht="11.25" customHeight="1">
      <c r="A111" s="898"/>
      <c r="B111" s="1556"/>
      <c r="C111" s="1556"/>
      <c r="D111" s="272"/>
      <c r="K111" s="1065"/>
      <c r="L111" s="1556"/>
      <c r="M111" s="1556"/>
      <c r="N111" s="1065"/>
      <c r="O111" s="1065"/>
      <c r="P111" s="1065"/>
      <c r="Q111" s="1065"/>
      <c r="R111" s="1556"/>
      <c r="S111" s="1065"/>
      <c r="T111" s="1065"/>
      <c r="U111" s="467"/>
      <c r="V111" s="1065"/>
      <c r="W111" s="1065"/>
      <c r="X111" s="1065"/>
      <c r="Y111" s="1065"/>
      <c r="Z111" s="1065"/>
      <c r="AA111" s="1552"/>
      <c r="AB111" s="489"/>
      <c r="AC111" s="489"/>
      <c r="AD111" s="489"/>
      <c r="AE111" s="489"/>
    </row>
    <row r="112" spans="1:31" s="1561" customFormat="1" ht="11.25" customHeight="1">
      <c r="A112" s="898"/>
      <c r="B112" s="1556"/>
      <c r="C112" s="1556"/>
      <c r="D112" s="272"/>
      <c r="K112" s="1065"/>
      <c r="L112" s="1556"/>
      <c r="M112" s="1556"/>
      <c r="N112" s="1065"/>
      <c r="O112" s="1065"/>
      <c r="P112" s="1065"/>
      <c r="Q112" s="1065"/>
      <c r="R112" s="1556"/>
      <c r="S112" s="1065"/>
      <c r="T112" s="1065"/>
      <c r="U112" s="467"/>
      <c r="V112" s="1065"/>
      <c r="W112" s="1065"/>
      <c r="X112" s="1065"/>
      <c r="Y112" s="1065"/>
      <c r="Z112" s="1065"/>
      <c r="AA112" s="1552"/>
      <c r="AB112" s="489"/>
      <c r="AC112" s="489"/>
      <c r="AD112" s="489"/>
      <c r="AE112" s="489"/>
    </row>
    <row r="113" spans="1:31" s="1561" customFormat="1" ht="11.25" customHeight="1">
      <c r="A113" s="898"/>
      <c r="B113" s="1556"/>
      <c r="C113" s="1556"/>
      <c r="D113" s="272"/>
      <c r="K113" s="1065"/>
      <c r="L113" s="1556"/>
      <c r="M113" s="1556"/>
      <c r="N113" s="1065"/>
      <c r="O113" s="1065"/>
      <c r="P113" s="1065"/>
      <c r="Q113" s="1065"/>
      <c r="R113" s="1556"/>
      <c r="S113" s="1065"/>
      <c r="T113" s="1065"/>
      <c r="U113" s="467"/>
      <c r="V113" s="1065"/>
      <c r="W113" s="1065"/>
      <c r="X113" s="1065"/>
      <c r="Y113" s="1065"/>
      <c r="Z113" s="1065"/>
      <c r="AA113" s="1552"/>
      <c r="AB113" s="489"/>
      <c r="AC113" s="489"/>
      <c r="AD113" s="489"/>
      <c r="AE113" s="489"/>
    </row>
    <row r="114" spans="1:31" s="1561" customFormat="1" ht="11.25" customHeight="1">
      <c r="A114" s="898"/>
      <c r="B114" s="1556"/>
      <c r="C114" s="1556"/>
      <c r="D114" s="272"/>
      <c r="K114" s="1065"/>
      <c r="L114" s="1556"/>
      <c r="M114" s="1556"/>
      <c r="N114" s="1065"/>
      <c r="O114" s="1065"/>
      <c r="P114" s="1065"/>
      <c r="Q114" s="1065"/>
      <c r="R114" s="1556"/>
      <c r="S114" s="1065"/>
      <c r="T114" s="1065"/>
      <c r="U114" s="467"/>
      <c r="V114" s="1065"/>
      <c r="W114" s="1065"/>
      <c r="X114" s="1065"/>
      <c r="Y114" s="1065"/>
      <c r="Z114" s="1065"/>
      <c r="AA114" s="1552"/>
      <c r="AB114" s="489"/>
      <c r="AC114" s="489"/>
      <c r="AD114" s="489"/>
      <c r="AE114" s="489"/>
    </row>
    <row r="115" spans="1:31" s="1561" customFormat="1" ht="11.25" customHeight="1">
      <c r="A115" s="898"/>
      <c r="B115" s="1556"/>
      <c r="C115" s="1556"/>
      <c r="D115" s="272"/>
      <c r="K115" s="1065"/>
      <c r="L115" s="1556"/>
      <c r="M115" s="1556"/>
      <c r="N115" s="1065"/>
      <c r="O115" s="1065"/>
      <c r="P115" s="1065"/>
      <c r="Q115" s="1065"/>
      <c r="R115" s="1556"/>
      <c r="S115" s="1065"/>
      <c r="T115" s="1065"/>
      <c r="U115" s="467"/>
      <c r="V115" s="1065"/>
      <c r="W115" s="1065"/>
      <c r="X115" s="1065"/>
      <c r="Y115" s="1065"/>
      <c r="Z115" s="1065"/>
      <c r="AA115" s="1552"/>
      <c r="AB115" s="489"/>
      <c r="AC115" s="489"/>
      <c r="AD115" s="489"/>
      <c r="AE115" s="489"/>
    </row>
    <row r="116" spans="1:31" s="1561" customFormat="1" ht="11.25" customHeight="1">
      <c r="A116" s="898"/>
      <c r="B116" s="1556"/>
      <c r="C116" s="1556"/>
      <c r="D116" s="272"/>
      <c r="K116" s="1065"/>
      <c r="L116" s="1556"/>
      <c r="M116" s="1556"/>
      <c r="N116" s="1065"/>
      <c r="O116" s="1065"/>
      <c r="P116" s="1065"/>
      <c r="Q116" s="1065"/>
      <c r="R116" s="1556"/>
      <c r="S116" s="1065"/>
      <c r="T116" s="1065"/>
      <c r="U116" s="467"/>
      <c r="V116" s="1065"/>
      <c r="W116" s="1065"/>
      <c r="X116" s="1065"/>
      <c r="Y116" s="1065"/>
      <c r="Z116" s="1065"/>
      <c r="AA116" s="1552"/>
      <c r="AB116" s="489"/>
      <c r="AC116" s="489"/>
      <c r="AD116" s="489"/>
      <c r="AE116" s="489"/>
    </row>
    <row r="117" spans="1:31" s="1561" customFormat="1" ht="11.25" customHeight="1">
      <c r="A117" s="898"/>
      <c r="B117" s="1556"/>
      <c r="C117" s="1556"/>
      <c r="D117" s="272"/>
      <c r="K117" s="1065"/>
      <c r="L117" s="1556"/>
      <c r="M117" s="1556"/>
      <c r="N117" s="1065"/>
      <c r="O117" s="1065"/>
      <c r="P117" s="1065"/>
      <c r="Q117" s="1065"/>
      <c r="R117" s="1556"/>
      <c r="S117" s="1065"/>
      <c r="T117" s="1065"/>
      <c r="U117" s="467"/>
      <c r="V117" s="1065"/>
      <c r="W117" s="1065"/>
      <c r="X117" s="1065"/>
      <c r="Y117" s="1065"/>
      <c r="Z117" s="1065"/>
      <c r="AA117" s="1552"/>
      <c r="AB117" s="489"/>
      <c r="AC117" s="489"/>
      <c r="AD117" s="489"/>
      <c r="AE117" s="489"/>
    </row>
    <row r="118" spans="1:31" s="1561" customFormat="1" ht="11.25" customHeight="1">
      <c r="A118" s="898"/>
      <c r="B118" s="1556"/>
      <c r="C118" s="1556"/>
      <c r="D118" s="272"/>
      <c r="K118" s="1065"/>
      <c r="L118" s="1556"/>
      <c r="M118" s="1556"/>
      <c r="N118" s="1065"/>
      <c r="O118" s="1065"/>
      <c r="P118" s="1065"/>
      <c r="Q118" s="1065"/>
      <c r="R118" s="1556"/>
      <c r="S118" s="1065"/>
      <c r="T118" s="1065"/>
      <c r="U118" s="467"/>
      <c r="V118" s="1065"/>
      <c r="W118" s="1065"/>
      <c r="X118" s="1065"/>
      <c r="Y118" s="1065"/>
      <c r="Z118" s="1065"/>
      <c r="AA118" s="1552"/>
      <c r="AB118" s="489"/>
      <c r="AC118" s="489"/>
      <c r="AD118" s="489"/>
      <c r="AE118" s="489"/>
    </row>
    <row r="119" spans="1:31" s="1561" customFormat="1" ht="11.25" customHeight="1">
      <c r="A119" s="898"/>
      <c r="B119" s="1556"/>
      <c r="C119" s="1556"/>
      <c r="D119" s="272"/>
      <c r="K119" s="1065"/>
      <c r="L119" s="1556"/>
      <c r="M119" s="1556"/>
      <c r="N119" s="1065"/>
      <c r="O119" s="1065"/>
      <c r="P119" s="1065"/>
      <c r="Q119" s="1065"/>
      <c r="R119" s="1556"/>
      <c r="S119" s="1065"/>
      <c r="T119" s="1065"/>
      <c r="U119" s="467"/>
      <c r="V119" s="1065"/>
      <c r="W119" s="1065"/>
      <c r="X119" s="1065"/>
      <c r="Y119" s="1065"/>
      <c r="Z119" s="1065"/>
      <c r="AA119" s="1552"/>
      <c r="AB119" s="489"/>
      <c r="AC119" s="489"/>
      <c r="AD119" s="489"/>
      <c r="AE119" s="489"/>
    </row>
    <row r="120" spans="1:31" s="1561" customFormat="1" ht="11.25" customHeight="1">
      <c r="A120" s="898"/>
      <c r="B120" s="1556"/>
      <c r="C120" s="1556"/>
      <c r="D120" s="272"/>
      <c r="K120" s="1065"/>
      <c r="L120" s="1556"/>
      <c r="M120" s="1556"/>
      <c r="N120" s="1065"/>
      <c r="O120" s="1065"/>
      <c r="P120" s="1065"/>
      <c r="Q120" s="1065"/>
      <c r="R120" s="1556"/>
      <c r="S120" s="1065"/>
      <c r="T120" s="1065"/>
      <c r="U120" s="467"/>
      <c r="V120" s="1065"/>
      <c r="W120" s="1065"/>
      <c r="X120" s="1065"/>
      <c r="Y120" s="1065"/>
      <c r="Z120" s="1065"/>
      <c r="AA120" s="1552"/>
      <c r="AB120" s="489"/>
      <c r="AC120" s="489"/>
      <c r="AD120" s="489"/>
      <c r="AE120" s="489"/>
    </row>
    <row r="121" spans="1:31" s="1561" customFormat="1" ht="11.25" customHeight="1">
      <c r="A121" s="898"/>
      <c r="B121" s="1556"/>
      <c r="C121" s="1556"/>
      <c r="D121" s="272"/>
      <c r="K121" s="1065"/>
      <c r="L121" s="1556"/>
      <c r="M121" s="1556"/>
      <c r="N121" s="1065"/>
      <c r="O121" s="1065"/>
      <c r="P121" s="1065"/>
      <c r="Q121" s="1065"/>
      <c r="R121" s="1556"/>
      <c r="S121" s="1065"/>
      <c r="T121" s="1065"/>
      <c r="U121" s="467"/>
      <c r="V121" s="1065"/>
      <c r="W121" s="1065"/>
      <c r="X121" s="1065"/>
      <c r="Y121" s="1065"/>
      <c r="Z121" s="1065"/>
      <c r="AA121" s="1552"/>
      <c r="AB121" s="489"/>
      <c r="AC121" s="489"/>
      <c r="AD121" s="489"/>
      <c r="AE121" s="489"/>
    </row>
    <row r="122" spans="1:31" s="1561" customFormat="1" ht="11.25" customHeight="1">
      <c r="A122" s="898"/>
      <c r="B122" s="1556"/>
      <c r="C122" s="1556"/>
      <c r="D122" s="272"/>
      <c r="K122" s="1065"/>
      <c r="L122" s="1556"/>
      <c r="M122" s="1556"/>
      <c r="N122" s="1065"/>
      <c r="O122" s="1065"/>
      <c r="P122" s="1065"/>
      <c r="Q122" s="1065"/>
      <c r="R122" s="1556"/>
      <c r="S122" s="1065"/>
      <c r="T122" s="1065"/>
      <c r="U122" s="467"/>
      <c r="V122" s="1065"/>
      <c r="W122" s="1065"/>
      <c r="X122" s="1065"/>
      <c r="Y122" s="1065"/>
      <c r="Z122" s="1065"/>
      <c r="AA122" s="1552"/>
      <c r="AB122" s="489"/>
      <c r="AC122" s="489"/>
      <c r="AD122" s="489"/>
      <c r="AE122" s="489"/>
    </row>
    <row r="123" spans="1:31" s="1561" customFormat="1" ht="11.25" customHeight="1">
      <c r="A123" s="898"/>
      <c r="B123" s="1556"/>
      <c r="C123" s="1556"/>
      <c r="D123" s="272"/>
      <c r="K123" s="1065"/>
      <c r="L123" s="1556"/>
      <c r="M123" s="1556"/>
      <c r="N123" s="1065"/>
      <c r="O123" s="1065"/>
      <c r="P123" s="1065"/>
      <c r="Q123" s="1065"/>
      <c r="R123" s="1556"/>
      <c r="S123" s="1065"/>
      <c r="T123" s="1065"/>
      <c r="U123" s="467"/>
      <c r="V123" s="1065"/>
      <c r="W123" s="1065"/>
      <c r="X123" s="1065"/>
      <c r="Y123" s="1065"/>
      <c r="Z123" s="1065"/>
      <c r="AA123" s="1552"/>
      <c r="AB123" s="489"/>
      <c r="AC123" s="489"/>
      <c r="AD123" s="489"/>
      <c r="AE123" s="489"/>
    </row>
    <row r="124" spans="1:31" s="1561" customFormat="1" ht="11.25" customHeight="1">
      <c r="A124" s="898"/>
      <c r="B124" s="1556"/>
      <c r="C124" s="1556"/>
      <c r="D124" s="272"/>
      <c r="K124" s="1065"/>
      <c r="L124" s="1556"/>
      <c r="M124" s="1556"/>
      <c r="N124" s="1065"/>
      <c r="O124" s="1065"/>
      <c r="P124" s="1065"/>
      <c r="Q124" s="1065"/>
      <c r="R124" s="1556"/>
      <c r="S124" s="1065"/>
      <c r="T124" s="1065"/>
      <c r="U124" s="467"/>
      <c r="V124" s="1065"/>
      <c r="W124" s="1065"/>
      <c r="X124" s="1065"/>
      <c r="Y124" s="1065"/>
      <c r="Z124" s="1065"/>
      <c r="AA124" s="1552"/>
      <c r="AB124" s="489"/>
      <c r="AC124" s="489"/>
      <c r="AD124" s="489"/>
      <c r="AE124" s="489"/>
    </row>
    <row r="125" spans="1:31" s="1561" customFormat="1" ht="11.25" customHeight="1">
      <c r="A125" s="898"/>
      <c r="B125" s="1556"/>
      <c r="C125" s="1556"/>
      <c r="D125" s="272"/>
      <c r="K125" s="1065"/>
      <c r="L125" s="1556"/>
      <c r="M125" s="1556"/>
      <c r="N125" s="1065"/>
      <c r="O125" s="1065"/>
      <c r="P125" s="1065"/>
      <c r="Q125" s="1065"/>
      <c r="R125" s="1556"/>
      <c r="S125" s="1065"/>
      <c r="T125" s="1065"/>
      <c r="U125" s="467"/>
      <c r="V125" s="1065"/>
      <c r="W125" s="1065"/>
      <c r="X125" s="1065"/>
      <c r="Y125" s="1065"/>
      <c r="Z125" s="1065"/>
      <c r="AA125" s="1552"/>
      <c r="AB125" s="489"/>
      <c r="AC125" s="489"/>
      <c r="AD125" s="489"/>
      <c r="AE125" s="489"/>
    </row>
    <row r="126" spans="1:31" s="1561" customFormat="1" ht="11.25" customHeight="1">
      <c r="A126" s="898"/>
      <c r="B126" s="1556"/>
      <c r="C126" s="1556"/>
      <c r="D126" s="272"/>
      <c r="K126" s="1065"/>
      <c r="L126" s="1556"/>
      <c r="M126" s="1556"/>
      <c r="N126" s="1065"/>
      <c r="O126" s="1065"/>
      <c r="P126" s="1065"/>
      <c r="Q126" s="1065"/>
      <c r="R126" s="1556"/>
      <c r="S126" s="1065"/>
      <c r="T126" s="1065"/>
      <c r="U126" s="467"/>
      <c r="V126" s="1065"/>
      <c r="W126" s="1065"/>
      <c r="X126" s="1065"/>
      <c r="Y126" s="1065"/>
      <c r="Z126" s="1065"/>
      <c r="AA126" s="1552"/>
      <c r="AB126" s="489"/>
      <c r="AC126" s="489"/>
      <c r="AD126" s="489"/>
      <c r="AE126" s="489"/>
    </row>
    <row r="127" spans="1:31" s="1561" customFormat="1" ht="11.25" customHeight="1">
      <c r="A127" s="898"/>
      <c r="B127" s="1556"/>
      <c r="C127" s="1556"/>
      <c r="D127" s="272"/>
      <c r="K127" s="1065"/>
      <c r="L127" s="1556"/>
      <c r="M127" s="1556"/>
      <c r="N127" s="1065"/>
      <c r="O127" s="1065"/>
      <c r="P127" s="1065"/>
      <c r="Q127" s="1065"/>
      <c r="R127" s="1556"/>
      <c r="S127" s="1065"/>
      <c r="T127" s="1065"/>
      <c r="U127" s="467"/>
      <c r="V127" s="1065"/>
      <c r="W127" s="1065"/>
      <c r="X127" s="1065"/>
      <c r="Y127" s="1065"/>
      <c r="Z127" s="1065"/>
      <c r="AA127" s="1552"/>
      <c r="AB127" s="489"/>
      <c r="AC127" s="489"/>
      <c r="AD127" s="489"/>
      <c r="AE127" s="489"/>
    </row>
    <row r="128" spans="1:31" s="1561" customFormat="1" ht="11.25" customHeight="1">
      <c r="A128" s="898"/>
      <c r="B128" s="1556"/>
      <c r="C128" s="1556"/>
      <c r="D128" s="272"/>
      <c r="K128" s="1065"/>
      <c r="L128" s="1556"/>
      <c r="M128" s="1556"/>
      <c r="N128" s="1065"/>
      <c r="O128" s="1065"/>
      <c r="P128" s="1065"/>
      <c r="Q128" s="1065"/>
      <c r="R128" s="1556"/>
      <c r="S128" s="1065"/>
      <c r="T128" s="1065"/>
      <c r="U128" s="467"/>
      <c r="V128" s="1065"/>
      <c r="W128" s="1065"/>
      <c r="X128" s="1065"/>
      <c r="Y128" s="1065"/>
      <c r="Z128" s="1065"/>
      <c r="AA128" s="1552"/>
      <c r="AB128" s="489"/>
      <c r="AC128" s="489"/>
      <c r="AD128" s="489"/>
      <c r="AE128" s="489"/>
    </row>
    <row r="129" spans="1:31" s="1561" customFormat="1" ht="11.25" customHeight="1">
      <c r="A129" s="898"/>
      <c r="B129" s="1556"/>
      <c r="C129" s="1556"/>
      <c r="D129" s="272"/>
      <c r="K129" s="1065"/>
      <c r="L129" s="1556"/>
      <c r="M129" s="1556"/>
      <c r="N129" s="1065"/>
      <c r="O129" s="1065"/>
      <c r="P129" s="1065"/>
      <c r="Q129" s="1065"/>
      <c r="R129" s="1556"/>
      <c r="S129" s="1065"/>
      <c r="T129" s="1065"/>
      <c r="U129" s="467"/>
      <c r="V129" s="1065"/>
      <c r="W129" s="1065"/>
      <c r="X129" s="1065"/>
      <c r="Y129" s="1065"/>
      <c r="Z129" s="1065"/>
      <c r="AA129" s="1552"/>
      <c r="AB129" s="489"/>
      <c r="AC129" s="489"/>
      <c r="AD129" s="489"/>
      <c r="AE129" s="489"/>
    </row>
    <row r="130" spans="1:31" s="1561" customFormat="1" ht="11.25" customHeight="1">
      <c r="A130" s="898"/>
      <c r="B130" s="1556"/>
      <c r="C130" s="1556"/>
      <c r="D130" s="272"/>
      <c r="K130" s="1065"/>
      <c r="L130" s="1556"/>
      <c r="M130" s="1556"/>
      <c r="N130" s="1065"/>
      <c r="O130" s="1065"/>
      <c r="P130" s="1065"/>
      <c r="Q130" s="1065"/>
      <c r="R130" s="1556"/>
      <c r="S130" s="1065"/>
      <c r="T130" s="1065"/>
      <c r="U130" s="467"/>
      <c r="V130" s="1065"/>
      <c r="W130" s="1065"/>
      <c r="X130" s="1065"/>
      <c r="Y130" s="1065"/>
      <c r="Z130" s="1065"/>
      <c r="AA130" s="1552"/>
      <c r="AB130" s="489"/>
      <c r="AC130" s="489"/>
      <c r="AD130" s="489"/>
      <c r="AE130" s="489"/>
    </row>
    <row r="131" spans="1:31" s="1561" customFormat="1" ht="11.25" customHeight="1">
      <c r="A131" s="898"/>
      <c r="B131" s="1556"/>
      <c r="C131" s="1556"/>
      <c r="D131" s="272"/>
      <c r="K131" s="1065"/>
      <c r="L131" s="1556"/>
      <c r="M131" s="1556"/>
      <c r="N131" s="1065"/>
      <c r="O131" s="1065"/>
      <c r="P131" s="1065"/>
      <c r="Q131" s="1065"/>
      <c r="R131" s="1556"/>
      <c r="S131" s="1065"/>
      <c r="T131" s="1065"/>
      <c r="U131" s="467"/>
      <c r="V131" s="1065"/>
      <c r="W131" s="1065"/>
      <c r="X131" s="1065"/>
      <c r="Y131" s="1065"/>
      <c r="Z131" s="1065"/>
      <c r="AA131" s="1552"/>
      <c r="AB131" s="489"/>
      <c r="AC131" s="489"/>
      <c r="AD131" s="489"/>
      <c r="AE131" s="489"/>
    </row>
    <row r="132" spans="1:31" s="1561" customFormat="1" ht="11.25" customHeight="1">
      <c r="A132" s="898"/>
      <c r="B132" s="1556"/>
      <c r="C132" s="1556"/>
      <c r="D132" s="272"/>
      <c r="K132" s="1065"/>
      <c r="L132" s="1556"/>
      <c r="M132" s="1556"/>
      <c r="N132" s="1065"/>
      <c r="O132" s="1065"/>
      <c r="P132" s="1065"/>
      <c r="Q132" s="1065"/>
      <c r="R132" s="1556"/>
      <c r="S132" s="1065"/>
      <c r="T132" s="1065"/>
      <c r="U132" s="467"/>
      <c r="V132" s="1065"/>
      <c r="W132" s="1065"/>
      <c r="X132" s="1065"/>
      <c r="Y132" s="1065"/>
      <c r="Z132" s="1065"/>
      <c r="AA132" s="1552"/>
      <c r="AB132" s="489"/>
      <c r="AC132" s="489"/>
      <c r="AD132" s="489"/>
      <c r="AE132" s="489"/>
    </row>
    <row r="133" spans="1:31" s="1561" customFormat="1" ht="11.25" customHeight="1">
      <c r="A133" s="898"/>
      <c r="B133" s="1556"/>
      <c r="C133" s="1556"/>
      <c r="D133" s="272"/>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9" spans="1:31" ht="11.25" customHeight="1">
      <c r="A199" s="901"/>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row>
    <row r="200" spans="1:31" ht="11.25" customHeight="1">
      <c r="A200" s="901"/>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row>
    <row r="201" spans="1:31" ht="11.25" customHeight="1">
      <c r="A201" s="901"/>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row>
    <row r="202" spans="1:31" ht="11.25" customHeight="1">
      <c r="A202" s="901"/>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row>
    <row r="203" spans="1:31" ht="11.25" customHeight="1">
      <c r="A203" s="901"/>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row>
    <row r="204" spans="1:31" ht="11.25" customHeight="1">
      <c r="A204" s="901"/>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row>
    <row r="205" spans="1:31" ht="11.25" customHeight="1">
      <c r="A205" s="901"/>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row>
    <row r="206" spans="1:31" ht="11.25" customHeight="1">
      <c r="A206" s="901"/>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row>
    <row r="207" spans="1:31" ht="11.25" customHeight="1">
      <c r="A207" s="901"/>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row>
    <row r="208" spans="1:31" ht="11.25" customHeight="1">
      <c r="A208" s="901"/>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row>
    <row r="209" spans="1:31" ht="11.25" customHeight="1">
      <c r="A209" s="901"/>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71" hidden="1" customWidth="1"/>
    <col min="2" max="2" width="3.5703125" style="1562" hidden="1" customWidth="1"/>
    <col min="3" max="3" width="3.7109375" style="1555" customWidth="1"/>
    <col min="4" max="4" width="7.7109375" style="1555" customWidth="1"/>
    <col min="5" max="5" width="69.85546875" style="1555" customWidth="1"/>
    <col min="6" max="6" width="11.140625" style="1555" customWidth="1"/>
    <col min="7" max="8" width="44" style="1555" hidden="1" customWidth="1"/>
    <col min="9" max="10" width="44" style="1555" customWidth="1"/>
    <col min="11" max="11" width="74" style="1555" customWidth="1"/>
    <col min="12" max="12" width="3.7109375" style="1555" customWidth="1"/>
    <col min="13" max="23" width="10.5703125" style="1555"/>
  </cols>
  <sheetData>
    <row r="1" spans="1:12" s="1287" customFormat="1" ht="11.25" hidden="1" customHeight="1">
      <c r="A1" s="459"/>
      <c r="B1" s="435"/>
      <c r="G1" s="346">
        <v>4</v>
      </c>
      <c r="I1" s="346">
        <v>4</v>
      </c>
      <c r="K1" s="346">
        <v>5</v>
      </c>
    </row>
    <row r="2" spans="1:12" ht="3" customHeight="1"/>
    <row r="3" spans="1:12" ht="75" customHeight="1">
      <c r="D3" s="755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7553"/>
      <c r="F3" s="7554"/>
    </row>
    <row r="4" spans="1:12" s="1555" customFormat="1" ht="20.25" customHeight="1">
      <c r="A4" s="862"/>
      <c r="B4" s="435"/>
      <c r="D4" s="7654" t="str">
        <f>IF(org=0,"Не определено",org)</f>
        <v>ГУП СК "Ставрополькрайводоканал"</v>
      </c>
      <c r="E4" s="7655"/>
      <c r="F4" s="7656"/>
    </row>
    <row r="5" spans="1:12" ht="11.25" customHeight="1">
      <c r="C5" s="433"/>
      <c r="D5" s="509"/>
      <c r="E5" s="509"/>
      <c r="F5" s="509"/>
      <c r="G5" s="509"/>
      <c r="H5" s="667"/>
      <c r="I5" s="509"/>
      <c r="J5" s="667"/>
      <c r="K5" s="509"/>
    </row>
    <row r="6" spans="1:12" ht="0.75" customHeight="1">
      <c r="C6" s="433"/>
      <c r="D6" s="433"/>
      <c r="E6" s="446"/>
      <c r="F6" s="533"/>
      <c r="G6" s="933"/>
      <c r="H6" s="933"/>
      <c r="I6" s="933" t="s">
        <v>231</v>
      </c>
      <c r="J6" s="933"/>
    </row>
    <row r="7" spans="1:12" ht="11.25" customHeight="1">
      <c r="D7" s="628"/>
      <c r="E7" s="7764" t="s">
        <v>223</v>
      </c>
      <c r="F7" s="7765"/>
      <c r="G7" s="7783" t="str">
        <f>IF(G6="","",INDEX(DIFFERENTIATION_UNMERGE_VD,MATCH(G6,DIFFERENTIATION_ID_DIFF,0)))</f>
        <v/>
      </c>
      <c r="H7" s="7784"/>
      <c r="I7" s="7783">
        <f>IF(I6="","",INDEX(DIFFERENTIATION_UNMERGE_VD,MATCH(I6,DIFFERENTIATION_ID_DIFF,0)))</f>
        <v>0</v>
      </c>
      <c r="J7" s="7784"/>
      <c r="K7" s="7619"/>
      <c r="L7" s="433"/>
    </row>
    <row r="8" spans="1:12" ht="11.25" customHeight="1">
      <c r="A8" s="621"/>
      <c r="D8" s="628"/>
      <c r="E8" s="7764" t="s">
        <v>733</v>
      </c>
      <c r="F8" s="7765"/>
      <c r="G8" s="7783" t="str">
        <f>IF(G6="","",INDEX(DIFFERENTIATION_UNMERGE_AREA,MATCH(G6,DIFFERENTIATION_ID_DIFF,0)))</f>
        <v/>
      </c>
      <c r="H8" s="7784"/>
      <c r="I8" s="7783" t="str">
        <f>IF(I6="","",INDEX(DIFFERENTIATION_UNMERGE_AREA,MATCH(I6,DIFFERENTIATION_ID_DIFF,0)))</f>
        <v/>
      </c>
      <c r="J8" s="7784"/>
      <c r="K8" s="7638"/>
      <c r="L8" s="433"/>
    </row>
    <row r="9" spans="1:12" ht="11.25" customHeight="1">
      <c r="A9" s="621"/>
      <c r="D9" s="628"/>
      <c r="E9" s="7764" t="s">
        <v>734</v>
      </c>
      <c r="F9" s="7765"/>
      <c r="G9" s="7783" t="str">
        <f>IF(G6="","",INDEX(DIFFERENTIATION_UNMERGE_SYSTEM,MATCH(G6,DIFFERENTIATION_ID_DIFF,0)))</f>
        <v/>
      </c>
      <c r="H9" s="7784"/>
      <c r="I9" s="7783" t="str">
        <f>IF(I6="","",INDEX(DIFFERENTIATION_UNMERGE_SYSTEM,MATCH(I6,DIFFERENTIATION_ID_DIFF,0)))</f>
        <v>без дифференциации</v>
      </c>
      <c r="J9" s="7784"/>
      <c r="K9" s="7638"/>
      <c r="L9" s="433"/>
    </row>
    <row r="10" spans="1:12" s="1555" customFormat="1" ht="11.25" customHeight="1">
      <c r="A10" s="932"/>
      <c r="B10" s="435"/>
      <c r="D10" s="7530" t="s">
        <v>474</v>
      </c>
      <c r="E10" s="7536"/>
      <c r="F10" s="7536"/>
      <c r="G10" s="7536"/>
      <c r="H10" s="7536"/>
      <c r="I10" s="7536"/>
      <c r="J10" s="7529"/>
      <c r="K10" s="7638"/>
      <c r="L10" s="433"/>
    </row>
    <row r="11" spans="1:12" s="1555" customFormat="1" ht="22.5" customHeight="1">
      <c r="A11" s="7709"/>
      <c r="B11" s="7709"/>
      <c r="C11" s="575"/>
      <c r="D11" s="620" t="s">
        <v>86</v>
      </c>
      <c r="E11" s="622" t="s">
        <v>890</v>
      </c>
      <c r="F11" s="622" t="s">
        <v>735</v>
      </c>
      <c r="G11" s="389" t="s">
        <v>477</v>
      </c>
      <c r="H11" s="389" t="s">
        <v>566</v>
      </c>
      <c r="I11" s="721" t="s">
        <v>477</v>
      </c>
      <c r="J11" s="722" t="s">
        <v>566</v>
      </c>
      <c r="K11" s="7668"/>
      <c r="L11" s="576"/>
    </row>
    <row r="12" spans="1:12" s="1562" customFormat="1" ht="10.5" customHeight="1">
      <c r="A12" s="863"/>
      <c r="D12" s="936" t="s">
        <v>97</v>
      </c>
      <c r="E12" s="936" t="s">
        <v>100</v>
      </c>
      <c r="F12" s="936" t="s">
        <v>88</v>
      </c>
      <c r="G12" s="937" t="str">
        <f>G1&amp;".1"</f>
        <v>4.1</v>
      </c>
      <c r="H12" s="937" t="str">
        <f>G1&amp;".2"</f>
        <v>4.2</v>
      </c>
      <c r="I12" s="937" t="str">
        <f>I1&amp;".1"</f>
        <v>4.1</v>
      </c>
      <c r="J12" s="937" t="str">
        <f>I1&amp;".2"</f>
        <v>4.2</v>
      </c>
      <c r="K12" s="937"/>
    </row>
    <row r="13" spans="1:12" ht="22.5" hidden="1" customHeight="1">
      <c r="A13" s="7782" t="s">
        <v>891</v>
      </c>
      <c r="D13" s="864" t="s">
        <v>97</v>
      </c>
      <c r="E13" s="195" t="s">
        <v>892</v>
      </c>
      <c r="F13" s="578" t="s">
        <v>893</v>
      </c>
      <c r="G13" s="480"/>
      <c r="H13" s="579"/>
      <c r="I13" s="480"/>
      <c r="J13" s="579"/>
      <c r="K13" s="204" t="s">
        <v>894</v>
      </c>
      <c r="L13" s="637"/>
    </row>
    <row r="14" spans="1:12" ht="22.5" hidden="1" customHeight="1">
      <c r="A14" s="7782"/>
      <c r="D14" s="462" t="s">
        <v>100</v>
      </c>
      <c r="E14" s="195" t="s">
        <v>895</v>
      </c>
      <c r="F14" s="578" t="s">
        <v>896</v>
      </c>
      <c r="G14" s="480"/>
      <c r="H14" s="580"/>
      <c r="I14" s="480"/>
      <c r="J14" s="580"/>
      <c r="K14" s="204" t="s">
        <v>897</v>
      </c>
      <c r="L14" s="637"/>
    </row>
    <row r="15" spans="1:12" s="1555" customFormat="1" ht="78.75" hidden="1" customHeight="1">
      <c r="A15" s="7782"/>
      <c r="B15" s="435"/>
      <c r="D15" s="864" t="s">
        <v>88</v>
      </c>
      <c r="E15" s="624" t="s">
        <v>898</v>
      </c>
      <c r="F15" s="861" t="s">
        <v>480</v>
      </c>
      <c r="G15" s="861" t="s">
        <v>480</v>
      </c>
      <c r="H15" s="33"/>
      <c r="I15" s="861" t="s">
        <v>480</v>
      </c>
      <c r="J15" s="33"/>
      <c r="K15" s="204" t="s">
        <v>899</v>
      </c>
      <c r="L15" s="637"/>
    </row>
    <row r="16" spans="1:12" s="1555" customFormat="1" ht="22.5" hidden="1" customHeight="1">
      <c r="A16" s="7782"/>
      <c r="B16" s="435"/>
      <c r="D16" s="864" t="s">
        <v>500</v>
      </c>
      <c r="E16" s="865" t="s">
        <v>900</v>
      </c>
      <c r="F16" s="861" t="s">
        <v>901</v>
      </c>
      <c r="G16" s="731"/>
      <c r="H16" s="33"/>
      <c r="I16" s="731"/>
      <c r="J16" s="33"/>
      <c r="K16" s="204"/>
      <c r="L16" s="637"/>
    </row>
    <row r="17" spans="1:23" s="1555" customFormat="1" ht="22.5" hidden="1" customHeight="1">
      <c r="A17" s="7782"/>
      <c r="B17" s="435"/>
      <c r="D17" s="864" t="s">
        <v>508</v>
      </c>
      <c r="E17" s="865" t="s">
        <v>902</v>
      </c>
      <c r="F17" s="861" t="s">
        <v>903</v>
      </c>
      <c r="G17" s="731"/>
      <c r="H17" s="33"/>
      <c r="I17" s="731"/>
      <c r="J17" s="33"/>
      <c r="K17" s="204"/>
      <c r="L17" s="637"/>
    </row>
    <row r="18" spans="1:23" s="1555" customFormat="1" ht="33.75" hidden="1" customHeight="1">
      <c r="A18" s="7782"/>
      <c r="B18" s="435"/>
      <c r="D18" s="864" t="s">
        <v>510</v>
      </c>
      <c r="E18" s="865" t="s">
        <v>904</v>
      </c>
      <c r="F18" s="861" t="s">
        <v>740</v>
      </c>
      <c r="G18" s="598"/>
      <c r="H18" s="33"/>
      <c r="I18" s="598"/>
      <c r="J18" s="33"/>
      <c r="K18" s="204"/>
      <c r="L18" s="637"/>
    </row>
    <row r="19" spans="1:23" ht="101.25" hidden="1" customHeight="1">
      <c r="A19" s="7782"/>
      <c r="D19" s="864" t="s">
        <v>89</v>
      </c>
      <c r="E19" s="195" t="s">
        <v>905</v>
      </c>
      <c r="F19" s="578" t="s">
        <v>715</v>
      </c>
      <c r="G19" s="581"/>
      <c r="H19" s="580"/>
      <c r="I19" s="866"/>
      <c r="J19" s="580"/>
      <c r="K19" s="204" t="s">
        <v>906</v>
      </c>
      <c r="L19" s="637"/>
    </row>
    <row r="20" spans="1:23" s="1555" customFormat="1" ht="18.75" hidden="1" customHeight="1">
      <c r="A20" s="7782"/>
      <c r="C20" s="867"/>
      <c r="D20" s="864" t="s">
        <v>836</v>
      </c>
      <c r="E20" s="865" t="s">
        <v>907</v>
      </c>
      <c r="F20" s="861" t="s">
        <v>480</v>
      </c>
      <c r="G20" s="861" t="s">
        <v>480</v>
      </c>
      <c r="H20" s="860" t="s">
        <v>480</v>
      </c>
      <c r="I20" s="861" t="s">
        <v>480</v>
      </c>
      <c r="J20" s="860" t="s">
        <v>480</v>
      </c>
      <c r="K20" s="859"/>
      <c r="L20" s="637"/>
      <c r="W20" s="593"/>
    </row>
    <row r="21" spans="1:23" s="1555" customFormat="1" ht="33.75" hidden="1" customHeight="1">
      <c r="A21" s="7782"/>
      <c r="C21" s="867"/>
      <c r="D21" s="864" t="s">
        <v>839</v>
      </c>
      <c r="E21" s="499" t="s">
        <v>908</v>
      </c>
      <c r="F21" s="861" t="s">
        <v>909</v>
      </c>
      <c r="G21" s="854"/>
      <c r="H21" s="33"/>
      <c r="I21" s="854"/>
      <c r="J21" s="33"/>
      <c r="K21" s="859"/>
      <c r="L21" s="637"/>
      <c r="W21" s="593"/>
    </row>
    <row r="22" spans="1:23" s="1555" customFormat="1" ht="33.75" hidden="1" customHeight="1">
      <c r="A22" s="7782"/>
      <c r="C22" s="867"/>
      <c r="D22" s="864" t="s">
        <v>842</v>
      </c>
      <c r="E22" s="499" t="s">
        <v>910</v>
      </c>
      <c r="F22" s="861" t="s">
        <v>911</v>
      </c>
      <c r="G22" s="854"/>
      <c r="H22" s="33"/>
      <c r="I22" s="854"/>
      <c r="J22" s="33"/>
      <c r="K22" s="859"/>
      <c r="L22" s="637"/>
      <c r="W22" s="593"/>
    </row>
    <row r="23" spans="1:23" s="1555" customFormat="1" ht="22.5" hidden="1" customHeight="1">
      <c r="A23" s="7782"/>
      <c r="C23" s="867"/>
      <c r="D23" s="864" t="s">
        <v>879</v>
      </c>
      <c r="E23" s="865" t="s">
        <v>912</v>
      </c>
      <c r="F23" s="861" t="s">
        <v>480</v>
      </c>
      <c r="G23" s="861" t="s">
        <v>480</v>
      </c>
      <c r="H23" s="860" t="s">
        <v>480</v>
      </c>
      <c r="I23" s="861" t="s">
        <v>480</v>
      </c>
      <c r="J23" s="860" t="s">
        <v>480</v>
      </c>
      <c r="K23" s="859"/>
      <c r="L23" s="637"/>
      <c r="W23" s="593"/>
    </row>
    <row r="24" spans="1:23" s="1555" customFormat="1" ht="22.5" hidden="1" customHeight="1">
      <c r="A24" s="7782"/>
      <c r="C24" s="867"/>
      <c r="D24" s="864" t="s">
        <v>913</v>
      </c>
      <c r="E24" s="499" t="s">
        <v>914</v>
      </c>
      <c r="F24" s="861" t="s">
        <v>915</v>
      </c>
      <c r="G24" s="854"/>
      <c r="H24" s="604"/>
      <c r="I24" s="854"/>
      <c r="J24" s="604"/>
      <c r="K24" s="859"/>
      <c r="L24" s="637"/>
      <c r="W24" s="593"/>
    </row>
    <row r="25" spans="1:23" s="1555" customFormat="1" ht="22.5" hidden="1" customHeight="1">
      <c r="A25" s="7782"/>
      <c r="C25" s="867"/>
      <c r="D25" s="864" t="s">
        <v>916</v>
      </c>
      <c r="E25" s="499" t="s">
        <v>917</v>
      </c>
      <c r="F25" s="861" t="s">
        <v>480</v>
      </c>
      <c r="G25" s="861" t="s">
        <v>480</v>
      </c>
      <c r="H25" s="860" t="s">
        <v>480</v>
      </c>
      <c r="I25" s="861" t="s">
        <v>480</v>
      </c>
      <c r="J25" s="860" t="s">
        <v>480</v>
      </c>
      <c r="K25" s="859"/>
      <c r="L25" s="637"/>
      <c r="W25" s="593"/>
    </row>
    <row r="26" spans="1:23" s="1555" customFormat="1" ht="18.75" hidden="1" customHeight="1">
      <c r="A26" s="7782"/>
      <c r="C26" s="867"/>
      <c r="D26" s="864" t="s">
        <v>918</v>
      </c>
      <c r="E26" s="476" t="s">
        <v>919</v>
      </c>
      <c r="F26" s="861" t="s">
        <v>920</v>
      </c>
      <c r="G26" s="598"/>
      <c r="H26" s="604"/>
      <c r="I26" s="598"/>
      <c r="J26" s="604"/>
      <c r="K26" s="859"/>
      <c r="L26" s="637"/>
      <c r="W26" s="593"/>
    </row>
    <row r="27" spans="1:23" s="1555" customFormat="1" ht="18.75" hidden="1" customHeight="1">
      <c r="A27" s="7782"/>
      <c r="C27" s="867"/>
      <c r="D27" s="864" t="s">
        <v>921</v>
      </c>
      <c r="E27" s="476" t="s">
        <v>922</v>
      </c>
      <c r="F27" s="861" t="s">
        <v>923</v>
      </c>
      <c r="G27" s="598"/>
      <c r="H27" s="604"/>
      <c r="I27" s="598"/>
      <c r="J27" s="604"/>
      <c r="K27" s="859"/>
      <c r="L27" s="637"/>
      <c r="W27" s="593"/>
    </row>
    <row r="28" spans="1:23" s="1555" customFormat="1" ht="18.75" hidden="1" customHeight="1">
      <c r="A28" s="7782"/>
      <c r="C28" s="867"/>
      <c r="D28" s="864" t="s">
        <v>924</v>
      </c>
      <c r="E28" s="499" t="s">
        <v>925</v>
      </c>
      <c r="F28" s="861" t="s">
        <v>480</v>
      </c>
      <c r="G28" s="861" t="s">
        <v>480</v>
      </c>
      <c r="H28" s="860" t="s">
        <v>480</v>
      </c>
      <c r="I28" s="861" t="s">
        <v>480</v>
      </c>
      <c r="J28" s="860" t="s">
        <v>480</v>
      </c>
      <c r="K28" s="859"/>
      <c r="L28" s="637"/>
      <c r="W28" s="593"/>
    </row>
    <row r="29" spans="1:23" s="1555" customFormat="1" ht="18.75" hidden="1" customHeight="1">
      <c r="A29" s="7782"/>
      <c r="C29" s="867"/>
      <c r="D29" s="864" t="s">
        <v>926</v>
      </c>
      <c r="E29" s="476" t="s">
        <v>919</v>
      </c>
      <c r="F29" s="861" t="s">
        <v>927</v>
      </c>
      <c r="G29" s="598"/>
      <c r="H29" s="604"/>
      <c r="I29" s="598"/>
      <c r="J29" s="604"/>
      <c r="K29" s="859"/>
      <c r="L29" s="637"/>
      <c r="W29" s="593"/>
    </row>
    <row r="30" spans="1:23" s="1555" customFormat="1" ht="18.75" hidden="1" customHeight="1">
      <c r="A30" s="7782"/>
      <c r="C30" s="867"/>
      <c r="D30" s="864" t="s">
        <v>928</v>
      </c>
      <c r="E30" s="476" t="s">
        <v>929</v>
      </c>
      <c r="F30" s="861" t="s">
        <v>930</v>
      </c>
      <c r="G30" s="598"/>
      <c r="H30" s="604"/>
      <c r="I30" s="598"/>
      <c r="J30" s="604"/>
      <c r="K30" s="859"/>
      <c r="L30" s="637"/>
      <c r="W30" s="593"/>
    </row>
    <row r="31" spans="1:23" ht="126.75" hidden="1" customHeight="1">
      <c r="A31" s="7782"/>
      <c r="D31" s="864" t="s">
        <v>111</v>
      </c>
      <c r="E31" s="195" t="s">
        <v>931</v>
      </c>
      <c r="F31" s="578" t="s">
        <v>727</v>
      </c>
      <c r="G31" s="480"/>
      <c r="H31" s="580"/>
      <c r="I31" s="480"/>
      <c r="J31" s="580"/>
      <c r="K31" s="204" t="s">
        <v>932</v>
      </c>
      <c r="L31" s="637"/>
    </row>
    <row r="32" spans="1:23" ht="56.25" hidden="1" customHeight="1">
      <c r="A32" s="7782"/>
      <c r="D32" s="864" t="s">
        <v>90</v>
      </c>
      <c r="E32" s="195" t="s">
        <v>933</v>
      </c>
      <c r="F32" s="462" t="s">
        <v>903</v>
      </c>
      <c r="G32" s="480"/>
      <c r="H32" s="580"/>
      <c r="I32" s="480"/>
      <c r="J32" s="580"/>
      <c r="K32" s="204" t="s">
        <v>934</v>
      </c>
      <c r="L32" s="637"/>
    </row>
    <row r="33" spans="1:11" ht="11.25" hidden="1" customHeight="1">
      <c r="A33" s="7782"/>
      <c r="E33" s="582"/>
      <c r="F33" s="99"/>
      <c r="G33" s="99"/>
      <c r="H33" s="99"/>
      <c r="I33" s="99"/>
      <c r="J33" s="99"/>
      <c r="K33" s="99"/>
    </row>
    <row r="34" spans="1:11" ht="12.75" hidden="1" customHeight="1">
      <c r="A34" s="7782"/>
      <c r="D34" s="1">
        <v>1</v>
      </c>
      <c r="E34" s="257" t="s">
        <v>935</v>
      </c>
    </row>
    <row r="35" spans="1:11" ht="11.25" hidden="1" customHeight="1">
      <c r="A35" s="7782"/>
      <c r="D35" s="293"/>
      <c r="E35" s="257" t="s">
        <v>936</v>
      </c>
    </row>
    <row r="36" spans="1:11" s="1555" customFormat="1" ht="11.25" customHeight="1">
      <c r="A36" s="944"/>
      <c r="B36" s="442"/>
      <c r="D36" s="945"/>
      <c r="E36" s="946"/>
    </row>
    <row r="37" spans="1:11" s="1555" customFormat="1" ht="22.5" customHeight="1">
      <c r="A37" s="7782" t="s">
        <v>937</v>
      </c>
      <c r="B37" s="435"/>
      <c r="D37" s="864">
        <v>1</v>
      </c>
      <c r="E37" s="624" t="s">
        <v>938</v>
      </c>
      <c r="F37" s="578" t="s">
        <v>893</v>
      </c>
      <c r="G37" s="480"/>
      <c r="H37" s="443"/>
      <c r="I37" s="480"/>
      <c r="J37" s="443"/>
      <c r="K37" s="204" t="s">
        <v>939</v>
      </c>
    </row>
    <row r="38" spans="1:11" s="1555" customFormat="1" ht="22.5" customHeight="1">
      <c r="A38" s="7782"/>
      <c r="B38" s="435"/>
      <c r="D38" s="587" t="s">
        <v>100</v>
      </c>
      <c r="E38" s="943" t="s">
        <v>940</v>
      </c>
      <c r="F38" s="947" t="s">
        <v>715</v>
      </c>
      <c r="G38" s="947" t="s">
        <v>715</v>
      </c>
      <c r="H38" s="941"/>
      <c r="I38" s="947" t="s">
        <v>715</v>
      </c>
      <c r="J38" s="941"/>
      <c r="K38" s="942"/>
    </row>
    <row r="39" spans="1:11" s="1555" customFormat="1" ht="33.75" customHeight="1">
      <c r="A39" s="7782"/>
      <c r="B39" s="435"/>
      <c r="D39" s="583" t="s">
        <v>794</v>
      </c>
      <c r="E39" s="640" t="s">
        <v>941</v>
      </c>
      <c r="F39" s="578" t="s">
        <v>942</v>
      </c>
      <c r="G39" s="586"/>
      <c r="H39" s="934"/>
      <c r="I39" s="586"/>
      <c r="J39" s="934"/>
      <c r="K39" s="204" t="s">
        <v>943</v>
      </c>
    </row>
    <row r="40" spans="1:11" s="1555" customFormat="1" ht="33.75" customHeight="1">
      <c r="A40" s="7782"/>
      <c r="B40" s="435"/>
      <c r="D40" s="583" t="s">
        <v>797</v>
      </c>
      <c r="E40" s="640" t="s">
        <v>944</v>
      </c>
      <c r="F40" s="938" t="s">
        <v>945</v>
      </c>
      <c r="G40" s="657"/>
      <c r="H40" s="934"/>
      <c r="I40" s="657"/>
      <c r="J40" s="934"/>
      <c r="K40" s="204" t="s">
        <v>946</v>
      </c>
    </row>
    <row r="41" spans="1:11" s="1555" customFormat="1" ht="22.5" customHeight="1">
      <c r="A41" s="7782"/>
      <c r="B41" s="435"/>
      <c r="D41" s="583" t="s">
        <v>88</v>
      </c>
      <c r="E41" s="639" t="s">
        <v>947</v>
      </c>
      <c r="F41" s="578" t="s">
        <v>715</v>
      </c>
      <c r="G41" s="578" t="s">
        <v>715</v>
      </c>
      <c r="H41" s="935"/>
      <c r="I41" s="578" t="s">
        <v>715</v>
      </c>
      <c r="J41" s="935"/>
      <c r="K41" s="216"/>
    </row>
    <row r="42" spans="1:11" s="1555" customFormat="1" ht="45" customHeight="1">
      <c r="A42" s="7782"/>
      <c r="B42" s="435"/>
      <c r="D42" s="583" t="s">
        <v>500</v>
      </c>
      <c r="E42" s="640" t="s">
        <v>948</v>
      </c>
      <c r="F42" s="578" t="s">
        <v>727</v>
      </c>
      <c r="G42" s="480"/>
      <c r="H42" s="935"/>
      <c r="I42" s="480"/>
      <c r="J42" s="935"/>
      <c r="K42" s="216" t="s">
        <v>949</v>
      </c>
    </row>
    <row r="43" spans="1:11" s="1555" customFormat="1" ht="45" customHeight="1">
      <c r="A43" s="7782"/>
      <c r="B43" s="435"/>
      <c r="D43" s="583" t="s">
        <v>508</v>
      </c>
      <c r="E43" s="585" t="s">
        <v>950</v>
      </c>
      <c r="F43" s="939" t="s">
        <v>727</v>
      </c>
      <c r="G43" s="658"/>
      <c r="H43" s="934"/>
      <c r="I43" s="658"/>
      <c r="J43" s="934"/>
      <c r="K43" s="216" t="s">
        <v>951</v>
      </c>
    </row>
    <row r="44" spans="1:11" s="1555" customFormat="1" ht="11.25" customHeight="1">
      <c r="A44" s="7782"/>
      <c r="B44" s="435"/>
      <c r="D44" s="583" t="s">
        <v>89</v>
      </c>
      <c r="E44" s="584" t="s">
        <v>952</v>
      </c>
      <c r="F44" s="578" t="s">
        <v>942</v>
      </c>
      <c r="G44" s="586"/>
      <c r="H44" s="934"/>
      <c r="I44" s="586"/>
      <c r="J44" s="934"/>
      <c r="K44" s="204"/>
    </row>
    <row r="45" spans="1:11" s="1555" customFormat="1" ht="11.25" customHeight="1">
      <c r="A45" s="7782"/>
      <c r="B45" s="435"/>
      <c r="D45" s="583" t="s">
        <v>836</v>
      </c>
      <c r="E45" s="585" t="s">
        <v>953</v>
      </c>
      <c r="F45" s="578" t="s">
        <v>942</v>
      </c>
      <c r="G45" s="586"/>
      <c r="H45" s="934"/>
      <c r="I45" s="586"/>
      <c r="J45" s="934"/>
      <c r="K45" s="204"/>
    </row>
    <row r="46" spans="1:11" s="1555" customFormat="1" ht="11.25" customHeight="1">
      <c r="A46" s="7782"/>
      <c r="B46" s="435"/>
      <c r="D46" s="583" t="s">
        <v>879</v>
      </c>
      <c r="E46" s="585" t="s">
        <v>954</v>
      </c>
      <c r="F46" s="578" t="s">
        <v>942</v>
      </c>
      <c r="G46" s="586"/>
      <c r="H46" s="934"/>
      <c r="I46" s="586"/>
      <c r="J46" s="934"/>
      <c r="K46" s="204"/>
    </row>
    <row r="47" spans="1:11" s="1555" customFormat="1" ht="11.25" customHeight="1">
      <c r="A47" s="7782"/>
      <c r="B47" s="435"/>
      <c r="D47" s="583" t="s">
        <v>882</v>
      </c>
      <c r="E47" s="585" t="s">
        <v>955</v>
      </c>
      <c r="F47" s="578" t="s">
        <v>942</v>
      </c>
      <c r="G47" s="586"/>
      <c r="H47" s="934"/>
      <c r="I47" s="586"/>
      <c r="J47" s="934"/>
      <c r="K47" s="204"/>
    </row>
    <row r="48" spans="1:11" s="1555" customFormat="1" ht="11.25" customHeight="1">
      <c r="A48" s="7782"/>
      <c r="B48" s="435"/>
      <c r="D48" s="583" t="s">
        <v>956</v>
      </c>
      <c r="E48" s="589" t="s">
        <v>957</v>
      </c>
      <c r="F48" s="578" t="s">
        <v>942</v>
      </c>
      <c r="G48" s="586"/>
      <c r="H48" s="934"/>
      <c r="I48" s="586"/>
      <c r="J48" s="934"/>
      <c r="K48" s="204"/>
    </row>
    <row r="49" spans="1:11" s="1555" customFormat="1" ht="11.25" customHeight="1">
      <c r="A49" s="7782"/>
      <c r="B49" s="435"/>
      <c r="D49" s="583" t="s">
        <v>958</v>
      </c>
      <c r="E49" s="589" t="s">
        <v>959</v>
      </c>
      <c r="F49" s="578" t="s">
        <v>942</v>
      </c>
      <c r="G49" s="586"/>
      <c r="H49" s="934"/>
      <c r="I49" s="586"/>
      <c r="J49" s="934"/>
      <c r="K49" s="204"/>
    </row>
    <row r="50" spans="1:11" s="1555" customFormat="1" ht="11.25" customHeight="1">
      <c r="A50" s="7782"/>
      <c r="B50" s="435"/>
      <c r="D50" s="583" t="s">
        <v>960</v>
      </c>
      <c r="E50" s="585" t="s">
        <v>961</v>
      </c>
      <c r="F50" s="578" t="s">
        <v>942</v>
      </c>
      <c r="G50" s="586"/>
      <c r="H50" s="934"/>
      <c r="I50" s="586"/>
      <c r="J50" s="934"/>
      <c r="K50" s="204"/>
    </row>
    <row r="51" spans="1:11" s="1555" customFormat="1" ht="11.25" customHeight="1">
      <c r="A51" s="7782"/>
      <c r="B51" s="435"/>
      <c r="D51" s="583" t="s">
        <v>962</v>
      </c>
      <c r="E51" s="585" t="s">
        <v>963</v>
      </c>
      <c r="F51" s="578" t="s">
        <v>942</v>
      </c>
      <c r="G51" s="586"/>
      <c r="H51" s="934"/>
      <c r="I51" s="586"/>
      <c r="J51" s="934"/>
      <c r="K51" s="204"/>
    </row>
    <row r="52" spans="1:11" s="1555" customFormat="1" ht="45" customHeight="1">
      <c r="A52" s="7782"/>
      <c r="B52" s="435"/>
      <c r="D52" s="583" t="s">
        <v>111</v>
      </c>
      <c r="E52" s="584" t="s">
        <v>964</v>
      </c>
      <c r="F52" s="578" t="s">
        <v>942</v>
      </c>
      <c r="G52" s="586"/>
      <c r="H52" s="934"/>
      <c r="I52" s="586"/>
      <c r="J52" s="934"/>
      <c r="K52" s="204"/>
    </row>
    <row r="53" spans="1:11" s="1555" customFormat="1" ht="11.25" customHeight="1">
      <c r="A53" s="7782"/>
      <c r="B53" s="435"/>
      <c r="D53" s="583" t="s">
        <v>489</v>
      </c>
      <c r="E53" s="585" t="s">
        <v>953</v>
      </c>
      <c r="F53" s="578" t="s">
        <v>942</v>
      </c>
      <c r="G53" s="586"/>
      <c r="H53" s="934"/>
      <c r="I53" s="586"/>
      <c r="J53" s="934"/>
      <c r="K53" s="204"/>
    </row>
    <row r="54" spans="1:11" s="1555" customFormat="1" ht="11.25" customHeight="1">
      <c r="A54" s="7782"/>
      <c r="B54" s="435"/>
      <c r="D54" s="583" t="s">
        <v>491</v>
      </c>
      <c r="E54" s="585" t="s">
        <v>954</v>
      </c>
      <c r="F54" s="578" t="s">
        <v>942</v>
      </c>
      <c r="G54" s="586"/>
      <c r="H54" s="934"/>
      <c r="I54" s="586"/>
      <c r="J54" s="934"/>
      <c r="K54" s="204"/>
    </row>
    <row r="55" spans="1:11" s="1555" customFormat="1" ht="11.25" customHeight="1">
      <c r="A55" s="7782"/>
      <c r="B55" s="435"/>
      <c r="D55" s="583" t="s">
        <v>494</v>
      </c>
      <c r="E55" s="585" t="s">
        <v>955</v>
      </c>
      <c r="F55" s="578" t="s">
        <v>942</v>
      </c>
      <c r="G55" s="586"/>
      <c r="H55" s="934"/>
      <c r="I55" s="586"/>
      <c r="J55" s="934"/>
      <c r="K55" s="204"/>
    </row>
    <row r="56" spans="1:11" s="1555" customFormat="1" ht="11.25" customHeight="1">
      <c r="A56" s="7782"/>
      <c r="B56" s="435"/>
      <c r="D56" s="583" t="s">
        <v>965</v>
      </c>
      <c r="E56" s="589" t="s">
        <v>957</v>
      </c>
      <c r="F56" s="578" t="s">
        <v>942</v>
      </c>
      <c r="G56" s="586"/>
      <c r="H56" s="934"/>
      <c r="I56" s="586"/>
      <c r="J56" s="934"/>
      <c r="K56" s="204"/>
    </row>
    <row r="57" spans="1:11" s="1555" customFormat="1" ht="11.25" customHeight="1">
      <c r="A57" s="7782"/>
      <c r="B57" s="435"/>
      <c r="D57" s="583" t="s">
        <v>966</v>
      </c>
      <c r="E57" s="589" t="s">
        <v>959</v>
      </c>
      <c r="F57" s="578" t="s">
        <v>942</v>
      </c>
      <c r="G57" s="586"/>
      <c r="H57" s="934"/>
      <c r="I57" s="586"/>
      <c r="J57" s="934"/>
      <c r="K57" s="204"/>
    </row>
    <row r="58" spans="1:11" s="1555" customFormat="1" ht="11.25" customHeight="1">
      <c r="A58" s="7782"/>
      <c r="B58" s="435"/>
      <c r="D58" s="583" t="s">
        <v>496</v>
      </c>
      <c r="E58" s="585" t="s">
        <v>961</v>
      </c>
      <c r="F58" s="578" t="s">
        <v>942</v>
      </c>
      <c r="G58" s="586"/>
      <c r="H58" s="934"/>
      <c r="I58" s="586"/>
      <c r="J58" s="934"/>
      <c r="K58" s="204"/>
    </row>
    <row r="59" spans="1:11" s="1555" customFormat="1" ht="11.25" customHeight="1">
      <c r="A59" s="7782"/>
      <c r="B59" s="435"/>
      <c r="D59" s="583" t="s">
        <v>967</v>
      </c>
      <c r="E59" s="585" t="s">
        <v>963</v>
      </c>
      <c r="F59" s="578" t="s">
        <v>942</v>
      </c>
      <c r="G59" s="586"/>
      <c r="H59" s="934"/>
      <c r="I59" s="586"/>
      <c r="J59" s="934"/>
      <c r="K59" s="204"/>
    </row>
    <row r="60" spans="1:11" s="1555" customFormat="1" ht="33.75" customHeight="1">
      <c r="A60" s="7782"/>
      <c r="B60" s="435"/>
      <c r="D60" s="583" t="s">
        <v>90</v>
      </c>
      <c r="E60" s="584" t="s">
        <v>968</v>
      </c>
      <c r="F60" s="638" t="s">
        <v>727</v>
      </c>
      <c r="G60" s="658"/>
      <c r="H60" s="934"/>
      <c r="I60" s="658"/>
      <c r="J60" s="934"/>
      <c r="K60" s="216" t="s">
        <v>969</v>
      </c>
    </row>
    <row r="61" spans="1:11" s="1555" customFormat="1" ht="33.75" customHeight="1">
      <c r="A61" s="7782"/>
      <c r="B61" s="435"/>
      <c r="D61" s="583" t="s">
        <v>91</v>
      </c>
      <c r="E61" s="584" t="s">
        <v>970</v>
      </c>
      <c r="F61" s="643" t="s">
        <v>903</v>
      </c>
      <c r="G61" s="586"/>
      <c r="H61" s="934"/>
      <c r="I61" s="586"/>
      <c r="J61" s="934"/>
      <c r="K61" s="204"/>
    </row>
    <row r="62" spans="1:11" s="1555" customFormat="1" ht="22.5" customHeight="1">
      <c r="A62" s="7782"/>
      <c r="B62" s="435" t="s">
        <v>757</v>
      </c>
      <c r="D62" s="583" t="s">
        <v>121</v>
      </c>
      <c r="E62" s="584" t="s">
        <v>971</v>
      </c>
      <c r="F62" s="643" t="s">
        <v>480</v>
      </c>
      <c r="G62" s="311"/>
      <c r="H62" s="934"/>
      <c r="I62" s="311"/>
      <c r="J62" s="934"/>
      <c r="K62" s="204" t="s">
        <v>972</v>
      </c>
    </row>
    <row r="63" spans="1:11" s="1555" customFormat="1" ht="45" customHeight="1">
      <c r="A63" s="7782"/>
      <c r="B63" s="435" t="s">
        <v>757</v>
      </c>
      <c r="D63" s="583" t="s">
        <v>973</v>
      </c>
      <c r="E63" s="585" t="s">
        <v>974</v>
      </c>
      <c r="F63" s="638" t="s">
        <v>480</v>
      </c>
      <c r="G63" s="311"/>
      <c r="H63" s="934"/>
      <c r="I63" s="311"/>
      <c r="J63" s="934"/>
      <c r="K63" s="204" t="s">
        <v>972</v>
      </c>
    </row>
    <row r="64" spans="1:11" s="1555" customFormat="1" ht="11.25" customHeight="1">
      <c r="A64" s="944"/>
      <c r="B64" s="442"/>
      <c r="D64" s="945"/>
      <c r="E64" s="946"/>
    </row>
    <row r="65" spans="1:11" s="1555" customFormat="1" ht="22.5" hidden="1" customHeight="1">
      <c r="A65" s="7782" t="s">
        <v>975</v>
      </c>
      <c r="B65" s="435"/>
      <c r="D65" s="583">
        <v>1</v>
      </c>
      <c r="E65" s="660" t="s">
        <v>976</v>
      </c>
      <c r="F65" s="656" t="s">
        <v>893</v>
      </c>
      <c r="G65" s="657"/>
      <c r="H65" s="940"/>
      <c r="I65" s="657"/>
      <c r="J65" s="940"/>
      <c r="K65" s="215" t="s">
        <v>977</v>
      </c>
    </row>
    <row r="66" spans="1:11" s="1555" customFormat="1" ht="56.25" hidden="1" customHeight="1">
      <c r="A66" s="7782"/>
      <c r="B66" s="435"/>
      <c r="D66" s="659" t="s">
        <v>100</v>
      </c>
      <c r="E66" s="624" t="s">
        <v>978</v>
      </c>
      <c r="F66" s="578" t="s">
        <v>715</v>
      </c>
      <c r="G66" s="578" t="s">
        <v>715</v>
      </c>
      <c r="H66" s="443"/>
      <c r="I66" s="578" t="s">
        <v>715</v>
      </c>
      <c r="J66" s="443"/>
      <c r="K66" s="204"/>
    </row>
    <row r="67" spans="1:11" s="1555" customFormat="1" ht="33.75" hidden="1" customHeight="1">
      <c r="A67" s="7782"/>
      <c r="B67" s="435"/>
      <c r="D67" s="659" t="s">
        <v>791</v>
      </c>
      <c r="E67" s="865" t="s">
        <v>979</v>
      </c>
      <c r="F67" s="578" t="s">
        <v>945</v>
      </c>
      <c r="G67" s="644"/>
      <c r="H67" s="443"/>
      <c r="I67" s="644"/>
      <c r="J67" s="443"/>
      <c r="K67" s="204"/>
    </row>
    <row r="68" spans="1:11" s="1555" customFormat="1" ht="22.5" hidden="1" customHeight="1">
      <c r="A68" s="7782"/>
      <c r="B68" s="435"/>
      <c r="D68" s="659" t="s">
        <v>481</v>
      </c>
      <c r="E68" s="865" t="s">
        <v>980</v>
      </c>
      <c r="F68" s="578" t="s">
        <v>945</v>
      </c>
      <c r="G68" s="644"/>
      <c r="H68" s="443"/>
      <c r="I68" s="644"/>
      <c r="J68" s="443"/>
      <c r="K68" s="204"/>
    </row>
    <row r="69" spans="1:11" s="1555" customFormat="1" ht="22.5" hidden="1" customHeight="1">
      <c r="A69" s="7782"/>
      <c r="B69" s="435"/>
      <c r="D69" s="659" t="s">
        <v>484</v>
      </c>
      <c r="E69" s="865" t="s">
        <v>981</v>
      </c>
      <c r="F69" s="638" t="s">
        <v>727</v>
      </c>
      <c r="G69" s="658"/>
      <c r="H69" s="443"/>
      <c r="I69" s="658"/>
      <c r="J69" s="443"/>
      <c r="K69" s="204"/>
    </row>
    <row r="70" spans="1:11" s="1555" customFormat="1" ht="22.5" hidden="1" customHeight="1">
      <c r="A70" s="7782"/>
      <c r="B70" s="435"/>
      <c r="D70" s="659" t="s">
        <v>811</v>
      </c>
      <c r="E70" s="865" t="s">
        <v>982</v>
      </c>
      <c r="F70" s="638" t="s">
        <v>727</v>
      </c>
      <c r="G70" s="658"/>
      <c r="H70" s="443"/>
      <c r="I70" s="658"/>
      <c r="J70" s="443"/>
      <c r="K70" s="204"/>
    </row>
    <row r="71" spans="1:11" s="1555" customFormat="1" ht="22.5" hidden="1" customHeight="1">
      <c r="A71" s="7782"/>
      <c r="B71" s="435"/>
      <c r="D71" s="583" t="s">
        <v>88</v>
      </c>
      <c r="E71" s="584" t="s">
        <v>983</v>
      </c>
      <c r="F71" s="578" t="s">
        <v>945</v>
      </c>
      <c r="G71" s="480"/>
      <c r="H71" s="941"/>
      <c r="I71" s="480"/>
      <c r="J71" s="941"/>
      <c r="K71" s="216"/>
    </row>
    <row r="72" spans="1:11" s="1555" customFormat="1" ht="56.25" hidden="1" customHeight="1">
      <c r="A72" s="7782"/>
      <c r="B72" s="435"/>
      <c r="D72" s="583" t="s">
        <v>89</v>
      </c>
      <c r="E72" s="584" t="s">
        <v>984</v>
      </c>
      <c r="F72" s="638" t="s">
        <v>727</v>
      </c>
      <c r="G72" s="658"/>
      <c r="H72" s="934"/>
      <c r="I72" s="658"/>
      <c r="J72" s="934"/>
      <c r="K72" s="216"/>
    </row>
    <row r="73" spans="1:11" s="1555" customFormat="1" ht="33.75" hidden="1" customHeight="1">
      <c r="A73" s="7782"/>
      <c r="B73" s="435"/>
      <c r="D73" s="583" t="s">
        <v>111</v>
      </c>
      <c r="E73" s="584" t="s">
        <v>985</v>
      </c>
      <c r="F73" s="643" t="s">
        <v>903</v>
      </c>
      <c r="G73" s="586"/>
      <c r="H73" s="934"/>
      <c r="I73" s="586"/>
      <c r="J73" s="934"/>
      <c r="K73" s="204"/>
    </row>
    <row r="74" spans="1:11" s="1555" customFormat="1" ht="22.5" hidden="1" customHeight="1">
      <c r="A74" s="7782"/>
      <c r="B74" s="435" t="s">
        <v>757</v>
      </c>
      <c r="D74" s="583" t="s">
        <v>90</v>
      </c>
      <c r="E74" s="584" t="s">
        <v>986</v>
      </c>
      <c r="F74" s="643" t="s">
        <v>480</v>
      </c>
      <c r="G74" s="311"/>
      <c r="H74" s="934"/>
      <c r="I74" s="311"/>
      <c r="J74" s="934"/>
      <c r="K74" s="204" t="s">
        <v>972</v>
      </c>
    </row>
    <row r="75" spans="1:11" s="1555" customFormat="1" ht="45" hidden="1" customHeight="1">
      <c r="A75" s="7782"/>
      <c r="B75" s="435" t="s">
        <v>757</v>
      </c>
      <c r="D75" s="583" t="s">
        <v>987</v>
      </c>
      <c r="E75" s="585" t="s">
        <v>988</v>
      </c>
      <c r="F75" s="638" t="s">
        <v>480</v>
      </c>
      <c r="G75" s="311"/>
      <c r="H75" s="934"/>
      <c r="I75" s="311"/>
      <c r="J75" s="934"/>
      <c r="K75" s="204" t="s">
        <v>972</v>
      </c>
    </row>
    <row r="76" spans="1:11" s="1555" customFormat="1" ht="11.25" customHeight="1">
      <c r="A76" s="944"/>
      <c r="B76" s="442"/>
      <c r="D76" s="945"/>
      <c r="E76" s="946"/>
    </row>
    <row r="77" spans="1:11" s="1555" customFormat="1" ht="11.25" hidden="1" customHeight="1">
      <c r="A77" s="7782" t="s">
        <v>989</v>
      </c>
      <c r="B77" s="435"/>
      <c r="D77" s="583">
        <v>1</v>
      </c>
      <c r="E77" s="584" t="s">
        <v>990</v>
      </c>
      <c r="F77" s="638" t="s">
        <v>893</v>
      </c>
      <c r="G77" s="641"/>
      <c r="H77" s="934"/>
      <c r="I77" s="641"/>
      <c r="J77" s="934"/>
      <c r="K77" s="204" t="s">
        <v>991</v>
      </c>
    </row>
    <row r="78" spans="1:11" s="1555" customFormat="1" ht="11.25" hidden="1" customHeight="1">
      <c r="A78" s="7782"/>
      <c r="B78" s="435"/>
      <c r="D78" s="583" t="s">
        <v>100</v>
      </c>
      <c r="E78" s="584" t="s">
        <v>992</v>
      </c>
      <c r="F78" s="638" t="s">
        <v>893</v>
      </c>
      <c r="G78" s="641"/>
      <c r="H78" s="934"/>
      <c r="I78" s="641"/>
      <c r="J78" s="934"/>
      <c r="K78" s="204" t="s">
        <v>993</v>
      </c>
    </row>
    <row r="79" spans="1:11" s="1555" customFormat="1" ht="22.5" hidden="1" customHeight="1">
      <c r="A79" s="7782"/>
      <c r="B79" s="435"/>
      <c r="D79" s="583" t="s">
        <v>88</v>
      </c>
      <c r="E79" s="639" t="s">
        <v>994</v>
      </c>
      <c r="F79" s="578" t="s">
        <v>942</v>
      </c>
      <c r="G79" s="641"/>
      <c r="H79" s="934"/>
      <c r="I79" s="641"/>
      <c r="J79" s="934"/>
      <c r="K79" s="204" t="s">
        <v>995</v>
      </c>
    </row>
    <row r="80" spans="1:11" s="1555" customFormat="1" ht="11.25" hidden="1" customHeight="1">
      <c r="A80" s="7782"/>
      <c r="B80" s="435"/>
      <c r="D80" s="583" t="s">
        <v>500</v>
      </c>
      <c r="E80" s="640" t="s">
        <v>996</v>
      </c>
      <c r="F80" s="578" t="s">
        <v>942</v>
      </c>
      <c r="G80" s="641"/>
      <c r="H80" s="934"/>
      <c r="I80" s="641"/>
      <c r="J80" s="934"/>
      <c r="K80" s="204"/>
    </row>
    <row r="81" spans="1:11" s="1555" customFormat="1" ht="11.25" hidden="1" customHeight="1">
      <c r="A81" s="7782"/>
      <c r="B81" s="435"/>
      <c r="D81" s="583" t="s">
        <v>508</v>
      </c>
      <c r="E81" s="640" t="s">
        <v>997</v>
      </c>
      <c r="F81" s="578" t="s">
        <v>942</v>
      </c>
      <c r="G81" s="641"/>
      <c r="H81" s="934"/>
      <c r="I81" s="641"/>
      <c r="J81" s="934"/>
      <c r="K81" s="204"/>
    </row>
    <row r="82" spans="1:11" s="1555" customFormat="1" ht="11.25" hidden="1" customHeight="1">
      <c r="A82" s="7782"/>
      <c r="B82" s="435"/>
      <c r="D82" s="583" t="s">
        <v>510</v>
      </c>
      <c r="E82" s="640" t="s">
        <v>998</v>
      </c>
      <c r="F82" s="578" t="s">
        <v>942</v>
      </c>
      <c r="G82" s="641"/>
      <c r="H82" s="934"/>
      <c r="I82" s="641"/>
      <c r="J82" s="934"/>
      <c r="K82" s="204"/>
    </row>
    <row r="83" spans="1:11" s="1555" customFormat="1" ht="11.25" hidden="1" customHeight="1">
      <c r="A83" s="7782"/>
      <c r="B83" s="435"/>
      <c r="D83" s="583" t="s">
        <v>512</v>
      </c>
      <c r="E83" s="640" t="s">
        <v>999</v>
      </c>
      <c r="F83" s="578" t="s">
        <v>942</v>
      </c>
      <c r="G83" s="641"/>
      <c r="H83" s="934"/>
      <c r="I83" s="641"/>
      <c r="J83" s="934"/>
      <c r="K83" s="204"/>
    </row>
    <row r="84" spans="1:11" s="1555" customFormat="1" ht="11.25" hidden="1" customHeight="1">
      <c r="A84" s="7782"/>
      <c r="B84" s="435"/>
      <c r="D84" s="583" t="s">
        <v>1000</v>
      </c>
      <c r="E84" s="640" t="s">
        <v>1001</v>
      </c>
      <c r="F84" s="578" t="s">
        <v>942</v>
      </c>
      <c r="G84" s="641"/>
      <c r="H84" s="934"/>
      <c r="I84" s="641"/>
      <c r="J84" s="934"/>
      <c r="K84" s="204"/>
    </row>
    <row r="85" spans="1:11" s="1555" customFormat="1" ht="11.25" hidden="1" customHeight="1">
      <c r="A85" s="7782"/>
      <c r="B85" s="435"/>
      <c r="D85" s="583" t="s">
        <v>1002</v>
      </c>
      <c r="E85" s="640" t="s">
        <v>1003</v>
      </c>
      <c r="F85" s="578" t="s">
        <v>942</v>
      </c>
      <c r="G85" s="641"/>
      <c r="H85" s="934"/>
      <c r="I85" s="641"/>
      <c r="J85" s="934"/>
      <c r="K85" s="204"/>
    </row>
    <row r="86" spans="1:11" s="1555" customFormat="1" ht="11.25" hidden="1" customHeight="1">
      <c r="A86" s="7782"/>
      <c r="B86" s="435"/>
      <c r="D86" s="583" t="s">
        <v>1004</v>
      </c>
      <c r="E86" s="640" t="s">
        <v>1005</v>
      </c>
      <c r="F86" s="578" t="s">
        <v>942</v>
      </c>
      <c r="G86" s="641"/>
      <c r="H86" s="934"/>
      <c r="I86" s="641"/>
      <c r="J86" s="934"/>
      <c r="K86" s="204"/>
    </row>
    <row r="87" spans="1:11" s="1555" customFormat="1" ht="45" hidden="1" customHeight="1">
      <c r="A87" s="7782"/>
      <c r="B87" s="435"/>
      <c r="D87" s="583" t="s">
        <v>89</v>
      </c>
      <c r="E87" s="584" t="s">
        <v>1006</v>
      </c>
      <c r="F87" s="578" t="s">
        <v>942</v>
      </c>
      <c r="G87" s="641"/>
      <c r="H87" s="934"/>
      <c r="I87" s="641"/>
      <c r="J87" s="934"/>
      <c r="K87" s="204" t="s">
        <v>1007</v>
      </c>
    </row>
    <row r="88" spans="1:11" s="1555" customFormat="1" ht="11.25" hidden="1" customHeight="1">
      <c r="A88" s="7782"/>
      <c r="B88" s="435"/>
      <c r="D88" s="583" t="s">
        <v>836</v>
      </c>
      <c r="E88" s="640" t="s">
        <v>996</v>
      </c>
      <c r="F88" s="578" t="s">
        <v>942</v>
      </c>
      <c r="G88" s="641"/>
      <c r="H88" s="934"/>
      <c r="I88" s="641"/>
      <c r="J88" s="934"/>
      <c r="K88" s="204"/>
    </row>
    <row r="89" spans="1:11" s="1555" customFormat="1" ht="11.25" hidden="1" customHeight="1">
      <c r="A89" s="7782"/>
      <c r="B89" s="435"/>
      <c r="D89" s="583" t="s">
        <v>879</v>
      </c>
      <c r="E89" s="640" t="s">
        <v>997</v>
      </c>
      <c r="F89" s="578" t="s">
        <v>942</v>
      </c>
      <c r="G89" s="641"/>
      <c r="H89" s="934"/>
      <c r="I89" s="641"/>
      <c r="J89" s="934"/>
      <c r="K89" s="204"/>
    </row>
    <row r="90" spans="1:11" s="1555" customFormat="1" ht="11.25" hidden="1" customHeight="1">
      <c r="A90" s="7782"/>
      <c r="B90" s="435"/>
      <c r="D90" s="583" t="s">
        <v>882</v>
      </c>
      <c r="E90" s="640" t="s">
        <v>998</v>
      </c>
      <c r="F90" s="578" t="s">
        <v>942</v>
      </c>
      <c r="G90" s="641"/>
      <c r="H90" s="934"/>
      <c r="I90" s="641"/>
      <c r="J90" s="934"/>
      <c r="K90" s="204"/>
    </row>
    <row r="91" spans="1:11" s="1555" customFormat="1" ht="11.25" hidden="1" customHeight="1">
      <c r="A91" s="7782"/>
      <c r="B91" s="435"/>
      <c r="D91" s="583" t="s">
        <v>960</v>
      </c>
      <c r="E91" s="640" t="s">
        <v>999</v>
      </c>
      <c r="F91" s="578" t="s">
        <v>942</v>
      </c>
      <c r="G91" s="641"/>
      <c r="H91" s="934"/>
      <c r="I91" s="641"/>
      <c r="J91" s="934"/>
      <c r="K91" s="204"/>
    </row>
    <row r="92" spans="1:11" s="1555" customFormat="1" ht="11.25" hidden="1" customHeight="1">
      <c r="A92" s="7782"/>
      <c r="B92" s="435"/>
      <c r="D92" s="583" t="s">
        <v>962</v>
      </c>
      <c r="E92" s="640" t="s">
        <v>1001</v>
      </c>
      <c r="F92" s="578" t="s">
        <v>942</v>
      </c>
      <c r="G92" s="641"/>
      <c r="H92" s="934"/>
      <c r="I92" s="641"/>
      <c r="J92" s="934"/>
      <c r="K92" s="204"/>
    </row>
    <row r="93" spans="1:11" s="1555" customFormat="1" ht="11.25" hidden="1" customHeight="1">
      <c r="A93" s="7782"/>
      <c r="B93" s="435"/>
      <c r="D93" s="583" t="s">
        <v>1008</v>
      </c>
      <c r="E93" s="640" t="s">
        <v>1003</v>
      </c>
      <c r="F93" s="578" t="s">
        <v>942</v>
      </c>
      <c r="G93" s="641"/>
      <c r="H93" s="934"/>
      <c r="I93" s="641"/>
      <c r="J93" s="934"/>
      <c r="K93" s="204"/>
    </row>
    <row r="94" spans="1:11" s="1555" customFormat="1" ht="11.25" hidden="1" customHeight="1">
      <c r="A94" s="7782"/>
      <c r="B94" s="435"/>
      <c r="D94" s="583" t="s">
        <v>1009</v>
      </c>
      <c r="E94" s="640" t="s">
        <v>1005</v>
      </c>
      <c r="F94" s="578" t="s">
        <v>942</v>
      </c>
      <c r="G94" s="641"/>
      <c r="H94" s="934"/>
      <c r="I94" s="641"/>
      <c r="J94" s="934"/>
      <c r="K94" s="204"/>
    </row>
    <row r="95" spans="1:11" s="1555" customFormat="1" ht="24.75" hidden="1" customHeight="1">
      <c r="A95" s="7782"/>
      <c r="B95" s="435"/>
      <c r="D95" s="583" t="s">
        <v>111</v>
      </c>
      <c r="E95" s="584" t="s">
        <v>1010</v>
      </c>
      <c r="F95" s="642" t="s">
        <v>727</v>
      </c>
      <c r="G95" s="644"/>
      <c r="H95" s="934"/>
      <c r="I95" s="644"/>
      <c r="J95" s="934"/>
      <c r="K95" s="204" t="s">
        <v>1011</v>
      </c>
    </row>
    <row r="96" spans="1:11" s="1555" customFormat="1" ht="33.75" hidden="1" customHeight="1">
      <c r="A96" s="7782"/>
      <c r="B96" s="435"/>
      <c r="D96" s="583" t="s">
        <v>90</v>
      </c>
      <c r="E96" s="584" t="s">
        <v>1012</v>
      </c>
      <c r="F96" s="643" t="s">
        <v>903</v>
      </c>
      <c r="G96" s="645"/>
      <c r="H96" s="934"/>
      <c r="I96" s="645"/>
      <c r="J96" s="934"/>
      <c r="K96" s="204"/>
    </row>
    <row r="97" spans="1:11" s="1555" customFormat="1" ht="22.5" hidden="1" customHeight="1">
      <c r="A97" s="7782"/>
      <c r="B97" s="435" t="s">
        <v>757</v>
      </c>
      <c r="D97" s="583" t="s">
        <v>91</v>
      </c>
      <c r="E97" s="584" t="s">
        <v>1013</v>
      </c>
      <c r="F97" s="643" t="s">
        <v>480</v>
      </c>
      <c r="G97" s="314"/>
      <c r="H97" s="934"/>
      <c r="I97" s="314"/>
      <c r="J97" s="934"/>
      <c r="K97" s="204" t="s">
        <v>972</v>
      </c>
    </row>
    <row r="98" spans="1:11" s="1555" customFormat="1" ht="45" hidden="1" customHeight="1">
      <c r="A98" s="7782"/>
      <c r="B98" s="435" t="s">
        <v>757</v>
      </c>
      <c r="D98" s="583" t="s">
        <v>1014</v>
      </c>
      <c r="E98" s="585" t="s">
        <v>1015</v>
      </c>
      <c r="F98" s="638" t="s">
        <v>480</v>
      </c>
      <c r="G98" s="314"/>
      <c r="H98" s="934"/>
      <c r="I98" s="314"/>
      <c r="J98" s="934"/>
      <c r="K98" s="204" t="s">
        <v>972</v>
      </c>
    </row>
    <row r="99" spans="1:11" s="1555" customFormat="1" ht="95.25" hidden="1" customHeight="1">
      <c r="A99" s="7782"/>
      <c r="B99" s="435" t="s">
        <v>757</v>
      </c>
      <c r="D99" s="583" t="s">
        <v>121</v>
      </c>
      <c r="E99" s="584" t="s">
        <v>1016</v>
      </c>
      <c r="F99" s="638" t="s">
        <v>480</v>
      </c>
      <c r="G99" s="314"/>
      <c r="H99" s="934"/>
      <c r="I99" s="314"/>
      <c r="J99" s="934"/>
      <c r="K99" s="204" t="s">
        <v>972</v>
      </c>
    </row>
    <row r="100" spans="1:11" s="1555" customFormat="1" ht="22.5" hidden="1" customHeight="1">
      <c r="A100" s="7782"/>
      <c r="B100" s="435" t="s">
        <v>757</v>
      </c>
      <c r="D100" s="583" t="s">
        <v>125</v>
      </c>
      <c r="E100" s="584" t="s">
        <v>1017</v>
      </c>
      <c r="F100" s="638" t="s">
        <v>480</v>
      </c>
      <c r="G100" s="314"/>
      <c r="H100" s="934"/>
      <c r="I100" s="314"/>
      <c r="J100" s="934"/>
      <c r="K100" s="204" t="s">
        <v>972</v>
      </c>
    </row>
    <row r="101" spans="1:11" s="1555" customFormat="1" ht="11.25" customHeight="1">
      <c r="A101" s="944"/>
      <c r="B101" s="442"/>
      <c r="D101" s="945"/>
      <c r="E101" s="946"/>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36.7109375" style="1555" customWidth="1"/>
    <col min="6" max="6" width="9.5703125" style="1555" customWidth="1"/>
    <col min="7" max="7" width="25.7109375" style="1555" hidden="1" customWidth="1"/>
    <col min="8" max="8" width="33.7109375" style="1555" hidden="1" customWidth="1"/>
    <col min="9" max="9" width="25.7109375" style="1555" customWidth="1"/>
    <col min="10" max="10" width="33.7109375" style="1555" customWidth="1"/>
    <col min="11" max="11" width="93.42578125" style="1287" customWidth="1"/>
    <col min="12" max="20" width="10.5703125" style="1555"/>
    <col min="21" max="21" width="10.5703125" style="593"/>
  </cols>
  <sheetData>
    <row r="1" spans="1:21" s="1287" customFormat="1" ht="15" hidden="1" customHeight="1">
      <c r="C1" s="590"/>
      <c r="G1" s="346">
        <v>4</v>
      </c>
      <c r="I1" s="346">
        <v>4</v>
      </c>
      <c r="U1" s="348"/>
    </row>
    <row r="2" spans="1:21" s="1287" customFormat="1" ht="15" hidden="1" customHeight="1">
      <c r="C2" s="590"/>
      <c r="U2" s="348"/>
    </row>
    <row r="3" spans="1:21" ht="22.5" hidden="1" customHeight="1">
      <c r="A3" s="429"/>
      <c r="B3" s="7787"/>
      <c r="C3" s="7788"/>
      <c r="D3" s="607" t="str">
        <f>B3&amp;".1"</f>
        <v>.1</v>
      </c>
      <c r="E3" s="608" t="s">
        <v>1018</v>
      </c>
      <c r="F3" s="609" t="s">
        <v>480</v>
      </c>
      <c r="G3" s="604"/>
      <c r="H3" s="330"/>
      <c r="I3" s="604"/>
      <c r="J3" s="330"/>
      <c r="K3" s="204" t="s">
        <v>1019</v>
      </c>
    </row>
    <row r="4" spans="1:21" ht="15" hidden="1" customHeight="1">
      <c r="A4" s="429"/>
      <c r="B4" s="7787"/>
      <c r="C4" s="7788"/>
      <c r="D4" s="607" t="str">
        <f>B3&amp;".2"</f>
        <v>.2</v>
      </c>
      <c r="E4" s="608" t="s">
        <v>1020</v>
      </c>
      <c r="F4" s="609" t="s">
        <v>480</v>
      </c>
      <c r="G4" s="1657" t="s">
        <v>24</v>
      </c>
      <c r="H4" s="330"/>
      <c r="I4" s="1657" t="s">
        <v>24</v>
      </c>
      <c r="J4" s="330"/>
      <c r="K4" s="204" t="s">
        <v>1021</v>
      </c>
    </row>
    <row r="5" spans="1:21" s="1287" customFormat="1" ht="15" hidden="1" customHeight="1">
      <c r="C5" s="590"/>
      <c r="U5" s="348"/>
    </row>
    <row r="6" spans="1:21" ht="22.5" hidden="1" customHeight="1">
      <c r="A6" s="429"/>
      <c r="B6" s="7787"/>
      <c r="C6" s="7788"/>
      <c r="D6" s="607" t="str">
        <f>B6&amp;".1"</f>
        <v>.1</v>
      </c>
      <c r="E6" s="608" t="s">
        <v>1022</v>
      </c>
      <c r="F6" s="609" t="s">
        <v>480</v>
      </c>
      <c r="G6" s="604"/>
      <c r="H6" s="330"/>
      <c r="I6" s="604"/>
      <c r="J6" s="330"/>
      <c r="K6" s="204" t="s">
        <v>1023</v>
      </c>
    </row>
    <row r="7" spans="1:21" ht="15" hidden="1" customHeight="1">
      <c r="A7" s="429"/>
      <c r="B7" s="7787"/>
      <c r="C7" s="7788"/>
      <c r="D7" s="607" t="str">
        <f>B6&amp;".2"</f>
        <v>.2</v>
      </c>
      <c r="E7" s="608" t="s">
        <v>1020</v>
      </c>
      <c r="F7" s="609" t="s">
        <v>480</v>
      </c>
      <c r="G7" s="1657" t="s">
        <v>24</v>
      </c>
      <c r="H7" s="330"/>
      <c r="I7" s="1657" t="s">
        <v>24</v>
      </c>
      <c r="J7" s="330"/>
      <c r="K7" s="204" t="s">
        <v>1021</v>
      </c>
    </row>
    <row r="8" spans="1:21" s="1287" customFormat="1" ht="15" hidden="1" customHeight="1">
      <c r="C8" s="590"/>
      <c r="U8" s="348"/>
    </row>
    <row r="9" spans="1:21" ht="22.5" hidden="1" customHeight="1">
      <c r="A9" s="429"/>
      <c r="B9" s="7787"/>
      <c r="C9" s="7788"/>
      <c r="D9" s="607" t="str">
        <f>B9&amp;".1"</f>
        <v>.1</v>
      </c>
      <c r="E9" s="608" t="s">
        <v>1024</v>
      </c>
      <c r="F9" s="609" t="s">
        <v>480</v>
      </c>
      <c r="G9" s="615" t="s">
        <v>24</v>
      </c>
      <c r="H9" s="330" t="s">
        <v>24</v>
      </c>
      <c r="I9" s="615" t="s">
        <v>24</v>
      </c>
      <c r="J9" s="330" t="s">
        <v>24</v>
      </c>
      <c r="K9" s="204"/>
    </row>
    <row r="10" spans="1:21" ht="15" hidden="1" customHeight="1">
      <c r="A10" s="429"/>
      <c r="B10" s="7787"/>
      <c r="C10" s="7788"/>
      <c r="D10" s="607" t="str">
        <f>B9&amp;".2"</f>
        <v>.2</v>
      </c>
      <c r="E10" s="608" t="s">
        <v>1025</v>
      </c>
      <c r="F10" s="609" t="s">
        <v>480</v>
      </c>
      <c r="G10" s="1651" t="s">
        <v>24</v>
      </c>
      <c r="H10" s="330" t="s">
        <v>24</v>
      </c>
      <c r="I10" s="1651" t="s">
        <v>24</v>
      </c>
      <c r="J10" s="330" t="s">
        <v>24</v>
      </c>
      <c r="K10" s="204" t="s">
        <v>1026</v>
      </c>
    </row>
    <row r="11" spans="1:21" ht="15" hidden="1" customHeight="1">
      <c r="A11" s="429"/>
      <c r="B11" s="7787"/>
      <c r="C11" s="7788"/>
      <c r="D11" s="607" t="str">
        <f>B9&amp;".3"</f>
        <v>.3</v>
      </c>
      <c r="E11" s="608" t="s">
        <v>1027</v>
      </c>
      <c r="F11" s="609" t="s">
        <v>480</v>
      </c>
      <c r="G11" s="1651" t="s">
        <v>24</v>
      </c>
      <c r="H11" s="330" t="s">
        <v>24</v>
      </c>
      <c r="I11" s="1651" t="s">
        <v>24</v>
      </c>
      <c r="J11" s="330" t="s">
        <v>24</v>
      </c>
      <c r="K11" s="204" t="s">
        <v>1028</v>
      </c>
    </row>
    <row r="12" spans="1:21" s="1287" customFormat="1" ht="15" hidden="1" customHeight="1">
      <c r="C12" s="590"/>
      <c r="U12" s="348"/>
    </row>
    <row r="13" spans="1:21" ht="33.75" hidden="1" customHeight="1">
      <c r="A13" s="429"/>
      <c r="B13" s="7787"/>
      <c r="C13" s="7788"/>
      <c r="D13" s="607" t="str">
        <f>B13&amp;".1"</f>
        <v>.1</v>
      </c>
      <c r="E13" s="608" t="s">
        <v>1029</v>
      </c>
      <c r="F13" s="609" t="s">
        <v>480</v>
      </c>
      <c r="G13" s="615" t="s">
        <v>24</v>
      </c>
      <c r="H13" s="330" t="s">
        <v>24</v>
      </c>
      <c r="I13" s="615" t="s">
        <v>24</v>
      </c>
      <c r="J13" s="330" t="s">
        <v>24</v>
      </c>
      <c r="K13" s="204" t="s">
        <v>1030</v>
      </c>
    </row>
    <row r="14" spans="1:21" ht="15" hidden="1" customHeight="1">
      <c r="B14" s="7787"/>
      <c r="C14" s="7788"/>
      <c r="D14" s="607" t="str">
        <f>B13&amp;".2"</f>
        <v>.2</v>
      </c>
      <c r="E14" s="608" t="s">
        <v>1031</v>
      </c>
      <c r="F14" s="609" t="s">
        <v>480</v>
      </c>
      <c r="G14" s="1651" t="s">
        <v>24</v>
      </c>
      <c r="H14" s="330" t="s">
        <v>24</v>
      </c>
      <c r="I14" s="1651" t="s">
        <v>24</v>
      </c>
      <c r="J14" s="330" t="s">
        <v>24</v>
      </c>
      <c r="K14" s="204" t="s">
        <v>1032</v>
      </c>
    </row>
    <row r="15" spans="1:21" s="1287" customFormat="1" ht="15" hidden="1" customHeight="1">
      <c r="C15" s="590"/>
      <c r="U15" s="348"/>
    </row>
    <row r="16" spans="1:21" s="1287" customFormat="1" ht="15" hidden="1" customHeight="1">
      <c r="C16" s="590"/>
      <c r="U16" s="348"/>
    </row>
    <row r="17" spans="1:21" s="1287" customFormat="1" ht="15" hidden="1" customHeight="1">
      <c r="C17" s="590"/>
      <c r="U17" s="348"/>
    </row>
    <row r="18" spans="1:21" s="1287" customFormat="1" ht="15" hidden="1" customHeight="1">
      <c r="C18" s="590"/>
      <c r="U18" s="348"/>
    </row>
    <row r="19" spans="1:21" s="1287" customFormat="1" ht="15" hidden="1" customHeight="1">
      <c r="C19" s="590"/>
      <c r="U19" s="348"/>
    </row>
    <row r="20" spans="1:21" s="1287" customFormat="1" ht="15" hidden="1" customHeight="1">
      <c r="C20" s="590"/>
      <c r="U20" s="348"/>
    </row>
    <row r="21" spans="1:21" ht="15" customHeight="1">
      <c r="C21" s="94"/>
      <c r="D21" s="433"/>
      <c r="E21" s="433"/>
      <c r="F21" s="433"/>
      <c r="G21" s="433"/>
      <c r="H21" s="433"/>
      <c r="I21" s="433"/>
      <c r="J21" s="433"/>
    </row>
    <row r="22" spans="1:21" ht="22.5" customHeight="1">
      <c r="C22" s="94"/>
      <c r="D22" s="767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7673"/>
      <c r="F22" s="7673"/>
      <c r="G22" s="7673"/>
      <c r="H22" s="7673"/>
      <c r="I22" s="7673"/>
      <c r="J22" s="594"/>
      <c r="K22" s="460"/>
    </row>
    <row r="23" spans="1:21" ht="15" customHeight="1">
      <c r="C23" s="94"/>
      <c r="D23" s="7620" t="str">
        <f>IF(org=0,"Не определено",org)</f>
        <v>ГУП СК "Ставрополькрайводоканал"</v>
      </c>
      <c r="E23" s="7620"/>
      <c r="F23" s="7620"/>
      <c r="G23" s="7620"/>
      <c r="H23" s="7620"/>
      <c r="I23" s="7620"/>
      <c r="J23" s="594"/>
      <c r="K23" s="460"/>
    </row>
    <row r="24" spans="1:21" ht="15" customHeight="1">
      <c r="C24" s="94"/>
      <c r="D24" s="433"/>
      <c r="E24" s="433"/>
      <c r="F24" s="433"/>
      <c r="G24" s="460">
        <v>22</v>
      </c>
      <c r="H24" s="667"/>
      <c r="I24" s="460">
        <v>22</v>
      </c>
      <c r="J24" s="667"/>
    </row>
    <row r="25" spans="1:21" s="1555" customFormat="1" ht="0.75" customHeight="1">
      <c r="A25" s="674"/>
      <c r="C25" s="94"/>
      <c r="D25" s="433"/>
      <c r="E25" s="433"/>
      <c r="F25" s="433"/>
      <c r="G25" s="460"/>
      <c r="H25" s="667"/>
      <c r="I25" s="460" t="s">
        <v>231</v>
      </c>
      <c r="J25" s="667"/>
      <c r="K25" s="346"/>
      <c r="U25" s="593"/>
    </row>
    <row r="26" spans="1:21" ht="15" customHeight="1">
      <c r="C26" s="94"/>
      <c r="D26" s="628"/>
      <c r="E26" s="7764" t="s">
        <v>223</v>
      </c>
      <c r="F26" s="7765"/>
      <c r="G26" s="7785" t="str">
        <f>IF(G25="","",INDEX(DIFFERENTIATION_UNMERGE_VD,MATCH(G25,DIFFERENTIATION_ID_DIFF,0)))</f>
        <v/>
      </c>
      <c r="H26" s="7786"/>
      <c r="I26" s="7785">
        <f>IF(I25="","",INDEX(DIFFERENTIATION_UNMERGE_VD,MATCH(I25,DIFFERENTIATION_ID_DIFF,0)))</f>
        <v>0</v>
      </c>
      <c r="J26" s="7786"/>
      <c r="K26" s="7619" t="s">
        <v>475</v>
      </c>
    </row>
    <row r="27" spans="1:21" s="1555" customFormat="1" ht="15" customHeight="1">
      <c r="A27" s="674"/>
      <c r="C27" s="94"/>
      <c r="D27" s="628"/>
      <c r="E27" s="7764" t="s">
        <v>733</v>
      </c>
      <c r="F27" s="7765"/>
      <c r="G27" s="7785" t="str">
        <f>IF(G25="","",INDEX(DIFFERENTIATION_UNMERGE_AREA,MATCH(G25,DIFFERENTIATION_ID_DIFF,0)))</f>
        <v/>
      </c>
      <c r="H27" s="7786"/>
      <c r="I27" s="7785" t="str">
        <f>IF(I25="","",INDEX(DIFFERENTIATION_UNMERGE_AREA,MATCH(I25,DIFFERENTIATION_ID_DIFF,0)))</f>
        <v/>
      </c>
      <c r="J27" s="7786"/>
      <c r="K27" s="7637"/>
      <c r="U27" s="593"/>
    </row>
    <row r="28" spans="1:21" s="1555" customFormat="1" ht="15" customHeight="1">
      <c r="A28" s="674"/>
      <c r="C28" s="94"/>
      <c r="D28" s="628"/>
      <c r="E28" s="7764" t="s">
        <v>734</v>
      </c>
      <c r="F28" s="7765"/>
      <c r="G28" s="7785" t="str">
        <f>IF(G25="","",INDEX(DIFFERENTIATION_UNMERGE_SYSTEM,MATCH(G25,DIFFERENTIATION_ID_DIFF,0)))</f>
        <v/>
      </c>
      <c r="H28" s="7786"/>
      <c r="I28" s="7785" t="str">
        <f>IF(I25="","",INDEX(DIFFERENTIATION_UNMERGE_SYSTEM,MATCH(I25,DIFFERENTIATION_ID_DIFF,0)))</f>
        <v>без дифференциации</v>
      </c>
      <c r="J28" s="7786"/>
      <c r="K28" s="7637"/>
      <c r="U28" s="593"/>
    </row>
    <row r="29" spans="1:21" s="1555" customFormat="1" ht="15" customHeight="1">
      <c r="A29" s="674"/>
      <c r="C29" s="94"/>
      <c r="D29" s="7766" t="s">
        <v>474</v>
      </c>
      <c r="E29" s="7767"/>
      <c r="F29" s="7767"/>
      <c r="G29" s="801"/>
      <c r="H29" s="801"/>
      <c r="I29" s="801"/>
      <c r="J29" s="802"/>
      <c r="K29" s="7637"/>
      <c r="U29" s="593"/>
    </row>
    <row r="30" spans="1:21" ht="33.75" customHeight="1">
      <c r="C30" s="94"/>
      <c r="D30" s="676" t="s">
        <v>86</v>
      </c>
      <c r="E30" s="675" t="s">
        <v>476</v>
      </c>
      <c r="F30" s="675" t="s">
        <v>735</v>
      </c>
      <c r="G30" s="722" t="s">
        <v>477</v>
      </c>
      <c r="H30" s="721" t="s">
        <v>566</v>
      </c>
      <c r="I30" s="602" t="s">
        <v>477</v>
      </c>
      <c r="J30" s="389" t="s">
        <v>566</v>
      </c>
      <c r="K30" s="7640"/>
    </row>
    <row r="31" spans="1:21" ht="15" hidden="1" customHeight="1">
      <c r="C31" s="94"/>
      <c r="D31" s="514"/>
      <c r="E31" s="514"/>
      <c r="F31" s="514"/>
      <c r="G31" s="577"/>
      <c r="H31" s="577"/>
      <c r="I31" s="577"/>
      <c r="J31" s="577"/>
      <c r="K31" s="204"/>
    </row>
    <row r="32" spans="1:21" ht="22.5" customHeight="1">
      <c r="A32" s="429"/>
      <c r="B32" s="429" t="s">
        <v>1033</v>
      </c>
      <c r="C32" s="450"/>
      <c r="D32" s="610">
        <v>1</v>
      </c>
      <c r="E32" s="611" t="s">
        <v>1034</v>
      </c>
      <c r="F32" s="609" t="s">
        <v>480</v>
      </c>
      <c r="G32" s="727" t="s">
        <v>480</v>
      </c>
      <c r="H32" s="727" t="s">
        <v>480</v>
      </c>
      <c r="I32" s="609" t="s">
        <v>480</v>
      </c>
      <c r="J32" s="609" t="s">
        <v>480</v>
      </c>
      <c r="K32" s="204"/>
    </row>
    <row r="33" spans="1:21" ht="11.25" customHeight="1">
      <c r="A33" s="429"/>
      <c r="C33" s="429"/>
      <c r="D33" s="268"/>
      <c r="E33" s="503" t="s">
        <v>755</v>
      </c>
      <c r="F33" s="495"/>
      <c r="G33" s="495"/>
      <c r="H33" s="495"/>
      <c r="I33" s="495"/>
      <c r="J33" s="495"/>
      <c r="K33" s="496"/>
      <c r="U33" s="429"/>
    </row>
    <row r="34" spans="1:21" ht="22.5" customHeight="1">
      <c r="A34" s="429"/>
      <c r="B34" s="504" t="s">
        <v>1035</v>
      </c>
      <c r="C34" s="450"/>
      <c r="D34" s="610">
        <v>2</v>
      </c>
      <c r="E34" s="611" t="s">
        <v>1036</v>
      </c>
      <c r="F34" s="734" t="s">
        <v>480</v>
      </c>
      <c r="G34" s="734" t="s">
        <v>480</v>
      </c>
      <c r="H34" s="734" t="s">
        <v>480</v>
      </c>
      <c r="I34" s="609"/>
      <c r="J34" s="609"/>
      <c r="K34" s="204"/>
    </row>
    <row r="35" spans="1:21" ht="11.25" customHeight="1">
      <c r="A35" s="429"/>
      <c r="C35" s="429"/>
      <c r="D35" s="268"/>
      <c r="E35" s="503" t="s">
        <v>1037</v>
      </c>
      <c r="F35" s="495"/>
      <c r="G35" s="612"/>
      <c r="H35" s="495"/>
      <c r="I35" s="612"/>
      <c r="J35" s="495"/>
      <c r="K35" s="496"/>
      <c r="U35" s="429"/>
    </row>
    <row r="36" spans="1:21" ht="67.5" customHeight="1">
      <c r="A36" s="429"/>
      <c r="B36" s="429" t="s">
        <v>1038</v>
      </c>
      <c r="C36" s="450"/>
      <c r="D36" s="610">
        <v>3</v>
      </c>
      <c r="E36" s="611" t="s">
        <v>1039</v>
      </c>
      <c r="F36" s="613" t="s">
        <v>480</v>
      </c>
      <c r="G36" s="728" t="s">
        <v>1040</v>
      </c>
      <c r="H36" s="727" t="s">
        <v>480</v>
      </c>
      <c r="I36" s="448" t="s">
        <v>1040</v>
      </c>
      <c r="J36" s="609" t="s">
        <v>480</v>
      </c>
      <c r="K36" s="204" t="s">
        <v>1041</v>
      </c>
    </row>
    <row r="37" spans="1:21" ht="11.25" customHeight="1">
      <c r="A37" s="429"/>
      <c r="C37" s="429"/>
      <c r="D37" s="268"/>
      <c r="E37" s="503" t="s">
        <v>1042</v>
      </c>
      <c r="F37" s="495"/>
      <c r="G37" s="612"/>
      <c r="H37" s="612"/>
      <c r="I37" s="612"/>
      <c r="J37" s="612"/>
      <c r="K37" s="496"/>
      <c r="U37" s="429"/>
    </row>
    <row r="38" spans="1:21" ht="67.5" customHeight="1">
      <c r="A38" s="429"/>
      <c r="B38" s="429" t="s">
        <v>1043</v>
      </c>
      <c r="C38" s="450"/>
      <c r="D38" s="610">
        <v>4</v>
      </c>
      <c r="E38" s="611" t="s">
        <v>1044</v>
      </c>
      <c r="F38" s="613" t="s">
        <v>480</v>
      </c>
      <c r="G38" s="728" t="s">
        <v>1040</v>
      </c>
      <c r="H38" s="729" t="s">
        <v>480</v>
      </c>
      <c r="I38" s="448" t="s">
        <v>1040</v>
      </c>
      <c r="J38" s="445" t="s">
        <v>480</v>
      </c>
      <c r="K38" s="597" t="s">
        <v>1045</v>
      </c>
    </row>
    <row r="39" spans="1:21" ht="11.25" customHeight="1">
      <c r="A39" s="429"/>
      <c r="C39" s="429"/>
      <c r="D39" s="268"/>
      <c r="E39" s="503" t="s">
        <v>1046</v>
      </c>
      <c r="F39" s="495"/>
      <c r="G39" s="495"/>
      <c r="H39" s="614"/>
      <c r="I39" s="495"/>
      <c r="J39" s="614"/>
      <c r="K39" s="496"/>
      <c r="U39" s="429"/>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71" hidden="1" customWidth="1"/>
    <col min="4" max="4" width="6.7109375" style="1287" hidden="1" customWidth="1"/>
    <col min="5" max="5" width="3.7109375" style="1555" customWidth="1"/>
    <col min="6" max="6" width="6.28515625" style="1555" customWidth="1"/>
    <col min="7" max="7" width="37.7109375" style="1555" customWidth="1"/>
    <col min="8" max="8" width="16.5703125" style="1555" customWidth="1"/>
    <col min="9" max="10" width="19.7109375" style="1555" customWidth="1"/>
    <col min="11" max="11" width="25" style="1555" customWidth="1"/>
    <col min="12" max="13" width="25.7109375" style="1555" customWidth="1"/>
    <col min="14" max="16" width="17.7109375" style="1555" customWidth="1"/>
    <col min="17" max="24" width="19.7109375" style="1555" customWidth="1"/>
    <col min="25" max="25" width="8" style="1555" customWidth="1"/>
    <col min="26" max="26" width="3.28515625" style="1555" customWidth="1"/>
    <col min="27" max="27" width="6.28515625" style="1555" customWidth="1"/>
    <col min="28" max="28" width="34.140625" style="1555" customWidth="1"/>
    <col min="29" max="30" width="9.140625" style="1555"/>
  </cols>
  <sheetData>
    <row r="1" spans="1:30" s="1287" customFormat="1" ht="10.5" hidden="1" customHeight="1">
      <c r="A1" s="809"/>
      <c r="B1" s="809"/>
      <c r="C1" s="809"/>
      <c r="E1" s="460"/>
      <c r="H1" s="1065"/>
    </row>
    <row r="2" spans="1:30" ht="10.5" hidden="1" customHeight="1"/>
    <row r="3" spans="1:30" s="1552" customFormat="1" ht="10.5" hidden="1" customHeight="1">
      <c r="A3" s="809"/>
      <c r="B3" s="809"/>
      <c r="C3" s="809"/>
      <c r="D3" s="346"/>
      <c r="E3" s="285"/>
      <c r="H3" s="1061"/>
    </row>
    <row r="4" spans="1:30" ht="3" customHeight="1"/>
    <row r="5" spans="1:30" ht="25.5" customHeight="1">
      <c r="F5" s="7673" t="str">
        <f>IP_NAME_FORM</f>
        <v>Форма 7. Информация об инвестиционных программах организации холодного водоснабжения и отчетах об их исполнении</v>
      </c>
      <c r="G5" s="7673"/>
      <c r="H5" s="7673"/>
      <c r="I5" s="7673"/>
      <c r="J5" s="7673"/>
      <c r="K5" s="7673"/>
      <c r="M5" s="505"/>
      <c r="AB5" s="820"/>
    </row>
    <row r="6" spans="1:30" s="1555" customFormat="1" ht="15.75" customHeight="1">
      <c r="A6" s="1071"/>
      <c r="B6" s="1071"/>
      <c r="C6" s="1071"/>
      <c r="D6" s="1065"/>
      <c r="F6" s="7620" t="str">
        <f>IF(org=0,"Не определено",org)</f>
        <v>ГУП СК "Ставрополькрайводоканал"</v>
      </c>
      <c r="G6" s="7620"/>
      <c r="H6" s="7620"/>
      <c r="I6" s="7620"/>
      <c r="J6" s="7620"/>
      <c r="K6" s="7620"/>
      <c r="M6" s="505"/>
      <c r="AB6" s="1053"/>
    </row>
    <row r="8" spans="1:30" ht="10.5" customHeight="1">
      <c r="A8" s="962"/>
      <c r="B8" s="962"/>
      <c r="C8" s="962"/>
      <c r="F8" s="7530" t="s">
        <v>474</v>
      </c>
      <c r="G8" s="7536"/>
      <c r="H8" s="7536"/>
      <c r="I8" s="7536"/>
      <c r="J8" s="7536"/>
      <c r="K8" s="7536"/>
      <c r="L8" s="7536"/>
      <c r="M8" s="7536"/>
      <c r="N8" s="7536"/>
      <c r="O8" s="7536"/>
      <c r="P8" s="7536"/>
      <c r="Q8" s="7536"/>
      <c r="R8" s="7536"/>
      <c r="S8" s="7536"/>
      <c r="T8" s="7536"/>
      <c r="U8" s="7536"/>
      <c r="V8" s="7536"/>
      <c r="W8" s="7536"/>
      <c r="X8" s="7536"/>
      <c r="Y8" s="7536"/>
      <c r="Z8" s="7536"/>
      <c r="AA8" s="7536"/>
      <c r="AB8" s="7529"/>
    </row>
    <row r="9" spans="1:30" ht="41.25" customHeight="1">
      <c r="A9" s="819"/>
      <c r="B9" s="819"/>
      <c r="C9" s="819"/>
      <c r="F9" s="7559" t="s">
        <v>86</v>
      </c>
      <c r="G9" s="7559" t="s">
        <v>1047</v>
      </c>
      <c r="H9" s="7619" t="s">
        <v>1048</v>
      </c>
      <c r="I9" s="7559" t="s">
        <v>1049</v>
      </c>
      <c r="J9" s="7559" t="s">
        <v>1050</v>
      </c>
      <c r="K9" s="7559" t="s">
        <v>1051</v>
      </c>
      <c r="L9" s="7559" t="s">
        <v>1052</v>
      </c>
      <c r="M9" s="7559" t="s">
        <v>1053</v>
      </c>
      <c r="N9" s="7649" t="s">
        <v>1054</v>
      </c>
      <c r="O9" s="7649"/>
      <c r="P9" s="7649"/>
      <c r="Q9" s="7698" t="s">
        <v>1055</v>
      </c>
      <c r="R9" s="7699"/>
      <c r="S9" s="7699"/>
      <c r="T9" s="7700"/>
      <c r="U9" s="7698" t="s">
        <v>1056</v>
      </c>
      <c r="V9" s="7699"/>
      <c r="W9" s="7699"/>
      <c r="X9" s="7700"/>
      <c r="Y9" s="7530" t="s">
        <v>1057</v>
      </c>
      <c r="Z9" s="7536"/>
      <c r="AA9" s="7536"/>
      <c r="AB9" s="7529"/>
    </row>
    <row r="10" spans="1:30" ht="41.25" customHeight="1">
      <c r="A10" s="819"/>
      <c r="B10" s="819"/>
      <c r="C10" s="819"/>
      <c r="F10" s="7619"/>
      <c r="G10" s="7619"/>
      <c r="H10" s="7668"/>
      <c r="I10" s="7619"/>
      <c r="J10" s="7619"/>
      <c r="K10" s="7619"/>
      <c r="L10" s="7619"/>
      <c r="M10" s="7619"/>
      <c r="N10" s="817" t="s">
        <v>1058</v>
      </c>
      <c r="O10" s="817" t="s">
        <v>1059</v>
      </c>
      <c r="P10" s="818" t="s">
        <v>1060</v>
      </c>
      <c r="Q10" s="829" t="s">
        <v>87</v>
      </c>
      <c r="R10" s="829" t="s">
        <v>1061</v>
      </c>
      <c r="S10" s="829" t="s">
        <v>1062</v>
      </c>
      <c r="T10" s="830" t="s">
        <v>1063</v>
      </c>
      <c r="U10" s="829" t="s">
        <v>87</v>
      </c>
      <c r="V10" s="829" t="s">
        <v>1064</v>
      </c>
      <c r="W10" s="829" t="s">
        <v>1062</v>
      </c>
      <c r="X10" s="830" t="s">
        <v>1063</v>
      </c>
      <c r="Y10" s="215" t="s">
        <v>1065</v>
      </c>
      <c r="Z10" s="7530" t="s">
        <v>86</v>
      </c>
      <c r="AA10" s="7529"/>
      <c r="AB10" s="960" t="s">
        <v>1066</v>
      </c>
    </row>
    <row r="11" spans="1:30" s="1562" customFormat="1" ht="5.25" hidden="1" customHeight="1">
      <c r="A11" s="963"/>
      <c r="B11" s="963"/>
      <c r="C11" s="963"/>
      <c r="E11" s="961"/>
      <c r="F11" s="7610" t="s">
        <v>552</v>
      </c>
      <c r="G11" s="7790"/>
      <c r="H11" s="7789"/>
      <c r="I11" s="7789"/>
      <c r="J11" s="7789"/>
      <c r="K11" s="7791"/>
      <c r="L11" s="7791"/>
      <c r="M11" s="7791"/>
      <c r="N11" s="7789"/>
      <c r="O11" s="7789"/>
      <c r="P11" s="7559"/>
      <c r="Q11" s="7623"/>
      <c r="R11" s="7623"/>
      <c r="S11" s="7623"/>
      <c r="T11" s="7789"/>
      <c r="U11" s="7623"/>
      <c r="V11" s="7623"/>
      <c r="W11" s="7623"/>
      <c r="X11" s="7789"/>
      <c r="Y11" s="7541"/>
      <c r="Z11" s="7541"/>
      <c r="AA11" s="7541"/>
      <c r="AB11" s="7541"/>
      <c r="AD11" s="435" t="s">
        <v>1067</v>
      </c>
    </row>
    <row r="12" spans="1:30" s="1562" customFormat="1" ht="5.25" hidden="1" customHeight="1">
      <c r="A12" s="810"/>
      <c r="B12" s="810"/>
      <c r="C12" s="810"/>
      <c r="E12" s="442"/>
      <c r="F12" s="7610"/>
      <c r="G12" s="7790"/>
      <c r="H12" s="7789"/>
      <c r="I12" s="7789"/>
      <c r="J12" s="7789"/>
      <c r="K12" s="7791"/>
      <c r="L12" s="7791"/>
      <c r="M12" s="7791"/>
      <c r="N12" s="7789"/>
      <c r="O12" s="7789"/>
      <c r="P12" s="7559"/>
      <c r="Q12" s="7623"/>
      <c r="R12" s="7623"/>
      <c r="S12" s="7623"/>
      <c r="T12" s="7789"/>
      <c r="U12" s="7623"/>
      <c r="V12" s="7623"/>
      <c r="W12" s="7623"/>
      <c r="X12" s="7789"/>
      <c r="Y12" s="7792"/>
      <c r="Z12" s="7792"/>
      <c r="AA12" s="7792"/>
      <c r="AB12" s="7792"/>
    </row>
    <row r="13" spans="1:30" ht="10.5" customHeight="1">
      <c r="F13" s="816"/>
      <c r="G13" s="568" t="s">
        <v>1068</v>
      </c>
      <c r="H13" s="1073"/>
      <c r="I13" s="495"/>
      <c r="J13" s="495"/>
      <c r="K13" s="495"/>
      <c r="L13" s="495"/>
      <c r="M13" s="495"/>
      <c r="N13" s="495"/>
      <c r="O13" s="495"/>
      <c r="P13" s="495"/>
      <c r="Q13" s="495"/>
      <c r="R13" s="495"/>
      <c r="S13" s="495"/>
      <c r="T13" s="495"/>
      <c r="U13" s="495"/>
      <c r="V13" s="495"/>
      <c r="W13" s="495"/>
      <c r="X13" s="495"/>
      <c r="Y13" s="495"/>
      <c r="Z13" s="614"/>
      <c r="AA13" s="614"/>
      <c r="AB13" s="831"/>
    </row>
    <row r="15" spans="1:30" s="1562" customFormat="1" ht="10.5" customHeight="1">
      <c r="A15" s="1072"/>
      <c r="B15" s="1072"/>
      <c r="C15" s="1072"/>
      <c r="E15" s="442"/>
      <c r="H15" s="435">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71" hidden="1" customWidth="1"/>
    <col min="4" max="4" width="4.140625" style="1287" hidden="1" customWidth="1"/>
    <col min="5" max="5" width="3.7109375" style="1555" customWidth="1"/>
    <col min="6" max="6" width="14.42578125" style="1555" customWidth="1"/>
    <col min="7" max="7" width="3.7109375" style="1555" customWidth="1"/>
    <col min="8" max="8" width="7.7109375" style="1555" customWidth="1"/>
    <col min="9" max="10" width="16.7109375" style="1555" customWidth="1"/>
    <col min="11" max="11" width="25.7109375" style="1555" customWidth="1"/>
    <col min="12" max="12" width="8" style="1555" customWidth="1"/>
    <col min="13" max="13" width="15.5703125" style="1555" customWidth="1"/>
    <col min="14" max="14" width="3.28515625" style="1555" customWidth="1"/>
    <col min="15" max="15" width="4.7109375" style="1555" customWidth="1"/>
    <col min="16" max="16" width="9" style="1555" customWidth="1"/>
    <col min="17" max="17" width="21.7109375" style="1555" customWidth="1"/>
    <col min="18" max="18" width="14.7109375" style="1555" customWidth="1"/>
    <col min="19" max="20" width="17.7109375" style="1555" customWidth="1"/>
    <col min="21" max="21" width="9.7109375" style="1555" customWidth="1"/>
    <col min="22" max="22" width="12.7109375" style="1555" customWidth="1"/>
    <col min="23" max="23" width="9.7109375" style="1555" customWidth="1"/>
    <col min="24" max="24" width="21.7109375" style="1555" customWidth="1"/>
    <col min="25" max="25" width="12.7109375" style="1555" customWidth="1"/>
    <col min="26" max="26" width="3.28515625" style="1555" customWidth="1"/>
    <col min="27" max="27" width="7.140625" style="1555" customWidth="1"/>
    <col min="28" max="28" width="38.42578125" style="1555" customWidth="1"/>
    <col min="29" max="29" width="15.7109375" style="1555" customWidth="1"/>
    <col min="30" max="30" width="37.5703125" style="1555" customWidth="1"/>
    <col min="31" max="31" width="15.7109375" style="1555" customWidth="1"/>
    <col min="32" max="37" width="16.7109375" style="1555" customWidth="1"/>
    <col min="38" max="58" width="9.140625" style="1555"/>
  </cols>
  <sheetData>
    <row r="1" spans="1:58" s="1287" customFormat="1" ht="10.5" hidden="1" customHeight="1">
      <c r="A1" s="809"/>
      <c r="B1" s="809"/>
      <c r="C1" s="809"/>
      <c r="E1" s="460"/>
      <c r="H1" s="1065"/>
      <c r="L1" s="1035"/>
      <c r="M1" s="1035"/>
      <c r="AD1" s="1035"/>
      <c r="AH1" s="1052"/>
      <c r="AI1" s="1046"/>
    </row>
    <row r="2" spans="1:58" ht="10.5" hidden="1" customHeight="1"/>
    <row r="3" spans="1:58" s="1552" customFormat="1" ht="10.5" hidden="1" customHeight="1">
      <c r="A3" s="809"/>
      <c r="B3" s="809"/>
      <c r="C3" s="809"/>
      <c r="D3" s="346"/>
      <c r="E3" s="285"/>
      <c r="H3" s="1061"/>
      <c r="L3" s="1033"/>
      <c r="M3" s="1033"/>
      <c r="AD3" s="1033"/>
      <c r="AH3" s="1050"/>
      <c r="AI3" s="1044"/>
    </row>
    <row r="4" spans="1:58" ht="3" customHeight="1"/>
    <row r="5" spans="1:58" ht="25.5" customHeight="1">
      <c r="F5" s="7673" t="str">
        <f>IP_NAME_FORM</f>
        <v>Форма 7. Информация об инвестиционных программах организации холодного водоснабжения и отчетах об их исполнении</v>
      </c>
      <c r="G5" s="7673"/>
      <c r="H5" s="7673"/>
      <c r="I5" s="7673"/>
      <c r="J5" s="7673"/>
      <c r="K5" s="7673"/>
      <c r="L5" s="1042"/>
      <c r="M5" s="1042"/>
      <c r="AG5" s="820"/>
      <c r="AH5" s="1053"/>
    </row>
    <row r="6" spans="1:58" ht="10.5" customHeight="1">
      <c r="F6" s="7620" t="str">
        <f>IF(org=0,"Не определено",org)</f>
        <v>ГУП СК "Ставрополькрайводоканал"</v>
      </c>
      <c r="G6" s="7620"/>
      <c r="H6" s="7620"/>
      <c r="I6" s="7620"/>
      <c r="J6" s="7620"/>
      <c r="K6" s="7620"/>
      <c r="L6" s="1043"/>
      <c r="M6" s="1043"/>
    </row>
    <row r="7" spans="1:58" ht="11.25" customHeight="1">
      <c r="E7" s="822"/>
      <c r="F7" s="833"/>
      <c r="G7" s="833"/>
      <c r="H7" s="1091"/>
      <c r="I7" s="833"/>
      <c r="J7" s="833"/>
      <c r="K7" s="835"/>
      <c r="L7" s="1040"/>
      <c r="M7" s="1040"/>
      <c r="N7" s="833"/>
      <c r="O7" s="833"/>
      <c r="P7" s="833"/>
      <c r="Q7" s="835"/>
      <c r="R7" s="833"/>
      <c r="S7" s="833"/>
      <c r="T7" s="833"/>
      <c r="U7" s="833"/>
      <c r="V7" s="833"/>
      <c r="W7" s="833"/>
      <c r="X7" s="833"/>
      <c r="Y7" s="833"/>
      <c r="Z7" s="833"/>
      <c r="AA7" s="833"/>
      <c r="AB7" s="833"/>
      <c r="AC7" s="834"/>
      <c r="AD7" s="1039"/>
      <c r="AE7" s="834"/>
      <c r="AF7" s="833"/>
      <c r="AG7" s="833"/>
      <c r="AH7" s="1055"/>
      <c r="AI7" s="1049"/>
      <c r="AJ7" s="833"/>
      <c r="AK7" s="833"/>
      <c r="AL7" s="824"/>
      <c r="AM7" s="824"/>
      <c r="AN7" s="824"/>
      <c r="AO7" s="821"/>
      <c r="AP7" s="821"/>
      <c r="AQ7" s="821"/>
      <c r="AR7" s="821"/>
      <c r="AS7" s="821"/>
      <c r="AT7" s="821"/>
      <c r="AU7" s="821"/>
      <c r="AV7" s="821"/>
      <c r="AW7" s="821"/>
      <c r="AX7" s="821"/>
      <c r="AY7" s="821"/>
      <c r="AZ7" s="821"/>
      <c r="BA7" s="821"/>
      <c r="BB7" s="821"/>
      <c r="BC7" s="821"/>
      <c r="BD7" s="821"/>
      <c r="BE7" s="821"/>
      <c r="BF7" s="821"/>
    </row>
    <row r="8" spans="1:58" ht="10.5" customHeight="1">
      <c r="E8" s="822"/>
      <c r="F8" s="7796" t="s">
        <v>474</v>
      </c>
      <c r="G8" s="7797"/>
      <c r="H8" s="7797"/>
      <c r="I8" s="7797"/>
      <c r="J8" s="7797"/>
      <c r="K8" s="7797"/>
      <c r="L8" s="7797"/>
      <c r="M8" s="7797"/>
      <c r="N8" s="7797"/>
      <c r="O8" s="7797"/>
      <c r="P8" s="7797"/>
      <c r="Q8" s="7797"/>
      <c r="R8" s="7797"/>
      <c r="S8" s="7797"/>
      <c r="T8" s="7797"/>
      <c r="U8" s="7797"/>
      <c r="V8" s="7797"/>
      <c r="W8" s="7797"/>
      <c r="X8" s="7797"/>
      <c r="Y8" s="7797"/>
      <c r="Z8" s="7797"/>
      <c r="AA8" s="7797"/>
      <c r="AB8" s="7797"/>
      <c r="AC8" s="7797"/>
      <c r="AD8" s="7797"/>
      <c r="AE8" s="7797"/>
      <c r="AF8" s="7797"/>
      <c r="AG8" s="7797"/>
      <c r="AH8" s="7797"/>
      <c r="AI8" s="7797"/>
      <c r="AJ8" s="7797"/>
      <c r="AK8" s="7798"/>
      <c r="AL8" s="823"/>
      <c r="AM8" s="821"/>
      <c r="AN8" s="821"/>
      <c r="AO8" s="821"/>
      <c r="AP8" s="821"/>
      <c r="AQ8" s="821"/>
      <c r="AR8" s="821"/>
      <c r="AS8" s="821"/>
      <c r="AT8" s="821"/>
      <c r="AU8" s="821"/>
      <c r="AV8" s="821"/>
      <c r="AW8" s="821"/>
      <c r="AX8" s="821"/>
      <c r="AY8" s="821"/>
      <c r="AZ8" s="821"/>
      <c r="BA8" s="821"/>
      <c r="BB8" s="821"/>
      <c r="BC8" s="821"/>
      <c r="BD8" s="821"/>
      <c r="BE8" s="821"/>
      <c r="BF8" s="821"/>
    </row>
    <row r="9" spans="1:58" ht="23.25" customHeight="1">
      <c r="A9" s="819"/>
      <c r="B9" s="819"/>
      <c r="C9" s="819"/>
      <c r="E9" s="822"/>
      <c r="F9" s="7649" t="s">
        <v>1069</v>
      </c>
      <c r="G9" s="7735" t="s">
        <v>1070</v>
      </c>
      <c r="H9" s="7794"/>
      <c r="I9" s="7559" t="s">
        <v>1071</v>
      </c>
      <c r="J9" s="7559"/>
      <c r="K9" s="7559" t="s">
        <v>1072</v>
      </c>
      <c r="L9" s="7559"/>
      <c r="M9" s="7559"/>
      <c r="N9" s="7559"/>
      <c r="O9" s="7559"/>
      <c r="P9" s="7559"/>
      <c r="Q9" s="7559"/>
      <c r="R9" s="7559"/>
      <c r="S9" s="7559"/>
      <c r="T9" s="7559"/>
      <c r="U9" s="7559"/>
      <c r="V9" s="7559"/>
      <c r="W9" s="7559"/>
      <c r="X9" s="7559"/>
      <c r="Y9" s="7559"/>
      <c r="Z9" s="7634" t="s">
        <v>1073</v>
      </c>
      <c r="AA9" s="7635"/>
      <c r="AB9" s="7559" t="s">
        <v>1074</v>
      </c>
      <c r="AC9" s="7559"/>
      <c r="AD9" s="7559"/>
      <c r="AE9" s="7559"/>
      <c r="AF9" s="7619" t="s">
        <v>1075</v>
      </c>
      <c r="AG9" s="7559" t="s">
        <v>1076</v>
      </c>
      <c r="AH9" s="7559"/>
      <c r="AI9" s="7619" t="s">
        <v>1077</v>
      </c>
      <c r="AJ9" s="7559" t="s">
        <v>1078</v>
      </c>
      <c r="AK9" s="7559"/>
      <c r="AL9" s="1048"/>
      <c r="AM9" s="821"/>
      <c r="AN9" s="821"/>
      <c r="AO9" s="821"/>
      <c r="AP9" s="821"/>
      <c r="AQ9" s="821"/>
      <c r="AR9" s="821"/>
      <c r="AS9" s="821"/>
      <c r="AT9" s="821"/>
      <c r="AU9" s="821"/>
      <c r="AV9" s="821"/>
      <c r="AW9" s="821"/>
      <c r="AX9" s="821"/>
      <c r="AY9" s="821"/>
      <c r="AZ9" s="821"/>
      <c r="BA9" s="821"/>
      <c r="BB9" s="821"/>
      <c r="BC9" s="821"/>
      <c r="BD9" s="821"/>
      <c r="BE9" s="821"/>
      <c r="BF9" s="821"/>
    </row>
    <row r="10" spans="1:58" ht="23.25" customHeight="1">
      <c r="A10" s="819"/>
      <c r="B10" s="819"/>
      <c r="C10" s="819"/>
      <c r="E10" s="826"/>
      <c r="F10" s="7649"/>
      <c r="G10" s="7736"/>
      <c r="H10" s="7650"/>
      <c r="I10" s="7559"/>
      <c r="J10" s="7559"/>
      <c r="K10" s="7559" t="s">
        <v>1079</v>
      </c>
      <c r="L10" s="7530" t="s">
        <v>1080</v>
      </c>
      <c r="M10" s="7529"/>
      <c r="N10" s="7559" t="s">
        <v>1081</v>
      </c>
      <c r="O10" s="7559"/>
      <c r="P10" s="7559"/>
      <c r="Q10" s="7559"/>
      <c r="R10" s="7559"/>
      <c r="S10" s="7559"/>
      <c r="T10" s="7559"/>
      <c r="U10" s="7559"/>
      <c r="V10" s="7559"/>
      <c r="W10" s="7559"/>
      <c r="X10" s="7559"/>
      <c r="Y10" s="7559"/>
      <c r="Z10" s="7636"/>
      <c r="AA10" s="7637"/>
      <c r="AB10" s="7559"/>
      <c r="AC10" s="7559"/>
      <c r="AD10" s="7559"/>
      <c r="AE10" s="7559"/>
      <c r="AF10" s="7638"/>
      <c r="AG10" s="7559"/>
      <c r="AH10" s="7559"/>
      <c r="AI10" s="7638"/>
      <c r="AJ10" s="7559"/>
      <c r="AK10" s="7559"/>
      <c r="AL10" s="1048"/>
      <c r="AM10" s="827"/>
      <c r="AN10" s="827"/>
      <c r="AO10" s="827"/>
      <c r="AP10" s="827"/>
      <c r="AQ10" s="827"/>
      <c r="AR10" s="827"/>
      <c r="AS10" s="827"/>
      <c r="AT10" s="827"/>
      <c r="AU10" s="827"/>
      <c r="AV10" s="827"/>
      <c r="AW10" s="827"/>
      <c r="AX10" s="827"/>
      <c r="AY10" s="827"/>
      <c r="AZ10" s="827"/>
      <c r="BA10" s="827"/>
      <c r="BB10" s="827"/>
      <c r="BC10" s="827"/>
      <c r="BD10" s="827"/>
      <c r="BE10" s="827"/>
      <c r="BF10" s="827"/>
    </row>
    <row r="11" spans="1:58" s="1555" customFormat="1" ht="23.25" customHeight="1">
      <c r="A11" s="1036"/>
      <c r="B11" s="1036"/>
      <c r="C11" s="1036"/>
      <c r="D11" s="1035"/>
      <c r="E11" s="1037"/>
      <c r="F11" s="7649"/>
      <c r="G11" s="7736"/>
      <c r="H11" s="7650"/>
      <c r="I11" s="7559"/>
      <c r="J11" s="7559"/>
      <c r="K11" s="7559"/>
      <c r="L11" s="7619" t="s">
        <v>1082</v>
      </c>
      <c r="M11" s="7619" t="s">
        <v>1083</v>
      </c>
      <c r="N11" s="7559" t="s">
        <v>1084</v>
      </c>
      <c r="O11" s="7559"/>
      <c r="P11" s="7587" t="s">
        <v>1065</v>
      </c>
      <c r="Q11" s="7587" t="s">
        <v>1085</v>
      </c>
      <c r="R11" s="7587" t="s">
        <v>1086</v>
      </c>
      <c r="S11" s="7587" t="s">
        <v>1087</v>
      </c>
      <c r="T11" s="7587"/>
      <c r="U11" s="7587"/>
      <c r="V11" s="7587"/>
      <c r="W11" s="7587"/>
      <c r="X11" s="7587"/>
      <c r="Y11" s="7587"/>
      <c r="Z11" s="7636"/>
      <c r="AA11" s="7637"/>
      <c r="AB11" s="7559" t="s">
        <v>1088</v>
      </c>
      <c r="AC11" s="7559"/>
      <c r="AD11" s="7530" t="s">
        <v>1089</v>
      </c>
      <c r="AE11" s="7529"/>
      <c r="AF11" s="7638"/>
      <c r="AG11" s="7559"/>
      <c r="AH11" s="7559"/>
      <c r="AI11" s="7638"/>
      <c r="AJ11" s="7559"/>
      <c r="AK11" s="7559"/>
      <c r="AL11" s="1048"/>
      <c r="AM11" s="1034"/>
      <c r="AN11" s="1034"/>
      <c r="AO11" s="1034"/>
      <c r="AP11" s="1034"/>
      <c r="AQ11" s="1034"/>
      <c r="AR11" s="1034"/>
      <c r="AS11" s="1034"/>
      <c r="AT11" s="1034"/>
      <c r="AU11" s="1034"/>
      <c r="AV11" s="1034"/>
      <c r="AW11" s="1034"/>
      <c r="AX11" s="1034"/>
      <c r="AY11" s="1034"/>
      <c r="AZ11" s="1034"/>
      <c r="BA11" s="1034"/>
      <c r="BB11" s="1034"/>
      <c r="BC11" s="1034"/>
      <c r="BD11" s="1034"/>
      <c r="BE11" s="1034"/>
      <c r="BF11" s="1034"/>
    </row>
    <row r="12" spans="1:58" ht="33.75" customHeight="1">
      <c r="A12" s="819"/>
      <c r="B12" s="819"/>
      <c r="C12" s="819"/>
      <c r="E12" s="822"/>
      <c r="F12" s="7649"/>
      <c r="G12" s="7737"/>
      <c r="H12" s="7795"/>
      <c r="I12" s="1058" t="s">
        <v>87</v>
      </c>
      <c r="J12" s="1058" t="s">
        <v>1090</v>
      </c>
      <c r="K12" s="7559"/>
      <c r="L12" s="7668"/>
      <c r="M12" s="7668"/>
      <c r="N12" s="7559"/>
      <c r="O12" s="7559"/>
      <c r="P12" s="7587"/>
      <c r="Q12" s="7587"/>
      <c r="R12" s="7587"/>
      <c r="S12" s="1041" t="s">
        <v>84</v>
      </c>
      <c r="T12" s="1041" t="s">
        <v>85</v>
      </c>
      <c r="U12" s="1041" t="s">
        <v>83</v>
      </c>
      <c r="V12" s="1041" t="s">
        <v>1091</v>
      </c>
      <c r="W12" s="1041" t="s">
        <v>83</v>
      </c>
      <c r="X12" s="1041" t="s">
        <v>1092</v>
      </c>
      <c r="Y12" s="1041" t="s">
        <v>1093</v>
      </c>
      <c r="Z12" s="7639"/>
      <c r="AA12" s="7640"/>
      <c r="AB12" s="1047" t="s">
        <v>1094</v>
      </c>
      <c r="AC12" s="1047" t="s">
        <v>1095</v>
      </c>
      <c r="AD12" s="1047" t="s">
        <v>1094</v>
      </c>
      <c r="AE12" s="1047" t="s">
        <v>1095</v>
      </c>
      <c r="AF12" s="7668"/>
      <c r="AG12" s="1059" t="s">
        <v>1096</v>
      </c>
      <c r="AH12" s="1059" t="s">
        <v>1097</v>
      </c>
      <c r="AI12" s="7668"/>
      <c r="AJ12" s="1059" t="s">
        <v>1096</v>
      </c>
      <c r="AK12" s="1059" t="s">
        <v>1097</v>
      </c>
      <c r="AL12" s="1048"/>
      <c r="AM12" s="821"/>
      <c r="AN12" s="821"/>
      <c r="AO12" s="821"/>
      <c r="AP12" s="821"/>
      <c r="AQ12" s="821"/>
      <c r="AR12" s="821"/>
      <c r="AS12" s="821"/>
      <c r="AT12" s="821"/>
      <c r="AU12" s="821"/>
      <c r="AV12" s="821"/>
      <c r="AW12" s="821"/>
      <c r="AX12" s="821"/>
      <c r="AY12" s="821"/>
      <c r="AZ12" s="821"/>
      <c r="BA12" s="821"/>
      <c r="BB12" s="821"/>
      <c r="BC12" s="821"/>
      <c r="BD12" s="821"/>
      <c r="BE12" s="821"/>
      <c r="BF12" s="821"/>
    </row>
    <row r="13" spans="1:58" ht="0.75" customHeight="1">
      <c r="E13" s="822"/>
      <c r="F13" s="1032">
        <v>0</v>
      </c>
      <c r="G13" s="1032"/>
      <c r="H13" s="1032"/>
      <c r="I13" s="1032"/>
      <c r="J13" s="1032"/>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54"/>
      <c r="AI13" s="1048"/>
      <c r="AJ13" s="1038"/>
      <c r="AK13" s="1038"/>
      <c r="AL13" s="823"/>
      <c r="AM13" s="821"/>
      <c r="AN13" s="821"/>
      <c r="AO13" s="821"/>
      <c r="AP13" s="821"/>
      <c r="AQ13" s="821"/>
      <c r="AR13" s="821"/>
      <c r="AS13" s="821"/>
      <c r="AT13" s="821"/>
      <c r="AU13" s="821"/>
      <c r="AV13" s="821"/>
      <c r="AW13" s="821"/>
      <c r="AX13" s="821"/>
      <c r="AY13" s="821"/>
      <c r="AZ13" s="821"/>
      <c r="BA13" s="821"/>
      <c r="BB13" s="821"/>
      <c r="BC13" s="821"/>
      <c r="BD13" s="821"/>
      <c r="BE13" s="821"/>
      <c r="BF13" s="821"/>
    </row>
    <row r="14" spans="1:58" ht="10.5" customHeight="1">
      <c r="E14" s="821"/>
      <c r="F14" s="832"/>
      <c r="G14" s="832"/>
      <c r="H14" s="1078"/>
      <c r="I14" s="832"/>
      <c r="J14" s="832"/>
      <c r="K14" s="832"/>
      <c r="L14" s="1038"/>
      <c r="M14" s="1038"/>
      <c r="N14" s="832"/>
      <c r="O14" s="832"/>
      <c r="P14" s="832"/>
      <c r="Q14" s="832"/>
      <c r="R14" s="832"/>
      <c r="S14" s="832"/>
      <c r="T14" s="832"/>
      <c r="U14" s="832"/>
      <c r="V14" s="832"/>
      <c r="W14" s="832"/>
      <c r="X14" s="832"/>
      <c r="Y14" s="832"/>
      <c r="Z14" s="832"/>
      <c r="AA14" s="832"/>
      <c r="AB14" s="832"/>
      <c r="AC14" s="832"/>
      <c r="AD14" s="1038"/>
      <c r="AE14" s="832"/>
      <c r="AF14" s="832"/>
      <c r="AG14" s="832"/>
      <c r="AH14" s="1054"/>
      <c r="AI14" s="1048"/>
      <c r="AJ14" s="832"/>
      <c r="AK14" s="832"/>
      <c r="AL14" s="821"/>
      <c r="AM14" s="821"/>
      <c r="AN14" s="821"/>
      <c r="AO14" s="821"/>
      <c r="AP14" s="821"/>
      <c r="AQ14" s="821"/>
      <c r="AR14" s="821"/>
      <c r="AS14" s="821"/>
      <c r="AT14" s="821"/>
      <c r="AU14" s="821"/>
      <c r="AV14" s="821"/>
      <c r="AW14" s="821"/>
      <c r="AX14" s="821"/>
      <c r="AY14" s="821"/>
      <c r="AZ14" s="821"/>
      <c r="BA14" s="821"/>
      <c r="BB14" s="821"/>
      <c r="BC14" s="821"/>
      <c r="BD14" s="821"/>
      <c r="BE14" s="821"/>
      <c r="BF14" s="821"/>
    </row>
    <row r="15" spans="1:58" ht="12.75" customHeight="1">
      <c r="E15" s="821"/>
      <c r="F15" s="828" t="s">
        <v>1098</v>
      </c>
      <c r="G15" s="828"/>
      <c r="H15" s="1077"/>
      <c r="I15" s="828"/>
      <c r="J15" s="828"/>
      <c r="K15" s="825"/>
      <c r="L15" s="1034"/>
      <c r="M15" s="1034"/>
      <c r="N15" s="827"/>
      <c r="O15" s="827"/>
      <c r="P15" s="827"/>
      <c r="Q15" s="827"/>
      <c r="R15" s="827"/>
      <c r="S15" s="827"/>
      <c r="T15" s="827"/>
      <c r="U15" s="827"/>
      <c r="V15" s="827"/>
      <c r="W15" s="827"/>
      <c r="X15" s="827"/>
      <c r="Y15" s="827"/>
      <c r="Z15" s="825"/>
      <c r="AA15" s="825"/>
      <c r="AB15" s="825"/>
      <c r="AC15" s="825"/>
      <c r="AD15" s="1034"/>
      <c r="AE15" s="825"/>
      <c r="AF15" s="825"/>
      <c r="AG15" s="825"/>
      <c r="AH15" s="1051"/>
      <c r="AI15" s="1045"/>
      <c r="AJ15" s="825"/>
      <c r="AK15" s="825"/>
      <c r="AL15" s="821"/>
      <c r="AM15" s="821"/>
      <c r="AN15" s="821"/>
      <c r="AO15" s="821"/>
      <c r="AP15" s="821"/>
      <c r="AQ15" s="821"/>
      <c r="AR15" s="821"/>
      <c r="AS15" s="821"/>
      <c r="AT15" s="821"/>
      <c r="AU15" s="821"/>
      <c r="AV15" s="821"/>
      <c r="AW15" s="821"/>
      <c r="AX15" s="821"/>
      <c r="AY15" s="821"/>
      <c r="AZ15" s="821"/>
      <c r="BA15" s="821"/>
      <c r="BB15" s="821"/>
      <c r="BC15" s="821"/>
      <c r="BD15" s="821"/>
      <c r="BE15" s="821"/>
      <c r="BF15" s="821"/>
    </row>
    <row r="17" spans="5:58" ht="10.5" customHeight="1">
      <c r="E17" s="821"/>
      <c r="F17" s="7793"/>
      <c r="G17" s="7793"/>
      <c r="H17" s="7793"/>
      <c r="I17" s="7793"/>
      <c r="J17" s="7793"/>
      <c r="K17" s="825"/>
      <c r="L17" s="1034"/>
      <c r="M17" s="1034"/>
      <c r="N17" s="827"/>
      <c r="O17" s="827"/>
      <c r="P17" s="827"/>
      <c r="Q17" s="827"/>
      <c r="R17" s="827"/>
      <c r="S17" s="827"/>
      <c r="T17" s="827"/>
      <c r="U17" s="827"/>
      <c r="V17" s="827"/>
      <c r="W17" s="827"/>
      <c r="X17" s="827"/>
      <c r="Y17" s="827"/>
      <c r="Z17" s="825"/>
      <c r="AA17" s="825"/>
      <c r="AB17" s="825"/>
      <c r="AC17" s="825"/>
      <c r="AD17" s="1034"/>
      <c r="AE17" s="825"/>
      <c r="AF17" s="825"/>
      <c r="AG17" s="825"/>
      <c r="AH17" s="1051"/>
      <c r="AI17" s="1045"/>
      <c r="AJ17" s="825"/>
      <c r="AK17" s="825"/>
      <c r="AL17" s="821"/>
      <c r="AM17" s="821"/>
      <c r="AN17" s="821"/>
      <c r="AO17" s="821"/>
      <c r="AP17" s="821"/>
      <c r="AQ17" s="821"/>
      <c r="AR17" s="821"/>
      <c r="AS17" s="821"/>
      <c r="AT17" s="821"/>
      <c r="AU17" s="821"/>
      <c r="AV17" s="821"/>
      <c r="AW17" s="821"/>
      <c r="AX17" s="821"/>
      <c r="AY17" s="821"/>
      <c r="AZ17" s="821"/>
      <c r="BA17" s="821"/>
      <c r="BB17" s="821"/>
      <c r="BC17" s="821"/>
      <c r="BD17" s="821"/>
      <c r="BE17" s="821"/>
      <c r="BF17" s="821"/>
    </row>
    <row r="18" spans="5:58" ht="10.5" customHeight="1">
      <c r="E18" s="821"/>
      <c r="F18" s="7793"/>
      <c r="G18" s="7793"/>
      <c r="H18" s="7793"/>
      <c r="I18" s="7793"/>
      <c r="J18" s="7793"/>
      <c r="K18" s="825"/>
      <c r="L18" s="1034"/>
      <c r="M18" s="1034"/>
      <c r="N18" s="827"/>
      <c r="O18" s="827"/>
      <c r="P18" s="827"/>
      <c r="Q18" s="827"/>
      <c r="R18" s="827"/>
      <c r="S18" s="827"/>
      <c r="T18" s="827"/>
      <c r="U18" s="827"/>
      <c r="V18" s="827"/>
      <c r="W18" s="827"/>
      <c r="X18" s="827"/>
      <c r="Y18" s="827"/>
      <c r="Z18" s="825"/>
      <c r="AA18" s="825"/>
      <c r="AB18" s="825"/>
      <c r="AC18" s="825"/>
      <c r="AD18" s="1034"/>
      <c r="AE18" s="825"/>
      <c r="AF18" s="825"/>
      <c r="AG18" s="825"/>
      <c r="AH18" s="1051"/>
      <c r="AI18" s="1045"/>
      <c r="AJ18" s="825"/>
      <c r="AK18" s="825"/>
      <c r="AL18" s="821"/>
      <c r="AM18" s="821"/>
      <c r="AN18" s="821"/>
      <c r="AO18" s="821"/>
      <c r="AP18" s="821"/>
      <c r="AQ18" s="821"/>
      <c r="AR18" s="821"/>
      <c r="AS18" s="821"/>
      <c r="AT18" s="821"/>
      <c r="AU18" s="821"/>
      <c r="AV18" s="821"/>
      <c r="AW18" s="821"/>
      <c r="AX18" s="821"/>
      <c r="AY18" s="821"/>
      <c r="AZ18" s="821"/>
      <c r="BA18" s="821"/>
      <c r="BB18" s="821"/>
      <c r="BC18" s="821"/>
      <c r="BD18" s="821"/>
      <c r="BE18" s="821"/>
      <c r="BF18" s="821"/>
    </row>
    <row r="19" spans="5:58" ht="10.5" customHeight="1">
      <c r="E19" s="821"/>
      <c r="F19" s="7793"/>
      <c r="G19" s="7793"/>
      <c r="H19" s="7793"/>
      <c r="I19" s="7793"/>
      <c r="J19" s="7793"/>
      <c r="K19" s="825"/>
      <c r="L19" s="1034"/>
      <c r="M19" s="1034"/>
      <c r="N19" s="827"/>
      <c r="O19" s="827"/>
      <c r="P19" s="827"/>
      <c r="Q19" s="827"/>
      <c r="R19" s="827"/>
      <c r="S19" s="827"/>
      <c r="T19" s="827"/>
      <c r="U19" s="827"/>
      <c r="V19" s="827"/>
      <c r="W19" s="827"/>
      <c r="X19" s="827"/>
      <c r="Y19" s="827"/>
      <c r="Z19" s="825"/>
      <c r="AA19" s="825"/>
      <c r="AB19" s="825"/>
      <c r="AC19" s="825"/>
      <c r="AD19" s="1034"/>
      <c r="AE19" s="825"/>
      <c r="AF19" s="825"/>
      <c r="AG19" s="825"/>
      <c r="AH19" s="1051"/>
      <c r="AI19" s="1045"/>
      <c r="AJ19" s="825"/>
      <c r="AK19" s="825"/>
      <c r="AL19" s="821"/>
      <c r="AM19" s="821"/>
      <c r="AN19" s="821"/>
      <c r="AO19" s="821"/>
      <c r="AP19" s="821"/>
      <c r="AQ19" s="821"/>
      <c r="AR19" s="821"/>
      <c r="AS19" s="821"/>
      <c r="AT19" s="821"/>
      <c r="AU19" s="821"/>
      <c r="AV19" s="821"/>
      <c r="AW19" s="821"/>
      <c r="AX19" s="821"/>
      <c r="AY19" s="821"/>
      <c r="AZ19" s="821"/>
      <c r="BA19" s="821"/>
      <c r="BB19" s="821"/>
      <c r="BC19" s="821"/>
      <c r="BD19" s="821"/>
      <c r="BE19" s="821"/>
      <c r="BF19" s="821"/>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71" hidden="1" customWidth="1"/>
    <col min="4" max="4" width="4.140625" style="1287" hidden="1" customWidth="1"/>
    <col min="5" max="5" width="3.7109375" style="1555" customWidth="1"/>
    <col min="6" max="6" width="6.28515625" style="1555" customWidth="1"/>
    <col min="7" max="7" width="60.140625" style="1555" customWidth="1"/>
    <col min="8" max="9" width="21.7109375" style="1555" hidden="1" customWidth="1"/>
    <col min="10" max="10" width="0.140625" style="1555" customWidth="1"/>
    <col min="11" max="11" width="1.7109375" style="1555" customWidth="1"/>
    <col min="12" max="22" width="9.140625" style="1555"/>
  </cols>
  <sheetData>
    <row r="1" spans="1:22" s="1287" customFormat="1" ht="10.5" hidden="1" customHeight="1">
      <c r="A1" s="1071"/>
      <c r="B1" s="1071"/>
      <c r="C1" s="1071"/>
      <c r="E1" s="460"/>
    </row>
    <row r="2" spans="1:22" ht="10.5" hidden="1" customHeight="1"/>
    <row r="3" spans="1:22" s="1552" customFormat="1" ht="10.5" hidden="1" customHeight="1">
      <c r="A3" s="1071"/>
      <c r="B3" s="1071"/>
      <c r="C3" s="1071"/>
      <c r="D3" s="1065"/>
      <c r="E3" s="285"/>
    </row>
    <row r="4" spans="1:22" ht="3" customHeight="1"/>
    <row r="5" spans="1:22" ht="25.5" customHeight="1">
      <c r="F5" s="7673"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7673"/>
      <c r="H5" s="7673"/>
      <c r="I5" s="7673"/>
      <c r="J5" s="7673"/>
    </row>
    <row r="6" spans="1:22" ht="10.5" customHeight="1">
      <c r="F6" s="7620" t="str">
        <f>IF(org=0,"Не определено",org)</f>
        <v>ГУП СК "Ставрополькрайводоканал"</v>
      </c>
      <c r="G6" s="7620"/>
      <c r="H6" s="7620"/>
      <c r="I6" s="7620"/>
      <c r="J6" s="7620"/>
    </row>
    <row r="7" spans="1:22" ht="11.25" customHeight="1">
      <c r="E7" s="1075"/>
      <c r="F7" s="1141"/>
      <c r="G7" s="1141"/>
      <c r="H7" s="1141"/>
      <c r="I7" s="1141"/>
      <c r="J7" s="1141"/>
      <c r="K7" s="1062"/>
      <c r="L7" s="1062"/>
      <c r="M7" s="1062"/>
      <c r="N7" s="1062"/>
      <c r="O7" s="1062"/>
      <c r="P7" s="1062"/>
      <c r="Q7" s="1062"/>
      <c r="R7" s="1062"/>
      <c r="S7" s="1062"/>
      <c r="T7" s="1062"/>
      <c r="U7" s="1062"/>
      <c r="V7" s="1062"/>
    </row>
    <row r="8" spans="1:22" s="1562" customFormat="1" ht="5.25" customHeight="1">
      <c r="A8" s="1072"/>
      <c r="B8" s="1072"/>
      <c r="C8" s="1072"/>
      <c r="E8" s="1142"/>
      <c r="F8" s="1143"/>
      <c r="G8" s="1143"/>
      <c r="H8" s="1143"/>
      <c r="I8" s="1143"/>
      <c r="J8" s="1143"/>
      <c r="K8" s="1142"/>
      <c r="L8" s="1142"/>
      <c r="M8" s="1142"/>
      <c r="N8" s="1142"/>
      <c r="O8" s="1142"/>
      <c r="P8" s="1142"/>
      <c r="Q8" s="1142"/>
      <c r="R8" s="1142"/>
      <c r="S8" s="1142"/>
      <c r="T8" s="1142"/>
      <c r="U8" s="1142"/>
      <c r="V8" s="1142"/>
    </row>
    <row r="9" spans="1:22" ht="10.5" customHeight="1">
      <c r="E9" s="1075"/>
      <c r="F9" s="7799" t="s">
        <v>474</v>
      </c>
      <c r="G9" s="7800"/>
      <c r="H9" s="7800"/>
      <c r="I9" s="7800"/>
      <c r="J9" s="7800"/>
      <c r="K9" s="1154"/>
      <c r="L9" s="1062"/>
      <c r="M9" s="1062"/>
      <c r="N9" s="1062"/>
      <c r="O9" s="1062"/>
      <c r="P9" s="1062"/>
      <c r="Q9" s="1062"/>
      <c r="R9" s="1062"/>
      <c r="S9" s="1062"/>
      <c r="T9" s="1062"/>
      <c r="U9" s="1062"/>
      <c r="V9" s="1062"/>
    </row>
    <row r="10" spans="1:22" ht="24" customHeight="1">
      <c r="E10" s="1062"/>
      <c r="F10" s="7803" t="s">
        <v>86</v>
      </c>
      <c r="G10" s="7807" t="s">
        <v>1099</v>
      </c>
      <c r="H10" s="7789" t="s">
        <v>1100</v>
      </c>
      <c r="I10" s="7789"/>
      <c r="J10" s="7789"/>
      <c r="K10" s="1147"/>
      <c r="L10" s="1062"/>
      <c r="M10" s="1062"/>
      <c r="N10" s="1062"/>
      <c r="O10" s="1062"/>
      <c r="P10" s="1062"/>
      <c r="Q10" s="1062"/>
      <c r="R10" s="1062"/>
      <c r="S10" s="1062"/>
      <c r="T10" s="1062"/>
      <c r="U10" s="1062"/>
      <c r="V10" s="1062"/>
    </row>
    <row r="11" spans="1:22" ht="24" customHeight="1">
      <c r="E11" s="1062"/>
      <c r="F11" s="7804"/>
      <c r="G11" s="7807"/>
      <c r="H11" s="7806" t="e">
        <f>INDEX(IP_MAIN_LIST_NAME_IP,MATCH(H8,IP_MAIN_LIST_IP_ID,0))&amp;" ("&amp;INDEX(IP_MAIN_START_DATE,MATCH(H8,IP_MAIN_LIST_IP_ID,0))&amp;"-"&amp;INDEX(IP_MAIN_END_DATE,MATCH(H8,IP_MAIN_LIST_IP_ID,0))&amp;")"</f>
        <v>#N/A</v>
      </c>
      <c r="I11" s="7806"/>
      <c r="J11" s="7806"/>
      <c r="K11" s="1147"/>
      <c r="L11" s="1062"/>
      <c r="M11" s="1062"/>
      <c r="N11" s="1062"/>
      <c r="O11" s="1062"/>
      <c r="P11" s="1062"/>
      <c r="Q11" s="1062"/>
      <c r="R11" s="1062"/>
      <c r="S11" s="1062"/>
      <c r="T11" s="1062"/>
      <c r="U11" s="1062"/>
      <c r="V11" s="1062"/>
    </row>
    <row r="12" spans="1:22" ht="10.5" customHeight="1">
      <c r="F12" s="7805"/>
      <c r="G12" s="7807"/>
      <c r="H12" s="1140" t="s">
        <v>1101</v>
      </c>
      <c r="I12" s="1146"/>
      <c r="J12" s="1140"/>
      <c r="K12" s="1148"/>
    </row>
    <row r="13" spans="1:22" ht="10.5" hidden="1" customHeight="1">
      <c r="F13" s="1140">
        <v>1</v>
      </c>
      <c r="G13" s="1140">
        <v>2</v>
      </c>
      <c r="H13" s="1140">
        <v>3</v>
      </c>
      <c r="I13" s="1140">
        <v>4</v>
      </c>
      <c r="J13" s="1140">
        <v>5</v>
      </c>
      <c r="K13" s="1148"/>
    </row>
    <row r="14" spans="1:22" ht="11.25" customHeight="1">
      <c r="F14" s="1139" t="s">
        <v>1102</v>
      </c>
      <c r="G14" s="7801" t="s">
        <v>1103</v>
      </c>
      <c r="H14" s="7801"/>
      <c r="I14" s="7801"/>
      <c r="J14" s="7801"/>
      <c r="K14" s="1148"/>
    </row>
    <row r="15" spans="1:22" ht="11.25" customHeight="1">
      <c r="F15" s="1144">
        <v>1</v>
      </c>
      <c r="G15" s="608" t="s">
        <v>1104</v>
      </c>
      <c r="H15" s="1150">
        <f t="shared" ref="H15:H36" si="0">SUM(I15:J15)</f>
        <v>0</v>
      </c>
      <c r="I15" s="1150">
        <f>SUM(I16:I27)</f>
        <v>0</v>
      </c>
      <c r="J15" s="1139"/>
      <c r="K15" s="1148"/>
    </row>
    <row r="16" spans="1:22" ht="22.5" customHeight="1">
      <c r="F16" s="1144" t="s">
        <v>1105</v>
      </c>
      <c r="G16" s="1151" t="s">
        <v>1106</v>
      </c>
      <c r="H16" s="1150">
        <f t="shared" si="0"/>
        <v>0</v>
      </c>
      <c r="I16" s="1149"/>
      <c r="J16" s="1139"/>
      <c r="K16" s="1148"/>
    </row>
    <row r="17" spans="6:11" ht="22.5" customHeight="1">
      <c r="F17" s="1144" t="s">
        <v>1107</v>
      </c>
      <c r="G17" s="1151" t="s">
        <v>1108</v>
      </c>
      <c r="H17" s="1150">
        <f t="shared" si="0"/>
        <v>0</v>
      </c>
      <c r="I17" s="1149"/>
      <c r="J17" s="1139"/>
      <c r="K17" s="1148"/>
    </row>
    <row r="18" spans="6:11" ht="33.75" customHeight="1">
      <c r="F18" s="1144" t="s">
        <v>1109</v>
      </c>
      <c r="G18" s="1151" t="s">
        <v>1110</v>
      </c>
      <c r="H18" s="1150">
        <f t="shared" si="0"/>
        <v>0</v>
      </c>
      <c r="I18" s="1149"/>
      <c r="J18" s="1139"/>
      <c r="K18" s="1148"/>
    </row>
    <row r="19" spans="6:11" ht="33.75" customHeight="1">
      <c r="F19" s="1144" t="s">
        <v>1111</v>
      </c>
      <c r="G19" s="1151" t="s">
        <v>1112</v>
      </c>
      <c r="H19" s="1150">
        <f t="shared" si="0"/>
        <v>0</v>
      </c>
      <c r="I19" s="1149"/>
      <c r="J19" s="1139"/>
      <c r="K19" s="1148"/>
    </row>
    <row r="20" spans="6:11" ht="45" customHeight="1">
      <c r="F20" s="1144" t="s">
        <v>1113</v>
      </c>
      <c r="G20" s="1151" t="s">
        <v>1114</v>
      </c>
      <c r="H20" s="1150">
        <f t="shared" si="0"/>
        <v>0</v>
      </c>
      <c r="I20" s="1149"/>
      <c r="J20" s="1139"/>
      <c r="K20" s="1148"/>
    </row>
    <row r="21" spans="6:11" ht="33.75" customHeight="1">
      <c r="F21" s="1144" t="s">
        <v>1115</v>
      </c>
      <c r="G21" s="1151" t="s">
        <v>1116</v>
      </c>
      <c r="H21" s="1150">
        <f t="shared" si="0"/>
        <v>0</v>
      </c>
      <c r="I21" s="1149"/>
      <c r="J21" s="1139"/>
      <c r="K21" s="1148"/>
    </row>
    <row r="22" spans="6:11" ht="33.75" customHeight="1">
      <c r="F22" s="1144" t="s">
        <v>1117</v>
      </c>
      <c r="G22" s="1151" t="s">
        <v>1118</v>
      </c>
      <c r="H22" s="1150">
        <f t="shared" si="0"/>
        <v>0</v>
      </c>
      <c r="I22" s="1149"/>
      <c r="J22" s="1139"/>
      <c r="K22" s="1148"/>
    </row>
    <row r="23" spans="6:11" ht="22.5" customHeight="1">
      <c r="F23" s="1144" t="s">
        <v>1119</v>
      </c>
      <c r="G23" s="1151" t="s">
        <v>1120</v>
      </c>
      <c r="H23" s="1150">
        <f t="shared" si="0"/>
        <v>0</v>
      </c>
      <c r="I23" s="1149"/>
      <c r="J23" s="1139"/>
      <c r="K23" s="1148"/>
    </row>
    <row r="24" spans="6:11" ht="22.5" customHeight="1">
      <c r="F24" s="1144" t="s">
        <v>1121</v>
      </c>
      <c r="G24" s="1151" t="s">
        <v>1122</v>
      </c>
      <c r="H24" s="1150">
        <f t="shared" si="0"/>
        <v>0</v>
      </c>
      <c r="I24" s="1149"/>
      <c r="J24" s="1139"/>
      <c r="K24" s="1148"/>
    </row>
    <row r="25" spans="6:11" ht="33.75" customHeight="1">
      <c r="F25" s="1144" t="s">
        <v>1123</v>
      </c>
      <c r="G25" s="1151" t="s">
        <v>1124</v>
      </c>
      <c r="H25" s="1150">
        <f t="shared" si="0"/>
        <v>0</v>
      </c>
      <c r="I25" s="1149"/>
      <c r="J25" s="1139"/>
      <c r="K25" s="1148"/>
    </row>
    <row r="26" spans="6:11" ht="33.75" customHeight="1">
      <c r="F26" s="1144" t="s">
        <v>1125</v>
      </c>
      <c r="G26" s="1151" t="s">
        <v>1126</v>
      </c>
      <c r="H26" s="1150">
        <f t="shared" si="0"/>
        <v>0</v>
      </c>
      <c r="I26" s="1149"/>
      <c r="J26" s="1139"/>
      <c r="K26" s="1148"/>
    </row>
    <row r="27" spans="6:11" ht="11.25" customHeight="1">
      <c r="F27" s="1144" t="s">
        <v>1127</v>
      </c>
      <c r="G27" s="1151" t="s">
        <v>1128</v>
      </c>
      <c r="H27" s="1150">
        <f t="shared" si="0"/>
        <v>0</v>
      </c>
      <c r="I27" s="1149"/>
      <c r="J27" s="1139"/>
      <c r="K27" s="1148"/>
    </row>
    <row r="28" spans="6:11" ht="11.25" customHeight="1">
      <c r="F28" s="1144">
        <v>2</v>
      </c>
      <c r="G28" s="608" t="s">
        <v>1129</v>
      </c>
      <c r="H28" s="1150">
        <f t="shared" si="0"/>
        <v>0</v>
      </c>
      <c r="I28" s="1150">
        <f>SUM(I29:I31)</f>
        <v>0</v>
      </c>
      <c r="J28" s="1139"/>
      <c r="K28" s="1148"/>
    </row>
    <row r="29" spans="6:11" ht="11.25" customHeight="1">
      <c r="F29" s="1144" t="s">
        <v>791</v>
      </c>
      <c r="G29" s="1151" t="s">
        <v>1130</v>
      </c>
      <c r="H29" s="1150">
        <f t="shared" si="0"/>
        <v>0</v>
      </c>
      <c r="I29" s="1149"/>
      <c r="J29" s="1139"/>
      <c r="K29" s="1148"/>
    </row>
    <row r="30" spans="6:11" ht="11.25" customHeight="1">
      <c r="F30" s="1144" t="s">
        <v>481</v>
      </c>
      <c r="G30" s="1151" t="s">
        <v>1131</v>
      </c>
      <c r="H30" s="1150">
        <f t="shared" si="0"/>
        <v>0</v>
      </c>
      <c r="I30" s="1149"/>
      <c r="J30" s="1139"/>
      <c r="K30" s="1148"/>
    </row>
    <row r="31" spans="6:11" ht="11.25" customHeight="1">
      <c r="F31" s="1144" t="s">
        <v>484</v>
      </c>
      <c r="G31" s="1151" t="s">
        <v>1132</v>
      </c>
      <c r="H31" s="1150">
        <f t="shared" si="0"/>
        <v>0</v>
      </c>
      <c r="I31" s="1149"/>
      <c r="J31" s="1139"/>
      <c r="K31" s="1148"/>
    </row>
    <row r="32" spans="6:11" ht="11.25" customHeight="1">
      <c r="F32" s="1144">
        <v>3</v>
      </c>
      <c r="G32" s="608" t="s">
        <v>1133</v>
      </c>
      <c r="H32" s="1150">
        <f t="shared" si="0"/>
        <v>0</v>
      </c>
      <c r="I32" s="1150">
        <f>SUM(I33:I34)</f>
        <v>0</v>
      </c>
      <c r="J32" s="1139"/>
      <c r="K32" s="1148"/>
    </row>
    <row r="33" spans="6:11" ht="33.75" customHeight="1">
      <c r="F33" s="1144" t="s">
        <v>500</v>
      </c>
      <c r="G33" s="1151" t="s">
        <v>1134</v>
      </c>
      <c r="H33" s="1150">
        <f t="shared" si="0"/>
        <v>0</v>
      </c>
      <c r="I33" s="1149"/>
      <c r="J33" s="1139"/>
      <c r="K33" s="1148"/>
    </row>
    <row r="34" spans="6:11" ht="11.25" customHeight="1">
      <c r="F34" s="1144" t="s">
        <v>508</v>
      </c>
      <c r="G34" s="1151" t="s">
        <v>1135</v>
      </c>
      <c r="H34" s="1150">
        <f t="shared" si="0"/>
        <v>0</v>
      </c>
      <c r="I34" s="1149"/>
      <c r="J34" s="1139"/>
      <c r="K34" s="1148"/>
    </row>
    <row r="35" spans="6:11" ht="11.25" customHeight="1">
      <c r="F35" s="1144">
        <v>4</v>
      </c>
      <c r="G35" s="608" t="s">
        <v>1136</v>
      </c>
      <c r="H35" s="1150">
        <f t="shared" si="0"/>
        <v>0</v>
      </c>
      <c r="I35" s="1149"/>
      <c r="J35" s="1139"/>
      <c r="K35" s="1148"/>
    </row>
    <row r="36" spans="6:11" ht="11.25" customHeight="1">
      <c r="F36" s="1144"/>
      <c r="G36" s="611" t="s">
        <v>1137</v>
      </c>
      <c r="H36" s="1150">
        <f t="shared" si="0"/>
        <v>0</v>
      </c>
      <c r="I36" s="1150">
        <f>SUM(I15,I28,I32,I35)</f>
        <v>0</v>
      </c>
      <c r="J36" s="1139"/>
      <c r="K36" s="1148"/>
    </row>
    <row r="37" spans="6:11" ht="27.75" customHeight="1">
      <c r="F37" s="1145" t="s">
        <v>1138</v>
      </c>
      <c r="G37" s="7802" t="s">
        <v>1139</v>
      </c>
      <c r="H37" s="7802"/>
      <c r="I37" s="7802"/>
      <c r="J37" s="7802"/>
      <c r="K37" s="1148"/>
    </row>
    <row r="38" spans="6:11" ht="22.5" customHeight="1">
      <c r="F38" s="1144" t="s">
        <v>97</v>
      </c>
      <c r="G38" s="608" t="s">
        <v>1140</v>
      </c>
      <c r="H38" s="1150">
        <f t="shared" ref="H38:H58" si="1">SUM(I38:J38)</f>
        <v>0</v>
      </c>
      <c r="I38" s="1150">
        <f>SUM(I39,I44,I47)</f>
        <v>0</v>
      </c>
      <c r="J38" s="1139"/>
      <c r="K38" s="1148"/>
    </row>
    <row r="39" spans="6:11" ht="11.25" customHeight="1">
      <c r="F39" s="1144" t="s">
        <v>1105</v>
      </c>
      <c r="G39" s="1151" t="s">
        <v>1104</v>
      </c>
      <c r="H39" s="1150">
        <f t="shared" si="1"/>
        <v>0</v>
      </c>
      <c r="I39" s="1150">
        <f>SUM(I40:I43)</f>
        <v>0</v>
      </c>
      <c r="J39" s="1139"/>
      <c r="K39" s="1148"/>
    </row>
    <row r="40" spans="6:11" ht="22.5" customHeight="1">
      <c r="F40" s="1144" t="s">
        <v>1141</v>
      </c>
      <c r="G40" s="1152" t="s">
        <v>1142</v>
      </c>
      <c r="H40" s="1150">
        <f t="shared" si="1"/>
        <v>0</v>
      </c>
      <c r="I40" s="1149"/>
      <c r="J40" s="1139"/>
      <c r="K40" s="1148"/>
    </row>
    <row r="41" spans="6:11" ht="11.25" customHeight="1">
      <c r="F41" s="1144" t="s">
        <v>1143</v>
      </c>
      <c r="G41" s="1152" t="s">
        <v>1144</v>
      </c>
      <c r="H41" s="1150">
        <f t="shared" si="1"/>
        <v>0</v>
      </c>
      <c r="I41" s="1149"/>
      <c r="J41" s="1139"/>
      <c r="K41" s="1148"/>
    </row>
    <row r="42" spans="6:11" ht="11.25" customHeight="1">
      <c r="F42" s="1144" t="s">
        <v>1145</v>
      </c>
      <c r="G42" s="1152" t="s">
        <v>1146</v>
      </c>
      <c r="H42" s="1150">
        <f t="shared" si="1"/>
        <v>0</v>
      </c>
      <c r="I42" s="1149"/>
      <c r="J42" s="1139"/>
      <c r="K42" s="1148"/>
    </row>
    <row r="43" spans="6:11" ht="33.75" customHeight="1">
      <c r="F43" s="1144" t="s">
        <v>1147</v>
      </c>
      <c r="G43" s="1152" t="s">
        <v>1148</v>
      </c>
      <c r="H43" s="1150">
        <f t="shared" si="1"/>
        <v>0</v>
      </c>
      <c r="I43" s="1149"/>
      <c r="J43" s="1139"/>
      <c r="K43" s="1148"/>
    </row>
    <row r="44" spans="6:11" ht="11.25" customHeight="1">
      <c r="F44" s="1144" t="s">
        <v>1107</v>
      </c>
      <c r="G44" s="1151" t="s">
        <v>1133</v>
      </c>
      <c r="H44" s="1150">
        <f t="shared" si="1"/>
        <v>0</v>
      </c>
      <c r="I44" s="1150">
        <f>SUM(I45:I46)</f>
        <v>0</v>
      </c>
      <c r="J44" s="1139"/>
      <c r="K44" s="1148"/>
    </row>
    <row r="45" spans="6:11" ht="45" customHeight="1">
      <c r="F45" s="1144" t="s">
        <v>1149</v>
      </c>
      <c r="G45" s="1152" t="s">
        <v>1134</v>
      </c>
      <c r="H45" s="1150">
        <f t="shared" si="1"/>
        <v>0</v>
      </c>
      <c r="I45" s="1149"/>
      <c r="J45" s="1139"/>
      <c r="K45" s="1148"/>
    </row>
    <row r="46" spans="6:11" ht="11.25" customHeight="1">
      <c r="F46" s="1144" t="s">
        <v>1150</v>
      </c>
      <c r="G46" s="1152" t="s">
        <v>1135</v>
      </c>
      <c r="H46" s="1150">
        <f t="shared" si="1"/>
        <v>0</v>
      </c>
      <c r="I46" s="1149"/>
      <c r="J46" s="1139"/>
      <c r="K46" s="1148"/>
    </row>
    <row r="47" spans="6:11" ht="11.25" customHeight="1">
      <c r="F47" s="1144" t="s">
        <v>1109</v>
      </c>
      <c r="G47" s="1151" t="s">
        <v>1151</v>
      </c>
      <c r="H47" s="1150">
        <f t="shared" si="1"/>
        <v>0</v>
      </c>
      <c r="I47" s="1149"/>
      <c r="J47" s="1139"/>
      <c r="K47" s="1148"/>
    </row>
    <row r="48" spans="6:11" ht="22.5" customHeight="1">
      <c r="F48" s="1144" t="s">
        <v>100</v>
      </c>
      <c r="G48" s="608" t="s">
        <v>1152</v>
      </c>
      <c r="H48" s="1150">
        <f t="shared" si="1"/>
        <v>0</v>
      </c>
      <c r="I48" s="1150">
        <f>SUM(I49,I54,I57)</f>
        <v>0</v>
      </c>
      <c r="J48" s="1139"/>
      <c r="K48" s="1148"/>
    </row>
    <row r="49" spans="6:11" ht="11.25" customHeight="1">
      <c r="F49" s="1144" t="s">
        <v>791</v>
      </c>
      <c r="G49" s="1151" t="s">
        <v>1104</v>
      </c>
      <c r="H49" s="1150">
        <f t="shared" si="1"/>
        <v>0</v>
      </c>
      <c r="I49" s="1150">
        <f>SUM(I50:I53)</f>
        <v>0</v>
      </c>
      <c r="J49" s="1139"/>
      <c r="K49" s="1148"/>
    </row>
    <row r="50" spans="6:11" ht="22.5" customHeight="1">
      <c r="F50" s="1144" t="s">
        <v>794</v>
      </c>
      <c r="G50" s="1152" t="s">
        <v>1142</v>
      </c>
      <c r="H50" s="1150">
        <f t="shared" si="1"/>
        <v>0</v>
      </c>
      <c r="I50" s="1149"/>
      <c r="J50" s="1139"/>
      <c r="K50" s="1148"/>
    </row>
    <row r="51" spans="6:11" ht="11.25" customHeight="1">
      <c r="F51" s="1144" t="s">
        <v>797</v>
      </c>
      <c r="G51" s="1152" t="s">
        <v>1144</v>
      </c>
      <c r="H51" s="1150">
        <f t="shared" si="1"/>
        <v>0</v>
      </c>
      <c r="I51" s="1149"/>
      <c r="J51" s="1139"/>
      <c r="K51" s="1148"/>
    </row>
    <row r="52" spans="6:11" ht="11.25" customHeight="1">
      <c r="F52" s="1144" t="s">
        <v>1153</v>
      </c>
      <c r="G52" s="1152" t="s">
        <v>1146</v>
      </c>
      <c r="H52" s="1150">
        <f t="shared" si="1"/>
        <v>0</v>
      </c>
      <c r="I52" s="1149"/>
      <c r="J52" s="1139"/>
      <c r="K52" s="1148"/>
    </row>
    <row r="53" spans="6:11" ht="33.75" customHeight="1">
      <c r="F53" s="1144" t="s">
        <v>1154</v>
      </c>
      <c r="G53" s="1152" t="s">
        <v>1148</v>
      </c>
      <c r="H53" s="1150">
        <f t="shared" si="1"/>
        <v>0</v>
      </c>
      <c r="I53" s="1149"/>
      <c r="J53" s="1139"/>
      <c r="K53" s="1148"/>
    </row>
    <row r="54" spans="6:11" ht="11.25" customHeight="1">
      <c r="F54" s="1144" t="s">
        <v>481</v>
      </c>
      <c r="G54" s="1151" t="s">
        <v>1133</v>
      </c>
      <c r="H54" s="1150">
        <f t="shared" si="1"/>
        <v>0</v>
      </c>
      <c r="I54" s="1150">
        <f>SUM(I55:I56)</f>
        <v>0</v>
      </c>
      <c r="J54" s="1139"/>
      <c r="K54" s="1148"/>
    </row>
    <row r="55" spans="6:11" ht="45" customHeight="1">
      <c r="F55" s="1144" t="s">
        <v>801</v>
      </c>
      <c r="G55" s="1152" t="s">
        <v>1134</v>
      </c>
      <c r="H55" s="1150">
        <f t="shared" si="1"/>
        <v>0</v>
      </c>
      <c r="I55" s="1149"/>
      <c r="J55" s="1139"/>
      <c r="K55" s="1148"/>
    </row>
    <row r="56" spans="6:11" ht="11.25" customHeight="1">
      <c r="F56" s="1144" t="s">
        <v>803</v>
      </c>
      <c r="G56" s="1152" t="s">
        <v>1135</v>
      </c>
      <c r="H56" s="1150">
        <f t="shared" si="1"/>
        <v>0</v>
      </c>
      <c r="I56" s="1149"/>
      <c r="J56" s="1139"/>
      <c r="K56" s="1148"/>
    </row>
    <row r="57" spans="6:11" ht="11.25" customHeight="1">
      <c r="F57" s="1144" t="s">
        <v>484</v>
      </c>
      <c r="G57" s="1151" t="s">
        <v>1151</v>
      </c>
      <c r="H57" s="1150">
        <f t="shared" si="1"/>
        <v>0</v>
      </c>
      <c r="I57" s="1149"/>
      <c r="J57" s="1139"/>
      <c r="K57" s="1148"/>
    </row>
    <row r="58" spans="6:11" ht="11.25" customHeight="1">
      <c r="F58" s="1144"/>
      <c r="G58" s="1153" t="s">
        <v>1137</v>
      </c>
      <c r="H58" s="1150">
        <f t="shared" si="1"/>
        <v>0</v>
      </c>
      <c r="I58" s="1150">
        <f>SUM(I38,I48)</f>
        <v>0</v>
      </c>
      <c r="J58" s="1139"/>
      <c r="K58" s="1148"/>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4" hidden="1" customWidth="1"/>
    <col min="2" max="2" width="4.7109375" style="847" hidden="1" customWidth="1"/>
    <col min="3" max="4" width="4.7109375" style="974" hidden="1" customWidth="1"/>
    <col min="5" max="5" width="3.5703125" style="974" customWidth="1"/>
    <col min="6" max="6" width="6.7109375" style="974" customWidth="1"/>
    <col min="7" max="7" width="18.7109375" style="974" customWidth="1"/>
    <col min="8" max="8" width="27.28515625" style="974" customWidth="1"/>
    <col min="9" max="9" width="18.7109375" style="974" customWidth="1"/>
    <col min="10" max="14" width="0.85546875" style="974" hidden="1" customWidth="1"/>
    <col min="15" max="28" width="21.7109375" style="974" hidden="1" customWidth="1"/>
    <col min="29" max="71" width="0.85546875" style="974" hidden="1" customWidth="1"/>
    <col min="72" max="79" width="21.7109375" style="974" customWidth="1"/>
    <col min="80" max="81" width="29.140625" style="974" customWidth="1"/>
    <col min="82" max="89" width="21.7109375" style="974" customWidth="1"/>
    <col min="90" max="102" width="0.7109375" style="974" customWidth="1"/>
    <col min="103" max="114" width="21.7109375" style="974" hidden="1" customWidth="1"/>
    <col min="115" max="178" width="0.7109375" style="974" hidden="1" customWidth="1"/>
    <col min="179" max="179" width="0.140625" style="974" customWidth="1"/>
    <col min="180" max="184" width="9.140625" style="974"/>
  </cols>
  <sheetData>
    <row r="1" spans="2:180" s="838" customFormat="1" ht="12" hidden="1" customHeight="1">
      <c r="B1" s="836"/>
      <c r="C1" s="837"/>
      <c r="D1" s="837"/>
    </row>
    <row r="2" spans="2:180" s="838" customFormat="1" ht="12" hidden="1" customHeight="1">
      <c r="B2" s="836"/>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c r="DU2" s="837"/>
      <c r="DV2" s="837"/>
      <c r="DW2" s="837"/>
      <c r="DX2" s="837"/>
      <c r="DY2" s="837"/>
      <c r="DZ2" s="837"/>
      <c r="EA2" s="837"/>
      <c r="EB2" s="837"/>
      <c r="EC2" s="837"/>
      <c r="ED2" s="837"/>
      <c r="EE2" s="837"/>
      <c r="EF2" s="837"/>
      <c r="EG2" s="837"/>
      <c r="EH2" s="837"/>
      <c r="EI2" s="837"/>
      <c r="EJ2" s="837"/>
      <c r="EK2" s="837"/>
      <c r="EL2" s="837"/>
      <c r="EM2" s="837"/>
      <c r="EN2" s="837"/>
      <c r="EO2" s="837"/>
      <c r="EP2" s="837"/>
      <c r="EQ2" s="837"/>
      <c r="ER2" s="837"/>
      <c r="ES2" s="837"/>
      <c r="ET2" s="837"/>
      <c r="EU2" s="837"/>
      <c r="EV2" s="837"/>
      <c r="EW2" s="837"/>
      <c r="EX2" s="837"/>
      <c r="EY2" s="837"/>
      <c r="EZ2" s="837"/>
      <c r="FA2" s="837"/>
      <c r="FB2" s="837"/>
      <c r="FC2" s="837"/>
      <c r="FD2" s="837"/>
      <c r="FE2" s="837"/>
      <c r="FF2" s="837"/>
      <c r="FG2" s="837"/>
      <c r="FH2" s="837"/>
      <c r="FI2" s="837"/>
      <c r="FJ2" s="837"/>
      <c r="FK2" s="837"/>
      <c r="FL2" s="837"/>
      <c r="FM2" s="837"/>
      <c r="FN2" s="837"/>
      <c r="FO2" s="837"/>
      <c r="FP2" s="837"/>
      <c r="FQ2" s="837"/>
      <c r="FR2" s="837"/>
      <c r="FS2" s="837"/>
      <c r="FT2" s="837"/>
      <c r="FU2" s="837"/>
      <c r="FV2" s="837"/>
      <c r="FW2" s="837"/>
    </row>
    <row r="3" spans="2:180" s="838" customFormat="1" ht="12" hidden="1" customHeight="1">
      <c r="B3" s="836"/>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c r="DU3" s="837"/>
      <c r="DV3" s="837"/>
      <c r="DW3" s="837"/>
      <c r="DX3" s="837"/>
      <c r="DY3" s="837"/>
      <c r="DZ3" s="837"/>
      <c r="EA3" s="837"/>
      <c r="EB3" s="837"/>
      <c r="EC3" s="837"/>
      <c r="ED3" s="837"/>
      <c r="EE3" s="837"/>
      <c r="EF3" s="837"/>
      <c r="EG3" s="837"/>
      <c r="EH3" s="837"/>
      <c r="EI3" s="837"/>
      <c r="EJ3" s="837"/>
      <c r="EK3" s="837"/>
      <c r="EL3" s="837"/>
      <c r="EM3" s="837"/>
      <c r="EN3" s="837"/>
      <c r="EO3" s="837"/>
      <c r="EP3" s="837"/>
      <c r="EQ3" s="837"/>
      <c r="ER3" s="837"/>
      <c r="ES3" s="837"/>
      <c r="ET3" s="837"/>
      <c r="EU3" s="837"/>
      <c r="EV3" s="837"/>
      <c r="EW3" s="837"/>
      <c r="EX3" s="837"/>
      <c r="EY3" s="837"/>
      <c r="EZ3" s="837"/>
      <c r="FA3" s="837"/>
      <c r="FB3" s="837"/>
      <c r="FC3" s="837"/>
      <c r="FD3" s="837"/>
      <c r="FE3" s="837"/>
      <c r="FF3" s="837"/>
      <c r="FG3" s="837"/>
      <c r="FH3" s="837"/>
      <c r="FI3" s="837"/>
      <c r="FJ3" s="837"/>
      <c r="FK3" s="837"/>
      <c r="FL3" s="837"/>
      <c r="FM3" s="837"/>
      <c r="FN3" s="837"/>
      <c r="FO3" s="837"/>
      <c r="FP3" s="837"/>
      <c r="FQ3" s="837"/>
      <c r="FR3" s="837"/>
      <c r="FS3" s="837"/>
      <c r="FT3" s="837"/>
      <c r="FU3" s="837"/>
      <c r="FV3" s="837"/>
      <c r="FW3" s="837"/>
    </row>
    <row r="4" spans="2:180" ht="10.5" customHeight="1">
      <c r="B4" s="839"/>
      <c r="C4" s="840"/>
      <c r="D4" s="840"/>
      <c r="E4" s="840"/>
      <c r="F4" s="840"/>
      <c r="G4" s="840"/>
      <c r="H4" s="841"/>
      <c r="I4" s="841"/>
      <c r="J4" s="841"/>
      <c r="K4" s="841"/>
      <c r="L4" s="841"/>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42"/>
      <c r="CI4" s="842"/>
      <c r="CJ4" s="842"/>
      <c r="CK4" s="842"/>
      <c r="CL4" s="842"/>
      <c r="CM4" s="842"/>
      <c r="CN4" s="842"/>
      <c r="CO4" s="842"/>
      <c r="CP4" s="842"/>
      <c r="CQ4" s="842"/>
      <c r="CR4" s="842"/>
      <c r="CS4" s="842"/>
      <c r="CT4" s="842"/>
      <c r="CU4" s="842"/>
      <c r="CV4" s="842"/>
      <c r="CW4" s="842"/>
      <c r="CX4" s="842"/>
      <c r="CY4" s="842"/>
      <c r="CZ4" s="842"/>
      <c r="DA4" s="842"/>
      <c r="DB4" s="842"/>
      <c r="DC4" s="842"/>
      <c r="DD4" s="842"/>
      <c r="DE4" s="842"/>
      <c r="DF4" s="842"/>
      <c r="DG4" s="842"/>
      <c r="DH4" s="842"/>
      <c r="DI4" s="842"/>
      <c r="DJ4" s="842"/>
      <c r="DK4" s="842"/>
      <c r="DL4" s="842"/>
      <c r="DM4" s="842"/>
      <c r="DN4" s="842"/>
      <c r="DO4" s="842"/>
      <c r="DP4" s="842"/>
      <c r="DQ4" s="842"/>
      <c r="DR4" s="842"/>
      <c r="DS4" s="842"/>
      <c r="DT4" s="842"/>
      <c r="DU4" s="842"/>
      <c r="DV4" s="842"/>
      <c r="DW4" s="842"/>
      <c r="DX4" s="842"/>
      <c r="DY4" s="842"/>
      <c r="DZ4" s="842"/>
      <c r="EA4" s="842"/>
      <c r="EB4" s="842"/>
      <c r="EC4" s="842"/>
      <c r="ED4" s="842"/>
      <c r="EE4" s="842"/>
      <c r="EF4" s="842"/>
      <c r="EG4" s="842"/>
      <c r="EH4" s="842"/>
      <c r="EI4" s="842"/>
      <c r="EJ4" s="842"/>
      <c r="EK4" s="842"/>
      <c r="EL4" s="842"/>
      <c r="EM4" s="842"/>
      <c r="EN4" s="842"/>
      <c r="EO4" s="842"/>
      <c r="EP4" s="842"/>
      <c r="EQ4" s="842"/>
      <c r="ER4" s="842"/>
      <c r="ES4" s="842"/>
      <c r="ET4" s="842"/>
      <c r="EU4" s="842"/>
      <c r="EV4" s="842"/>
      <c r="EW4" s="842"/>
      <c r="EX4" s="842"/>
      <c r="EY4" s="842"/>
      <c r="EZ4" s="842"/>
      <c r="FA4" s="842"/>
      <c r="FB4" s="842"/>
      <c r="FC4" s="842"/>
      <c r="FD4" s="842"/>
      <c r="FE4" s="842"/>
      <c r="FF4" s="842"/>
      <c r="FG4" s="842"/>
      <c r="FH4" s="842"/>
      <c r="FI4" s="842"/>
      <c r="FJ4" s="842"/>
      <c r="FK4" s="842"/>
      <c r="FL4" s="842"/>
      <c r="FM4" s="842"/>
      <c r="FN4" s="842"/>
      <c r="FO4" s="842"/>
      <c r="FP4" s="842"/>
      <c r="FQ4" s="842"/>
      <c r="FR4" s="842"/>
      <c r="FS4" s="842"/>
      <c r="FT4" s="842"/>
      <c r="FU4" s="842"/>
      <c r="FV4" s="842"/>
      <c r="FW4" s="842"/>
    </row>
    <row r="5" spans="2:180" s="1792" customFormat="1" ht="25.5" customHeight="1">
      <c r="B5" s="1791"/>
      <c r="E5" s="1793"/>
      <c r="F5" s="7810"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год</v>
      </c>
      <c r="G5" s="7604"/>
      <c r="H5" s="7604"/>
      <c r="I5" s="7604"/>
      <c r="J5" s="7604"/>
      <c r="K5" s="7604"/>
      <c r="L5" s="7604"/>
      <c r="M5" s="7604"/>
      <c r="N5" s="7604"/>
      <c r="O5" s="7604"/>
      <c r="P5" s="7604"/>
      <c r="Q5" s="7604"/>
      <c r="R5" s="7604"/>
      <c r="S5" s="7604"/>
      <c r="T5" s="7604"/>
      <c r="U5" s="7604"/>
      <c r="V5" s="7604"/>
      <c r="W5" s="7604"/>
      <c r="X5" s="7604"/>
      <c r="Y5" s="7604"/>
      <c r="Z5" s="7604"/>
      <c r="AA5" s="7604"/>
      <c r="AB5" s="7604"/>
      <c r="AC5" s="7604"/>
      <c r="AD5" s="7604"/>
      <c r="AE5" s="7604"/>
      <c r="AF5" s="7604"/>
      <c r="AG5" s="7604"/>
      <c r="AH5" s="7604"/>
      <c r="AI5" s="7604"/>
      <c r="AJ5" s="7604"/>
      <c r="AK5" s="7604"/>
      <c r="AL5" s="7604"/>
      <c r="AM5" s="7604"/>
      <c r="AN5" s="7604"/>
      <c r="AO5" s="7604"/>
      <c r="AP5" s="7604"/>
      <c r="AQ5" s="7604"/>
      <c r="AR5" s="7604"/>
      <c r="AS5" s="7604"/>
      <c r="AT5" s="7604"/>
      <c r="AU5" s="7604"/>
      <c r="AV5" s="7604"/>
      <c r="AW5" s="7604"/>
      <c r="AX5" s="7604"/>
      <c r="AY5" s="7604"/>
      <c r="AZ5" s="7604"/>
      <c r="BA5" s="7604"/>
      <c r="BB5" s="7604"/>
      <c r="BC5" s="7604"/>
      <c r="BD5" s="7604"/>
      <c r="BE5" s="7604"/>
      <c r="BF5" s="7604"/>
      <c r="BG5" s="7604"/>
      <c r="BH5" s="7604"/>
      <c r="BI5" s="7604"/>
      <c r="BJ5" s="7604"/>
      <c r="BK5" s="7604"/>
      <c r="BL5" s="7604"/>
      <c r="BM5" s="7604"/>
      <c r="BN5" s="7604"/>
      <c r="BO5" s="7604"/>
      <c r="BP5" s="7604"/>
      <c r="BQ5" s="7604"/>
      <c r="BR5" s="7604"/>
      <c r="BS5" s="7604"/>
    </row>
    <row r="6" spans="2:180" s="1808" customFormat="1" ht="18" customHeight="1">
      <c r="B6" s="855"/>
      <c r="E6" s="856"/>
      <c r="F6" s="7654" t="str">
        <f>IF(org=0,"Не определено",org)</f>
        <v>ГУП СК "Ставрополькрайводоканал"</v>
      </c>
      <c r="G6" s="7655"/>
      <c r="H6" s="7655"/>
      <c r="I6" s="7655"/>
      <c r="J6" s="7655"/>
      <c r="K6" s="7655"/>
      <c r="L6" s="7655"/>
      <c r="M6" s="7655"/>
      <c r="N6" s="7655"/>
      <c r="O6" s="7655"/>
      <c r="P6" s="7655"/>
      <c r="Q6" s="7655"/>
      <c r="R6" s="7655"/>
      <c r="S6" s="7655"/>
      <c r="T6" s="7655"/>
      <c r="U6" s="7655"/>
      <c r="V6" s="7655"/>
      <c r="W6" s="7655"/>
      <c r="X6" s="7655"/>
      <c r="Y6" s="7655"/>
      <c r="Z6" s="7655"/>
      <c r="AA6" s="7655"/>
      <c r="AB6" s="7655"/>
      <c r="AC6" s="7655"/>
      <c r="AD6" s="7655"/>
      <c r="AE6" s="7655"/>
      <c r="AF6" s="7655"/>
      <c r="AG6" s="7655"/>
      <c r="AH6" s="7655"/>
      <c r="AI6" s="7655"/>
      <c r="AJ6" s="7655"/>
      <c r="AK6" s="7655"/>
      <c r="AL6" s="7655"/>
      <c r="AM6" s="7655"/>
      <c r="AN6" s="7655"/>
      <c r="AO6" s="7655"/>
      <c r="AP6" s="7655"/>
      <c r="AQ6" s="7655"/>
      <c r="AR6" s="7655"/>
      <c r="AS6" s="7655"/>
      <c r="AT6" s="7655"/>
      <c r="AU6" s="7655"/>
      <c r="AV6" s="7655"/>
      <c r="AW6" s="7655"/>
      <c r="AX6" s="7655"/>
      <c r="AY6" s="7655"/>
      <c r="AZ6" s="7655"/>
      <c r="BA6" s="7655"/>
      <c r="BB6" s="7655"/>
      <c r="BC6" s="7655"/>
      <c r="BD6" s="7655"/>
      <c r="BE6" s="7655"/>
      <c r="BF6" s="7655"/>
      <c r="BG6" s="7655"/>
      <c r="BH6" s="7655"/>
      <c r="BI6" s="7655"/>
      <c r="BJ6" s="7655"/>
      <c r="BK6" s="7655"/>
      <c r="BL6" s="7655"/>
      <c r="BM6" s="7655"/>
      <c r="BN6" s="7655"/>
      <c r="BO6" s="7655"/>
      <c r="BP6" s="7655"/>
      <c r="BQ6" s="7655"/>
      <c r="BR6" s="7655"/>
      <c r="BS6" s="7655"/>
    </row>
    <row r="7" spans="2:180" s="844" customFormat="1" ht="10.5" customHeight="1">
      <c r="B7" s="843"/>
      <c r="G7" s="846"/>
      <c r="H7" s="841"/>
      <c r="I7" s="841"/>
      <c r="J7" s="841"/>
      <c r="K7" s="841"/>
      <c r="L7" s="841"/>
    </row>
    <row r="8" spans="2:180" s="844" customFormat="1" ht="11.25" hidden="1" customHeight="1">
      <c r="B8" s="845"/>
      <c r="F8" s="967"/>
      <c r="G8" s="678"/>
      <c r="H8" s="281"/>
      <c r="I8" s="281"/>
      <c r="J8" s="281"/>
      <c r="K8" s="281"/>
      <c r="L8" s="281"/>
      <c r="M8" s="967"/>
      <c r="N8" s="967"/>
      <c r="O8" s="7828" t="s">
        <v>1155</v>
      </c>
      <c r="P8" s="7829"/>
      <c r="Q8" s="7829"/>
      <c r="R8" s="7829"/>
      <c r="S8" s="7829"/>
      <c r="T8" s="7829"/>
      <c r="U8" s="7829"/>
      <c r="V8" s="7829"/>
      <c r="W8" s="7829"/>
      <c r="X8" s="7829"/>
      <c r="Y8" s="7829"/>
      <c r="Z8" s="7829"/>
      <c r="AA8" s="7829"/>
      <c r="AB8" s="7829"/>
      <c r="AC8" s="7829"/>
      <c r="AD8" s="7829"/>
      <c r="AE8" s="7829"/>
      <c r="AF8" s="7829"/>
      <c r="AG8" s="7829"/>
      <c r="AH8" s="7829"/>
      <c r="AI8" s="7829"/>
      <c r="AJ8" s="7829"/>
      <c r="AK8" s="7829"/>
      <c r="AL8" s="7829"/>
      <c r="AM8" s="7829"/>
      <c r="AN8" s="7829"/>
      <c r="AO8" s="7829"/>
      <c r="AP8" s="7829"/>
      <c r="AQ8" s="7829"/>
      <c r="AR8" s="7829"/>
      <c r="AS8" s="7829"/>
      <c r="AT8" s="7829"/>
      <c r="AU8" s="7829"/>
      <c r="AV8" s="7829"/>
      <c r="AW8" s="7829"/>
      <c r="AX8" s="7829"/>
      <c r="AY8" s="7829"/>
      <c r="AZ8" s="7829"/>
      <c r="BA8" s="7829"/>
      <c r="BB8" s="7829"/>
      <c r="BC8" s="7829"/>
      <c r="BD8" s="7829"/>
      <c r="BE8" s="7829"/>
      <c r="BF8" s="7829"/>
      <c r="BG8" s="7829"/>
      <c r="BH8" s="7829"/>
      <c r="BI8" s="7829"/>
      <c r="BJ8" s="7829"/>
      <c r="BK8" s="7829"/>
      <c r="BL8" s="7829"/>
      <c r="BM8" s="7829"/>
      <c r="BN8" s="7829"/>
      <c r="BO8" s="7829"/>
      <c r="BP8" s="7829"/>
      <c r="BQ8" s="7829"/>
      <c r="BR8" s="7829"/>
      <c r="BS8" s="7830"/>
      <c r="BT8" s="7817"/>
      <c r="BU8" s="7818"/>
      <c r="BV8" s="7818"/>
      <c r="BW8" s="7818"/>
      <c r="BX8" s="7818"/>
      <c r="BY8" s="7818"/>
      <c r="BZ8" s="7818"/>
      <c r="CA8" s="7818"/>
      <c r="CB8" s="7818"/>
      <c r="CC8" s="7818"/>
      <c r="CD8" s="7818"/>
      <c r="CE8" s="7818"/>
      <c r="CF8" s="7818"/>
      <c r="CG8" s="7818"/>
      <c r="CH8" s="7818"/>
      <c r="CI8" s="7818"/>
      <c r="CJ8" s="7818"/>
      <c r="CK8" s="7818"/>
      <c r="CL8" s="7818"/>
      <c r="CM8" s="7818"/>
      <c r="CN8" s="7818"/>
      <c r="CO8" s="7818"/>
      <c r="CP8" s="7818"/>
      <c r="CQ8" s="7818"/>
      <c r="CR8" s="7818"/>
      <c r="CS8" s="7818"/>
      <c r="CT8" s="7818"/>
      <c r="CU8" s="7818"/>
      <c r="CV8" s="7818"/>
      <c r="CW8" s="7818"/>
      <c r="CX8" s="7819"/>
      <c r="CY8" s="7820"/>
      <c r="CZ8" s="7821"/>
      <c r="DA8" s="7821"/>
      <c r="DB8" s="7821"/>
      <c r="DC8" s="7821"/>
      <c r="DD8" s="7821"/>
      <c r="DE8" s="7821"/>
      <c r="DF8" s="7821"/>
      <c r="DG8" s="7821"/>
      <c r="DH8" s="7821"/>
      <c r="DI8" s="7821"/>
      <c r="DJ8" s="7821"/>
      <c r="DK8" s="7821"/>
      <c r="DL8" s="7821"/>
      <c r="DM8" s="7821"/>
      <c r="DN8" s="7821"/>
      <c r="DO8" s="7821"/>
      <c r="DP8" s="7821"/>
      <c r="DQ8" s="7821"/>
      <c r="DR8" s="7821"/>
      <c r="DS8" s="7821"/>
      <c r="DT8" s="7821"/>
      <c r="DU8" s="7821"/>
      <c r="DV8" s="7821"/>
      <c r="DW8" s="7821"/>
      <c r="DX8" s="7822"/>
      <c r="DY8" s="7823" t="s">
        <v>1156</v>
      </c>
      <c r="DZ8" s="7824"/>
      <c r="EA8" s="7824"/>
      <c r="EB8" s="7824"/>
      <c r="EC8" s="7824"/>
      <c r="ED8" s="7824"/>
      <c r="EE8" s="7824"/>
      <c r="EF8" s="7824"/>
      <c r="EG8" s="7824"/>
      <c r="EH8" s="7824"/>
      <c r="EI8" s="7824"/>
      <c r="EJ8" s="7824"/>
      <c r="EK8" s="7824"/>
      <c r="EL8" s="7824"/>
      <c r="EM8" s="7824"/>
      <c r="EN8" s="7824"/>
      <c r="EO8" s="7824"/>
      <c r="EP8" s="7824"/>
      <c r="EQ8" s="7824"/>
      <c r="ER8" s="7824"/>
      <c r="ES8" s="7824"/>
      <c r="ET8" s="7824"/>
      <c r="EU8" s="7824"/>
      <c r="EV8" s="7824"/>
      <c r="EW8" s="7824"/>
      <c r="EX8" s="7824"/>
      <c r="EY8" s="7824"/>
      <c r="EZ8" s="7824"/>
      <c r="FA8" s="7824"/>
      <c r="FB8" s="7824"/>
      <c r="FC8" s="7824"/>
      <c r="FD8" s="7824"/>
      <c r="FE8" s="7824"/>
      <c r="FF8" s="7824"/>
      <c r="FG8" s="7824"/>
      <c r="FH8" s="7824"/>
      <c r="FI8" s="7824"/>
      <c r="FJ8" s="7824"/>
      <c r="FK8" s="7824"/>
      <c r="FL8" s="7824"/>
      <c r="FM8" s="7824"/>
      <c r="FN8" s="7824"/>
      <c r="FO8" s="7824"/>
      <c r="FP8" s="7824"/>
      <c r="FQ8" s="7824"/>
      <c r="FR8" s="7824"/>
      <c r="FS8" s="7824"/>
      <c r="FT8" s="7824"/>
      <c r="FU8" s="7824"/>
      <c r="FV8" s="7824"/>
      <c r="FW8" s="7825"/>
      <c r="FX8" s="967"/>
    </row>
    <row r="9" spans="2:180" s="844" customFormat="1" ht="11.25" hidden="1" customHeight="1">
      <c r="B9" s="845"/>
      <c r="F9" s="967"/>
      <c r="G9" s="678"/>
      <c r="H9" s="281"/>
      <c r="I9" s="281"/>
      <c r="J9" s="281"/>
      <c r="K9" s="281"/>
      <c r="L9" s="281"/>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c r="AT9" s="967"/>
      <c r="AU9" s="967"/>
      <c r="AV9" s="967"/>
      <c r="AW9" s="967"/>
      <c r="AX9" s="967"/>
      <c r="AY9" s="967"/>
      <c r="AZ9" s="967"/>
      <c r="BA9" s="967"/>
      <c r="BB9" s="967"/>
      <c r="BC9" s="967"/>
      <c r="BD9" s="967"/>
      <c r="BE9" s="967"/>
      <c r="BF9" s="967"/>
      <c r="BG9" s="967"/>
      <c r="BH9" s="967"/>
      <c r="BI9" s="967"/>
      <c r="BJ9" s="967"/>
      <c r="BK9" s="967"/>
      <c r="BL9" s="967"/>
      <c r="BM9" s="967"/>
      <c r="BN9" s="967"/>
      <c r="BO9" s="967"/>
      <c r="BP9" s="967"/>
      <c r="BQ9" s="967"/>
      <c r="BR9" s="967"/>
      <c r="BS9" s="967"/>
      <c r="BT9" s="967"/>
      <c r="BU9" s="967"/>
      <c r="BV9" s="967"/>
      <c r="BW9" s="967"/>
      <c r="BX9" s="967"/>
      <c r="BY9" s="967"/>
      <c r="BZ9" s="967"/>
      <c r="CA9" s="967"/>
      <c r="CB9" s="967"/>
      <c r="CC9" s="967"/>
      <c r="CD9" s="967"/>
      <c r="CE9" s="967"/>
      <c r="CF9" s="967"/>
      <c r="CG9" s="967"/>
      <c r="CH9" s="967"/>
      <c r="CI9" s="967"/>
      <c r="CJ9" s="967"/>
      <c r="CK9" s="967"/>
      <c r="CL9" s="967"/>
      <c r="CM9" s="967"/>
      <c r="CN9" s="967"/>
      <c r="CO9" s="967"/>
      <c r="CP9" s="967"/>
      <c r="CQ9" s="967"/>
      <c r="CR9" s="967"/>
      <c r="CS9" s="967"/>
      <c r="CT9" s="967"/>
      <c r="CU9" s="967"/>
      <c r="CV9" s="967"/>
      <c r="CW9" s="967"/>
      <c r="CX9" s="967"/>
      <c r="CY9" s="967"/>
      <c r="CZ9" s="967"/>
      <c r="DA9" s="967"/>
      <c r="DB9" s="967"/>
      <c r="DC9" s="967"/>
      <c r="DD9" s="967"/>
      <c r="DE9" s="967"/>
      <c r="DF9" s="967"/>
      <c r="DG9" s="967"/>
      <c r="DH9" s="967"/>
      <c r="DI9" s="967"/>
      <c r="DJ9" s="967"/>
      <c r="DK9" s="967"/>
      <c r="DL9" s="967"/>
      <c r="DM9" s="967"/>
      <c r="DN9" s="967"/>
      <c r="DO9" s="967"/>
      <c r="DP9" s="967"/>
      <c r="DQ9" s="967"/>
      <c r="DR9" s="967"/>
      <c r="DS9" s="967"/>
      <c r="DT9" s="967"/>
      <c r="DU9" s="967"/>
      <c r="DV9" s="967"/>
      <c r="DW9" s="967"/>
      <c r="DX9" s="967"/>
      <c r="DY9" s="967"/>
      <c r="DZ9" s="967"/>
      <c r="EA9" s="967"/>
      <c r="EB9" s="967"/>
      <c r="EC9" s="967"/>
      <c r="ED9" s="967"/>
      <c r="EE9" s="967"/>
      <c r="EF9" s="967"/>
      <c r="EG9" s="967"/>
      <c r="EH9" s="967"/>
      <c r="EI9" s="967"/>
      <c r="EJ9" s="967"/>
      <c r="EK9" s="967"/>
      <c r="EL9" s="967"/>
      <c r="EM9" s="967"/>
      <c r="EN9" s="967"/>
      <c r="EO9" s="967"/>
      <c r="EP9" s="967"/>
      <c r="EQ9" s="967"/>
      <c r="ER9" s="967"/>
      <c r="ES9" s="967"/>
      <c r="ET9" s="967"/>
      <c r="EU9" s="967"/>
      <c r="EV9" s="967"/>
      <c r="EW9" s="967"/>
      <c r="EX9" s="967"/>
      <c r="EY9" s="967"/>
      <c r="EZ9" s="967"/>
      <c r="FA9" s="967"/>
      <c r="FB9" s="967"/>
      <c r="FC9" s="967"/>
      <c r="FD9" s="967"/>
      <c r="FE9" s="967"/>
      <c r="FF9" s="967"/>
      <c r="FG9" s="967"/>
      <c r="FH9" s="967"/>
      <c r="FI9" s="967"/>
      <c r="FJ9" s="967"/>
      <c r="FK9" s="967"/>
      <c r="FL9" s="967"/>
      <c r="FM9" s="967"/>
      <c r="FN9" s="967"/>
      <c r="FO9" s="967"/>
      <c r="FP9" s="967"/>
      <c r="FQ9" s="967"/>
      <c r="FR9" s="967"/>
      <c r="FS9" s="967"/>
      <c r="FT9" s="967"/>
      <c r="FU9" s="967"/>
      <c r="FV9" s="967"/>
      <c r="FW9" s="7826"/>
      <c r="FX9" s="967"/>
    </row>
    <row r="10" spans="2:180" s="844" customFormat="1" ht="11.25" customHeight="1">
      <c r="B10" s="845"/>
      <c r="F10" s="7792" t="s">
        <v>474</v>
      </c>
      <c r="G10" s="7808"/>
      <c r="H10" s="7808"/>
      <c r="I10" s="7808"/>
      <c r="J10" s="7808"/>
      <c r="K10" s="7808"/>
      <c r="L10" s="7808"/>
      <c r="M10" s="7808"/>
      <c r="N10" s="7808"/>
      <c r="O10" s="7808"/>
      <c r="P10" s="7808"/>
      <c r="Q10" s="7808"/>
      <c r="R10" s="7808"/>
      <c r="S10" s="7808"/>
      <c r="T10" s="7808"/>
      <c r="U10" s="7808"/>
      <c r="V10" s="7808"/>
      <c r="W10" s="7808"/>
      <c r="X10" s="7808"/>
      <c r="Y10" s="7808"/>
      <c r="Z10" s="7808"/>
      <c r="AA10" s="7808"/>
      <c r="AB10" s="7808"/>
      <c r="AC10" s="7808"/>
      <c r="AD10" s="7808"/>
      <c r="AE10" s="7808"/>
      <c r="AF10" s="7808"/>
      <c r="AG10" s="7808"/>
      <c r="AH10" s="7808"/>
      <c r="AI10" s="7808"/>
      <c r="AJ10" s="7808"/>
      <c r="AK10" s="7808"/>
      <c r="AL10" s="7808"/>
      <c r="AM10" s="7808"/>
      <c r="AN10" s="7808"/>
      <c r="AO10" s="7808"/>
      <c r="AP10" s="7808"/>
      <c r="AQ10" s="7808"/>
      <c r="AR10" s="7808"/>
      <c r="AS10" s="7808"/>
      <c r="AT10" s="7808"/>
      <c r="AU10" s="7808"/>
      <c r="AV10" s="7808"/>
      <c r="AW10" s="7808"/>
      <c r="AX10" s="7808"/>
      <c r="AY10" s="7808"/>
      <c r="AZ10" s="7808"/>
      <c r="BA10" s="7808"/>
      <c r="BB10" s="7808"/>
      <c r="BC10" s="7808"/>
      <c r="BD10" s="7808"/>
      <c r="BE10" s="7808"/>
      <c r="BF10" s="7808"/>
      <c r="BG10" s="7808"/>
      <c r="BH10" s="7808"/>
      <c r="BI10" s="7808"/>
      <c r="BJ10" s="7808"/>
      <c r="BK10" s="7808"/>
      <c r="BL10" s="7808"/>
      <c r="BM10" s="7808"/>
      <c r="BN10" s="7808"/>
      <c r="BO10" s="7808"/>
      <c r="BP10" s="7808"/>
      <c r="BQ10" s="7808"/>
      <c r="BR10" s="7808"/>
      <c r="BS10" s="7808"/>
      <c r="BT10" s="7808"/>
      <c r="BU10" s="7808"/>
      <c r="BV10" s="7808"/>
      <c r="BW10" s="7808"/>
      <c r="BX10" s="7808"/>
      <c r="BY10" s="7808"/>
      <c r="BZ10" s="7808"/>
      <c r="CA10" s="7808"/>
      <c r="CB10" s="7808"/>
      <c r="CC10" s="7808"/>
      <c r="CD10" s="7808"/>
      <c r="CE10" s="7808"/>
      <c r="CF10" s="7808"/>
      <c r="CG10" s="7808"/>
      <c r="CH10" s="7808"/>
      <c r="CI10" s="7808"/>
      <c r="CJ10" s="7808"/>
      <c r="CK10" s="7808"/>
      <c r="CL10" s="7808"/>
      <c r="CM10" s="7808"/>
      <c r="CN10" s="7808"/>
      <c r="CO10" s="7808"/>
      <c r="CP10" s="7808"/>
      <c r="CQ10" s="7808"/>
      <c r="CR10" s="7808"/>
      <c r="CS10" s="7808"/>
      <c r="CT10" s="7808"/>
      <c r="CU10" s="7808"/>
      <c r="CV10" s="7808"/>
      <c r="CW10" s="7808"/>
      <c r="CX10" s="7808"/>
      <c r="CY10" s="7808"/>
      <c r="CZ10" s="7808"/>
      <c r="DA10" s="7808"/>
      <c r="DB10" s="7808"/>
      <c r="DC10" s="7808"/>
      <c r="DD10" s="7808"/>
      <c r="DE10" s="7808"/>
      <c r="DF10" s="7808"/>
      <c r="DG10" s="7808"/>
      <c r="DH10" s="7808"/>
      <c r="DI10" s="7808"/>
      <c r="DJ10" s="7808"/>
      <c r="DK10" s="7808"/>
      <c r="DL10" s="7808"/>
      <c r="DM10" s="7808"/>
      <c r="DN10" s="7808"/>
      <c r="DO10" s="7808"/>
      <c r="DP10" s="7808"/>
      <c r="DQ10" s="7808"/>
      <c r="DR10" s="7808"/>
      <c r="DS10" s="7808"/>
      <c r="DT10" s="7808"/>
      <c r="DU10" s="7808"/>
      <c r="DV10" s="7808"/>
      <c r="DW10" s="7808"/>
      <c r="DX10" s="7808"/>
      <c r="DY10" s="7808"/>
      <c r="DZ10" s="7808"/>
      <c r="EA10" s="7808"/>
      <c r="EB10" s="7808"/>
      <c r="EC10" s="7808"/>
      <c r="ED10" s="7808"/>
      <c r="EE10" s="7808"/>
      <c r="EF10" s="7808"/>
      <c r="EG10" s="7808"/>
      <c r="EH10" s="7808"/>
      <c r="EI10" s="7808"/>
      <c r="EJ10" s="7808"/>
      <c r="EK10" s="7808"/>
      <c r="EL10" s="7808"/>
      <c r="EM10" s="7808"/>
      <c r="EN10" s="7808"/>
      <c r="EO10" s="7808"/>
      <c r="EP10" s="7808"/>
      <c r="EQ10" s="7808"/>
      <c r="ER10" s="7808"/>
      <c r="ES10" s="7808"/>
      <c r="ET10" s="7808"/>
      <c r="EU10" s="7808"/>
      <c r="EV10" s="7808"/>
      <c r="EW10" s="7808"/>
      <c r="EX10" s="7808"/>
      <c r="EY10" s="7808"/>
      <c r="EZ10" s="7808"/>
      <c r="FA10" s="7808"/>
      <c r="FB10" s="7808"/>
      <c r="FC10" s="7808"/>
      <c r="FD10" s="7808"/>
      <c r="FE10" s="7808"/>
      <c r="FF10" s="7808"/>
      <c r="FG10" s="7808"/>
      <c r="FH10" s="7808"/>
      <c r="FI10" s="7808"/>
      <c r="FJ10" s="7808"/>
      <c r="FK10" s="7808"/>
      <c r="FL10" s="7808"/>
      <c r="FM10" s="7808"/>
      <c r="FN10" s="7808"/>
      <c r="FO10" s="7808"/>
      <c r="FP10" s="7808"/>
      <c r="FQ10" s="7808"/>
      <c r="FR10" s="7808"/>
      <c r="FS10" s="7808"/>
      <c r="FT10" s="7808"/>
      <c r="FU10" s="7808"/>
      <c r="FV10" s="7809"/>
      <c r="FW10" s="7826"/>
      <c r="FX10" s="967"/>
    </row>
    <row r="11" spans="2:180" ht="12" customHeight="1">
      <c r="E11" s="848"/>
      <c r="F11" s="7644" t="s">
        <v>86</v>
      </c>
      <c r="G11" s="7644" t="s">
        <v>1157</v>
      </c>
      <c r="H11" s="7644" t="s">
        <v>1158</v>
      </c>
      <c r="I11" s="7644" t="s">
        <v>1159</v>
      </c>
      <c r="J11" s="7816"/>
      <c r="K11" s="7816"/>
      <c r="L11" s="7816"/>
      <c r="M11" s="7816"/>
      <c r="N11" s="7816"/>
      <c r="O11" s="7649" t="s">
        <v>1160</v>
      </c>
      <c r="P11" s="7649"/>
      <c r="Q11" s="7649"/>
      <c r="R11" s="7649"/>
      <c r="S11" s="7649"/>
      <c r="T11" s="7649"/>
      <c r="U11" s="7649"/>
      <c r="V11" s="7649"/>
      <c r="W11" s="7649"/>
      <c r="X11" s="7649"/>
      <c r="Y11" s="7649"/>
      <c r="Z11" s="7649"/>
      <c r="AA11" s="7649"/>
      <c r="AB11" s="7649"/>
      <c r="AC11" s="7814"/>
      <c r="AD11" s="7814"/>
      <c r="AE11" s="7814"/>
      <c r="AF11" s="7814"/>
      <c r="AG11" s="7814"/>
      <c r="AH11" s="7814"/>
      <c r="AI11" s="7814"/>
      <c r="AJ11" s="7814"/>
      <c r="AK11" s="7814"/>
      <c r="AL11" s="7814"/>
      <c r="AM11" s="7814"/>
      <c r="AN11" s="7814"/>
      <c r="AO11" s="7814"/>
      <c r="AP11" s="7814"/>
      <c r="AQ11" s="7814"/>
      <c r="AR11" s="7814"/>
      <c r="AS11" s="7814"/>
      <c r="AT11" s="7814"/>
      <c r="AU11" s="7814"/>
      <c r="AV11" s="7814"/>
      <c r="AW11" s="7814"/>
      <c r="AX11" s="7814"/>
      <c r="AY11" s="7814"/>
      <c r="AZ11" s="7814"/>
      <c r="BA11" s="7814"/>
      <c r="BB11" s="7814"/>
      <c r="BC11" s="7814"/>
      <c r="BD11" s="7814"/>
      <c r="BE11" s="7814"/>
      <c r="BF11" s="7814"/>
      <c r="BG11" s="7814"/>
      <c r="BH11" s="7814"/>
      <c r="BI11" s="7814"/>
      <c r="BJ11" s="7814"/>
      <c r="BK11" s="7814"/>
      <c r="BL11" s="7814"/>
      <c r="BM11" s="7814"/>
      <c r="BN11" s="7814"/>
      <c r="BO11" s="7814"/>
      <c r="BP11" s="7814"/>
      <c r="BQ11" s="7814"/>
      <c r="BR11" s="7814"/>
      <c r="BS11" s="7831"/>
      <c r="BT11" s="7811" t="s">
        <v>1160</v>
      </c>
      <c r="BU11" s="7812"/>
      <c r="BV11" s="7812"/>
      <c r="BW11" s="7812"/>
      <c r="BX11" s="7812"/>
      <c r="BY11" s="7812"/>
      <c r="BZ11" s="7812"/>
      <c r="CA11" s="7812"/>
      <c r="CB11" s="7812"/>
      <c r="CC11" s="7812"/>
      <c r="CD11" s="7812"/>
      <c r="CE11" s="7812"/>
      <c r="CF11" s="7812"/>
      <c r="CG11" s="7812"/>
      <c r="CH11" s="7812"/>
      <c r="CI11" s="7812"/>
      <c r="CJ11" s="7812"/>
      <c r="CK11" s="7813"/>
      <c r="CL11" s="7815"/>
      <c r="CM11" s="7814"/>
      <c r="CN11" s="7814"/>
      <c r="CO11" s="7814"/>
      <c r="CP11" s="7814"/>
      <c r="CQ11" s="7814"/>
      <c r="CR11" s="7814"/>
      <c r="CS11" s="7814"/>
      <c r="CT11" s="7814"/>
      <c r="CU11" s="7814"/>
      <c r="CV11" s="7814"/>
      <c r="CW11" s="7814"/>
      <c r="CX11" s="7831"/>
      <c r="CY11" s="7811" t="s">
        <v>1160</v>
      </c>
      <c r="CZ11" s="7812"/>
      <c r="DA11" s="7812"/>
      <c r="DB11" s="7812"/>
      <c r="DC11" s="7812"/>
      <c r="DD11" s="7812"/>
      <c r="DE11" s="7812"/>
      <c r="DF11" s="7812"/>
      <c r="DG11" s="7812"/>
      <c r="DH11" s="7812"/>
      <c r="DI11" s="7812"/>
      <c r="DJ11" s="7813"/>
      <c r="DK11" s="7815"/>
      <c r="DL11" s="7814"/>
      <c r="DM11" s="7814"/>
      <c r="DN11" s="7814"/>
      <c r="DO11" s="7814"/>
      <c r="DP11" s="7814"/>
      <c r="DQ11" s="7814"/>
      <c r="DR11" s="7814"/>
      <c r="DS11" s="7814"/>
      <c r="DT11" s="7814"/>
      <c r="DU11" s="7814"/>
      <c r="DV11" s="7814"/>
      <c r="DW11" s="7814"/>
      <c r="DX11" s="7814"/>
      <c r="DY11" s="7814"/>
      <c r="DZ11" s="7814"/>
      <c r="EA11" s="7814"/>
      <c r="EB11" s="7814"/>
      <c r="EC11" s="7814"/>
      <c r="ED11" s="7814"/>
      <c r="EE11" s="7814"/>
      <c r="EF11" s="7814"/>
      <c r="EG11" s="7814"/>
      <c r="EH11" s="7814"/>
      <c r="EI11" s="7814"/>
      <c r="EJ11" s="7814"/>
      <c r="EK11" s="7814"/>
      <c r="EL11" s="7814"/>
      <c r="EM11" s="7814"/>
      <c r="EN11" s="7814"/>
      <c r="EO11" s="7814"/>
      <c r="EP11" s="7814"/>
      <c r="EQ11" s="7814"/>
      <c r="ER11" s="7814"/>
      <c r="ES11" s="7814"/>
      <c r="ET11" s="7814"/>
      <c r="EU11" s="7814"/>
      <c r="EV11" s="7814"/>
      <c r="EW11" s="7814"/>
      <c r="EX11" s="7814"/>
      <c r="EY11" s="7814"/>
      <c r="EZ11" s="7814"/>
      <c r="FA11" s="7814"/>
      <c r="FB11" s="7814"/>
      <c r="FC11" s="7814"/>
      <c r="FD11" s="7814"/>
      <c r="FE11" s="7814"/>
      <c r="FF11" s="7814"/>
      <c r="FG11" s="7814"/>
      <c r="FH11" s="7814"/>
      <c r="FI11" s="7814"/>
      <c r="FJ11" s="7814"/>
      <c r="FK11" s="7814"/>
      <c r="FL11" s="7814"/>
      <c r="FM11" s="7814"/>
      <c r="FN11" s="7814"/>
      <c r="FO11" s="7814"/>
      <c r="FP11" s="7814"/>
      <c r="FQ11" s="7814"/>
      <c r="FR11" s="7814"/>
      <c r="FS11" s="7814"/>
      <c r="FT11" s="7814"/>
      <c r="FU11" s="7814"/>
      <c r="FV11" s="7814"/>
      <c r="FW11" s="7826"/>
      <c r="FX11" s="677"/>
    </row>
    <row r="12" spans="2:180" ht="12" customHeight="1">
      <c r="D12" s="849"/>
      <c r="E12" s="848"/>
      <c r="F12" s="7644"/>
      <c r="G12" s="7644"/>
      <c r="H12" s="7644"/>
      <c r="I12" s="7644"/>
      <c r="J12" s="7816"/>
      <c r="K12" s="7816"/>
      <c r="L12" s="7816"/>
      <c r="M12" s="7816"/>
      <c r="N12" s="7816"/>
      <c r="O12" s="7649" t="s">
        <v>1161</v>
      </c>
      <c r="P12" s="7649"/>
      <c r="Q12" s="7649"/>
      <c r="R12" s="7649"/>
      <c r="S12" s="7649" t="s">
        <v>1162</v>
      </c>
      <c r="T12" s="7649"/>
      <c r="U12" s="7649"/>
      <c r="V12" s="7649"/>
      <c r="W12" s="7649"/>
      <c r="X12" s="7649"/>
      <c r="Y12" s="7649"/>
      <c r="Z12" s="7649"/>
      <c r="AA12" s="7649"/>
      <c r="AB12" s="7649"/>
      <c r="AC12" s="7814"/>
      <c r="AD12" s="7814"/>
      <c r="AE12" s="7814"/>
      <c r="AF12" s="7814"/>
      <c r="AG12" s="7814"/>
      <c r="AH12" s="7814"/>
      <c r="AI12" s="7814"/>
      <c r="AJ12" s="7814"/>
      <c r="AK12" s="7814"/>
      <c r="AL12" s="7814"/>
      <c r="AM12" s="7814"/>
      <c r="AN12" s="7814"/>
      <c r="AO12" s="7814"/>
      <c r="AP12" s="7814"/>
      <c r="AQ12" s="7814"/>
      <c r="AR12" s="7814"/>
      <c r="AS12" s="7814"/>
      <c r="AT12" s="7814"/>
      <c r="AU12" s="7814"/>
      <c r="AV12" s="7814"/>
      <c r="AW12" s="7814"/>
      <c r="AX12" s="7814"/>
      <c r="AY12" s="7814"/>
      <c r="AZ12" s="7814"/>
      <c r="BA12" s="7814"/>
      <c r="BB12" s="7814"/>
      <c r="BC12" s="7814"/>
      <c r="BD12" s="7814"/>
      <c r="BE12" s="7814"/>
      <c r="BF12" s="7814"/>
      <c r="BG12" s="7814"/>
      <c r="BH12" s="7814"/>
      <c r="BI12" s="7814"/>
      <c r="BJ12" s="7814"/>
      <c r="BK12" s="7814"/>
      <c r="BL12" s="7814"/>
      <c r="BM12" s="7814"/>
      <c r="BN12" s="7814"/>
      <c r="BO12" s="7814"/>
      <c r="BP12" s="7814"/>
      <c r="BQ12" s="7814"/>
      <c r="BR12" s="7814"/>
      <c r="BS12" s="7831"/>
      <c r="BT12" s="7811" t="s">
        <v>1163</v>
      </c>
      <c r="BU12" s="7812"/>
      <c r="BV12" s="7812"/>
      <c r="BW12" s="7813"/>
      <c r="BX12" s="7811" t="s">
        <v>1164</v>
      </c>
      <c r="BY12" s="7812"/>
      <c r="BZ12" s="7812"/>
      <c r="CA12" s="7813"/>
      <c r="CB12" s="7811" t="s">
        <v>1165</v>
      </c>
      <c r="CC12" s="7813"/>
      <c r="CD12" s="7811" t="s">
        <v>1166</v>
      </c>
      <c r="CE12" s="7812"/>
      <c r="CF12" s="7812"/>
      <c r="CG12" s="7812"/>
      <c r="CH12" s="7812"/>
      <c r="CI12" s="7812"/>
      <c r="CJ12" s="7812"/>
      <c r="CK12" s="7813"/>
      <c r="CL12" s="7815"/>
      <c r="CM12" s="7814"/>
      <c r="CN12" s="7814"/>
      <c r="CO12" s="7814"/>
      <c r="CP12" s="7814"/>
      <c r="CQ12" s="7814"/>
      <c r="CR12" s="7814"/>
      <c r="CS12" s="7814"/>
      <c r="CT12" s="7814"/>
      <c r="CU12" s="7814"/>
      <c r="CV12" s="7814"/>
      <c r="CW12" s="7814"/>
      <c r="CX12" s="7831"/>
      <c r="CY12" s="7811" t="s">
        <v>1167</v>
      </c>
      <c r="CZ12" s="7812"/>
      <c r="DA12" s="7812"/>
      <c r="DB12" s="7812"/>
      <c r="DC12" s="7812"/>
      <c r="DD12" s="7813"/>
      <c r="DE12" s="7811" t="s">
        <v>1168</v>
      </c>
      <c r="DF12" s="7813"/>
      <c r="DG12" s="7811" t="s">
        <v>1166</v>
      </c>
      <c r="DH12" s="7812"/>
      <c r="DI12" s="7812"/>
      <c r="DJ12" s="7813"/>
      <c r="DK12" s="7815"/>
      <c r="DL12" s="7814"/>
      <c r="DM12" s="7814"/>
      <c r="DN12" s="7814"/>
      <c r="DO12" s="7814"/>
      <c r="DP12" s="7814"/>
      <c r="DQ12" s="7814"/>
      <c r="DR12" s="7814"/>
      <c r="DS12" s="7814"/>
      <c r="DT12" s="7814"/>
      <c r="DU12" s="7814"/>
      <c r="DV12" s="7814"/>
      <c r="DW12" s="7814"/>
      <c r="DX12" s="7814"/>
      <c r="DY12" s="7814"/>
      <c r="DZ12" s="7814"/>
      <c r="EA12" s="7814"/>
      <c r="EB12" s="7814"/>
      <c r="EC12" s="7814"/>
      <c r="ED12" s="7814"/>
      <c r="EE12" s="7814"/>
      <c r="EF12" s="7814"/>
      <c r="EG12" s="7814"/>
      <c r="EH12" s="7814"/>
      <c r="EI12" s="7814"/>
      <c r="EJ12" s="7814"/>
      <c r="EK12" s="7814"/>
      <c r="EL12" s="7814"/>
      <c r="EM12" s="7814"/>
      <c r="EN12" s="7814"/>
      <c r="EO12" s="7814"/>
      <c r="EP12" s="7814"/>
      <c r="EQ12" s="7814"/>
      <c r="ER12" s="7814"/>
      <c r="ES12" s="7814"/>
      <c r="ET12" s="7814"/>
      <c r="EU12" s="7814"/>
      <c r="EV12" s="7814"/>
      <c r="EW12" s="7814"/>
      <c r="EX12" s="7814"/>
      <c r="EY12" s="7814"/>
      <c r="EZ12" s="7814"/>
      <c r="FA12" s="7814"/>
      <c r="FB12" s="7814"/>
      <c r="FC12" s="7814"/>
      <c r="FD12" s="7814"/>
      <c r="FE12" s="7814"/>
      <c r="FF12" s="7814"/>
      <c r="FG12" s="7814"/>
      <c r="FH12" s="7814"/>
      <c r="FI12" s="7814"/>
      <c r="FJ12" s="7814"/>
      <c r="FK12" s="7814"/>
      <c r="FL12" s="7814"/>
      <c r="FM12" s="7814"/>
      <c r="FN12" s="7814"/>
      <c r="FO12" s="7814"/>
      <c r="FP12" s="7814"/>
      <c r="FQ12" s="7814"/>
      <c r="FR12" s="7814"/>
      <c r="FS12" s="7814"/>
      <c r="FT12" s="7814"/>
      <c r="FU12" s="7814"/>
      <c r="FV12" s="7814"/>
      <c r="FW12" s="7826"/>
      <c r="FX12" s="677"/>
    </row>
    <row r="13" spans="2:180" ht="36" customHeight="1">
      <c r="D13" s="849"/>
      <c r="E13" s="848"/>
      <c r="F13" s="7644"/>
      <c r="G13" s="7644"/>
      <c r="H13" s="7644"/>
      <c r="I13" s="7644"/>
      <c r="J13" s="7816"/>
      <c r="K13" s="7816"/>
      <c r="L13" s="7816"/>
      <c r="M13" s="7816"/>
      <c r="N13" s="7816"/>
      <c r="O13" s="7649" t="s">
        <v>1169</v>
      </c>
      <c r="P13" s="7649"/>
      <c r="Q13" s="7649"/>
      <c r="R13" s="7649"/>
      <c r="S13" s="7735" t="s">
        <v>1170</v>
      </c>
      <c r="T13" s="7794"/>
      <c r="U13" s="7559" t="s">
        <v>1171</v>
      </c>
      <c r="V13" s="7559"/>
      <c r="W13" s="7559"/>
      <c r="X13" s="7559"/>
      <c r="Y13" s="7559" t="s">
        <v>1172</v>
      </c>
      <c r="Z13" s="7559"/>
      <c r="AA13" s="7559"/>
      <c r="AB13" s="7559"/>
      <c r="AC13" s="7814"/>
      <c r="AD13" s="7814"/>
      <c r="AE13" s="7814"/>
      <c r="AF13" s="7814"/>
      <c r="AG13" s="7814"/>
      <c r="AH13" s="7814"/>
      <c r="AI13" s="7814"/>
      <c r="AJ13" s="7814"/>
      <c r="AK13" s="7814"/>
      <c r="AL13" s="7814"/>
      <c r="AM13" s="7814"/>
      <c r="AN13" s="7814"/>
      <c r="AO13" s="7814"/>
      <c r="AP13" s="7814"/>
      <c r="AQ13" s="7814"/>
      <c r="AR13" s="7814"/>
      <c r="AS13" s="7814"/>
      <c r="AT13" s="7814"/>
      <c r="AU13" s="7814"/>
      <c r="AV13" s="7814"/>
      <c r="AW13" s="7814"/>
      <c r="AX13" s="7814"/>
      <c r="AY13" s="7814"/>
      <c r="AZ13" s="7814"/>
      <c r="BA13" s="7814"/>
      <c r="BB13" s="7814"/>
      <c r="BC13" s="7814"/>
      <c r="BD13" s="7814"/>
      <c r="BE13" s="7814"/>
      <c r="BF13" s="7814"/>
      <c r="BG13" s="7814"/>
      <c r="BH13" s="7814"/>
      <c r="BI13" s="7814"/>
      <c r="BJ13" s="7814"/>
      <c r="BK13" s="7814"/>
      <c r="BL13" s="7814"/>
      <c r="BM13" s="7814"/>
      <c r="BN13" s="7814"/>
      <c r="BO13" s="7814"/>
      <c r="BP13" s="7814"/>
      <c r="BQ13" s="7814"/>
      <c r="BR13" s="7814"/>
      <c r="BS13" s="7831"/>
      <c r="BT13" s="7735" t="s">
        <v>1173</v>
      </c>
      <c r="BU13" s="7794"/>
      <c r="BV13" s="7735" t="s">
        <v>1174</v>
      </c>
      <c r="BW13" s="7794"/>
      <c r="BX13" s="7735" t="s">
        <v>1175</v>
      </c>
      <c r="BY13" s="7794"/>
      <c r="BZ13" s="7735" t="s">
        <v>1176</v>
      </c>
      <c r="CA13" s="7794"/>
      <c r="CB13" s="7735" t="s">
        <v>1177</v>
      </c>
      <c r="CC13" s="7794"/>
      <c r="CD13" s="7735" t="s">
        <v>1178</v>
      </c>
      <c r="CE13" s="7794"/>
      <c r="CF13" s="7735" t="s">
        <v>1179</v>
      </c>
      <c r="CG13" s="7794"/>
      <c r="CH13" s="7811" t="s">
        <v>1180</v>
      </c>
      <c r="CI13" s="7812"/>
      <c r="CJ13" s="7812"/>
      <c r="CK13" s="7813"/>
      <c r="CL13" s="7815"/>
      <c r="CM13" s="7814"/>
      <c r="CN13" s="7814"/>
      <c r="CO13" s="7814"/>
      <c r="CP13" s="7814"/>
      <c r="CQ13" s="7814"/>
      <c r="CR13" s="7814"/>
      <c r="CS13" s="7814"/>
      <c r="CT13" s="7814"/>
      <c r="CU13" s="7814"/>
      <c r="CV13" s="7814"/>
      <c r="CW13" s="7814"/>
      <c r="CX13" s="7831"/>
      <c r="CY13" s="7735" t="s">
        <v>1181</v>
      </c>
      <c r="CZ13" s="7794"/>
      <c r="DA13" s="7735" t="s">
        <v>1182</v>
      </c>
      <c r="DB13" s="7794"/>
      <c r="DC13" s="7735" t="s">
        <v>1183</v>
      </c>
      <c r="DD13" s="7794"/>
      <c r="DE13" s="7735" t="s">
        <v>1184</v>
      </c>
      <c r="DF13" s="7794"/>
      <c r="DG13" s="7811" t="s">
        <v>1185</v>
      </c>
      <c r="DH13" s="7812"/>
      <c r="DI13" s="7812"/>
      <c r="DJ13" s="7813"/>
      <c r="DK13" s="7815"/>
      <c r="DL13" s="7814"/>
      <c r="DM13" s="7814"/>
      <c r="DN13" s="7814"/>
      <c r="DO13" s="7814"/>
      <c r="DP13" s="7814"/>
      <c r="DQ13" s="7814"/>
      <c r="DR13" s="7814"/>
      <c r="DS13" s="7814"/>
      <c r="DT13" s="7814"/>
      <c r="DU13" s="7814"/>
      <c r="DV13" s="7814"/>
      <c r="DW13" s="7814"/>
      <c r="DX13" s="7814"/>
      <c r="DY13" s="7814"/>
      <c r="DZ13" s="7814"/>
      <c r="EA13" s="7814"/>
      <c r="EB13" s="7814"/>
      <c r="EC13" s="7814"/>
      <c r="ED13" s="7814"/>
      <c r="EE13" s="7814"/>
      <c r="EF13" s="7814"/>
      <c r="EG13" s="7814"/>
      <c r="EH13" s="7814"/>
      <c r="EI13" s="7814"/>
      <c r="EJ13" s="7814"/>
      <c r="EK13" s="7814"/>
      <c r="EL13" s="7814"/>
      <c r="EM13" s="7814"/>
      <c r="EN13" s="7814"/>
      <c r="EO13" s="7814"/>
      <c r="EP13" s="7814"/>
      <c r="EQ13" s="7814"/>
      <c r="ER13" s="7814"/>
      <c r="ES13" s="7814"/>
      <c r="ET13" s="7814"/>
      <c r="EU13" s="7814"/>
      <c r="EV13" s="7814"/>
      <c r="EW13" s="7814"/>
      <c r="EX13" s="7814"/>
      <c r="EY13" s="7814"/>
      <c r="EZ13" s="7814"/>
      <c r="FA13" s="7814"/>
      <c r="FB13" s="7814"/>
      <c r="FC13" s="7814"/>
      <c r="FD13" s="7814"/>
      <c r="FE13" s="7814"/>
      <c r="FF13" s="7814"/>
      <c r="FG13" s="7814"/>
      <c r="FH13" s="7814"/>
      <c r="FI13" s="7814"/>
      <c r="FJ13" s="7814"/>
      <c r="FK13" s="7814"/>
      <c r="FL13" s="7814"/>
      <c r="FM13" s="7814"/>
      <c r="FN13" s="7814"/>
      <c r="FO13" s="7814"/>
      <c r="FP13" s="7814"/>
      <c r="FQ13" s="7814"/>
      <c r="FR13" s="7814"/>
      <c r="FS13" s="7814"/>
      <c r="FT13" s="7814"/>
      <c r="FU13" s="7814"/>
      <c r="FV13" s="7814"/>
      <c r="FW13" s="7826"/>
      <c r="FX13" s="677"/>
    </row>
    <row r="14" spans="2:180" ht="36" customHeight="1">
      <c r="D14" s="849"/>
      <c r="E14" s="848"/>
      <c r="F14" s="7644"/>
      <c r="G14" s="7644"/>
      <c r="H14" s="7644"/>
      <c r="I14" s="7644"/>
      <c r="J14" s="7816"/>
      <c r="K14" s="7816"/>
      <c r="L14" s="7816"/>
      <c r="M14" s="7816"/>
      <c r="N14" s="7816"/>
      <c r="O14" s="7735" t="s">
        <v>1186</v>
      </c>
      <c r="P14" s="7794"/>
      <c r="Q14" s="7735" t="s">
        <v>1187</v>
      </c>
      <c r="R14" s="7794"/>
      <c r="S14" s="7736"/>
      <c r="T14" s="7650"/>
      <c r="U14" s="7735" t="s">
        <v>919</v>
      </c>
      <c r="V14" s="7794"/>
      <c r="W14" s="7735" t="s">
        <v>922</v>
      </c>
      <c r="X14" s="7794"/>
      <c r="Y14" s="7735" t="s">
        <v>919</v>
      </c>
      <c r="Z14" s="7794"/>
      <c r="AA14" s="7735" t="s">
        <v>929</v>
      </c>
      <c r="AB14" s="7794"/>
      <c r="AC14" s="7814"/>
      <c r="AD14" s="7814"/>
      <c r="AE14" s="7814"/>
      <c r="AF14" s="7814"/>
      <c r="AG14" s="7814"/>
      <c r="AH14" s="7814"/>
      <c r="AI14" s="7814"/>
      <c r="AJ14" s="7814"/>
      <c r="AK14" s="7814"/>
      <c r="AL14" s="7814"/>
      <c r="AM14" s="7814"/>
      <c r="AN14" s="7814"/>
      <c r="AO14" s="7814"/>
      <c r="AP14" s="7814"/>
      <c r="AQ14" s="7814"/>
      <c r="AR14" s="7814"/>
      <c r="AS14" s="7814"/>
      <c r="AT14" s="7814"/>
      <c r="AU14" s="7814"/>
      <c r="AV14" s="7814"/>
      <c r="AW14" s="7814"/>
      <c r="AX14" s="7814"/>
      <c r="AY14" s="7814"/>
      <c r="AZ14" s="7814"/>
      <c r="BA14" s="7814"/>
      <c r="BB14" s="7814"/>
      <c r="BC14" s="7814"/>
      <c r="BD14" s="7814"/>
      <c r="BE14" s="7814"/>
      <c r="BF14" s="7814"/>
      <c r="BG14" s="7814"/>
      <c r="BH14" s="7814"/>
      <c r="BI14" s="7814"/>
      <c r="BJ14" s="7814"/>
      <c r="BK14" s="7814"/>
      <c r="BL14" s="7814"/>
      <c r="BM14" s="7814"/>
      <c r="BN14" s="7814"/>
      <c r="BO14" s="7814"/>
      <c r="BP14" s="7814"/>
      <c r="BQ14" s="7814"/>
      <c r="BR14" s="7814"/>
      <c r="BS14" s="7831"/>
      <c r="BT14" s="7736"/>
      <c r="BU14" s="7650"/>
      <c r="BV14" s="7736"/>
      <c r="BW14" s="7650"/>
      <c r="BX14" s="7736"/>
      <c r="BY14" s="7650"/>
      <c r="BZ14" s="7736"/>
      <c r="CA14" s="7650"/>
      <c r="CB14" s="7736"/>
      <c r="CC14" s="7650"/>
      <c r="CD14" s="7736"/>
      <c r="CE14" s="7650"/>
      <c r="CF14" s="7736"/>
      <c r="CG14" s="7650"/>
      <c r="CH14" s="7735" t="s">
        <v>1188</v>
      </c>
      <c r="CI14" s="7794"/>
      <c r="CJ14" s="7735" t="s">
        <v>1189</v>
      </c>
      <c r="CK14" s="7794"/>
      <c r="CL14" s="7815"/>
      <c r="CM14" s="7814"/>
      <c r="CN14" s="7814"/>
      <c r="CO14" s="7814"/>
      <c r="CP14" s="7814"/>
      <c r="CQ14" s="7814"/>
      <c r="CR14" s="7814"/>
      <c r="CS14" s="7814"/>
      <c r="CT14" s="7814"/>
      <c r="CU14" s="7814"/>
      <c r="CV14" s="7814"/>
      <c r="CW14" s="7814"/>
      <c r="CX14" s="7831"/>
      <c r="CY14" s="7736"/>
      <c r="CZ14" s="7650"/>
      <c r="DA14" s="7736"/>
      <c r="DB14" s="7650"/>
      <c r="DC14" s="7736"/>
      <c r="DD14" s="7650"/>
      <c r="DE14" s="7736"/>
      <c r="DF14" s="7650"/>
      <c r="DG14" s="7735" t="s">
        <v>1190</v>
      </c>
      <c r="DH14" s="7794"/>
      <c r="DI14" s="7735" t="s">
        <v>1191</v>
      </c>
      <c r="DJ14" s="7794"/>
      <c r="DK14" s="7815"/>
      <c r="DL14" s="7814"/>
      <c r="DM14" s="7814"/>
      <c r="DN14" s="7814"/>
      <c r="DO14" s="7814"/>
      <c r="DP14" s="7814"/>
      <c r="DQ14" s="7814"/>
      <c r="DR14" s="7814"/>
      <c r="DS14" s="7814"/>
      <c r="DT14" s="7814"/>
      <c r="DU14" s="7814"/>
      <c r="DV14" s="7814"/>
      <c r="DW14" s="7814"/>
      <c r="DX14" s="7814"/>
      <c r="DY14" s="7814"/>
      <c r="DZ14" s="7814"/>
      <c r="EA14" s="7814"/>
      <c r="EB14" s="7814"/>
      <c r="EC14" s="7814"/>
      <c r="ED14" s="7814"/>
      <c r="EE14" s="7814"/>
      <c r="EF14" s="7814"/>
      <c r="EG14" s="7814"/>
      <c r="EH14" s="7814"/>
      <c r="EI14" s="7814"/>
      <c r="EJ14" s="7814"/>
      <c r="EK14" s="7814"/>
      <c r="EL14" s="7814"/>
      <c r="EM14" s="7814"/>
      <c r="EN14" s="7814"/>
      <c r="EO14" s="7814"/>
      <c r="EP14" s="7814"/>
      <c r="EQ14" s="7814"/>
      <c r="ER14" s="7814"/>
      <c r="ES14" s="7814"/>
      <c r="ET14" s="7814"/>
      <c r="EU14" s="7814"/>
      <c r="EV14" s="7814"/>
      <c r="EW14" s="7814"/>
      <c r="EX14" s="7814"/>
      <c r="EY14" s="7814"/>
      <c r="EZ14" s="7814"/>
      <c r="FA14" s="7814"/>
      <c r="FB14" s="7814"/>
      <c r="FC14" s="7814"/>
      <c r="FD14" s="7814"/>
      <c r="FE14" s="7814"/>
      <c r="FF14" s="7814"/>
      <c r="FG14" s="7814"/>
      <c r="FH14" s="7814"/>
      <c r="FI14" s="7814"/>
      <c r="FJ14" s="7814"/>
      <c r="FK14" s="7814"/>
      <c r="FL14" s="7814"/>
      <c r="FM14" s="7814"/>
      <c r="FN14" s="7814"/>
      <c r="FO14" s="7814"/>
      <c r="FP14" s="7814"/>
      <c r="FQ14" s="7814"/>
      <c r="FR14" s="7814"/>
      <c r="FS14" s="7814"/>
      <c r="FT14" s="7814"/>
      <c r="FU14" s="7814"/>
      <c r="FV14" s="7814"/>
      <c r="FW14" s="7826"/>
      <c r="FX14" s="677"/>
    </row>
    <row r="15" spans="2:180" ht="36" customHeight="1">
      <c r="D15" s="849"/>
      <c r="E15" s="848"/>
      <c r="F15" s="7644"/>
      <c r="G15" s="7644"/>
      <c r="H15" s="7644"/>
      <c r="I15" s="7644"/>
      <c r="J15" s="7816"/>
      <c r="K15" s="7816"/>
      <c r="L15" s="7816"/>
      <c r="M15" s="7816"/>
      <c r="N15" s="7816"/>
      <c r="O15" s="7737"/>
      <c r="P15" s="7795"/>
      <c r="Q15" s="7737"/>
      <c r="R15" s="7795"/>
      <c r="S15" s="7737"/>
      <c r="T15" s="7795"/>
      <c r="U15" s="7737"/>
      <c r="V15" s="7795"/>
      <c r="W15" s="7737"/>
      <c r="X15" s="7795"/>
      <c r="Y15" s="7737"/>
      <c r="Z15" s="7795"/>
      <c r="AA15" s="7737"/>
      <c r="AB15" s="7795"/>
      <c r="AC15" s="7814"/>
      <c r="AD15" s="7814"/>
      <c r="AE15" s="7814"/>
      <c r="AF15" s="7814"/>
      <c r="AG15" s="7814"/>
      <c r="AH15" s="7814"/>
      <c r="AI15" s="7814"/>
      <c r="AJ15" s="7814"/>
      <c r="AK15" s="7814"/>
      <c r="AL15" s="7814"/>
      <c r="AM15" s="7814"/>
      <c r="AN15" s="7814"/>
      <c r="AO15" s="7814"/>
      <c r="AP15" s="7814"/>
      <c r="AQ15" s="7814"/>
      <c r="AR15" s="7814"/>
      <c r="AS15" s="7814"/>
      <c r="AT15" s="7814"/>
      <c r="AU15" s="7814"/>
      <c r="AV15" s="7814"/>
      <c r="AW15" s="7814"/>
      <c r="AX15" s="7814"/>
      <c r="AY15" s="7814"/>
      <c r="AZ15" s="7814"/>
      <c r="BA15" s="7814"/>
      <c r="BB15" s="7814"/>
      <c r="BC15" s="7814"/>
      <c r="BD15" s="7814"/>
      <c r="BE15" s="7814"/>
      <c r="BF15" s="7814"/>
      <c r="BG15" s="7814"/>
      <c r="BH15" s="7814"/>
      <c r="BI15" s="7814"/>
      <c r="BJ15" s="7814"/>
      <c r="BK15" s="7814"/>
      <c r="BL15" s="7814"/>
      <c r="BM15" s="7814"/>
      <c r="BN15" s="7814"/>
      <c r="BO15" s="7814"/>
      <c r="BP15" s="7814"/>
      <c r="BQ15" s="7814"/>
      <c r="BR15" s="7814"/>
      <c r="BS15" s="7831"/>
      <c r="BT15" s="7737"/>
      <c r="BU15" s="7795"/>
      <c r="BV15" s="7737"/>
      <c r="BW15" s="7795"/>
      <c r="BX15" s="7737"/>
      <c r="BY15" s="7795"/>
      <c r="BZ15" s="7737"/>
      <c r="CA15" s="7795"/>
      <c r="CB15" s="7737"/>
      <c r="CC15" s="7795"/>
      <c r="CD15" s="7737"/>
      <c r="CE15" s="7795"/>
      <c r="CF15" s="7737"/>
      <c r="CG15" s="7795"/>
      <c r="CH15" s="7737"/>
      <c r="CI15" s="7795"/>
      <c r="CJ15" s="7737"/>
      <c r="CK15" s="7795"/>
      <c r="CL15" s="7815"/>
      <c r="CM15" s="7814"/>
      <c r="CN15" s="7814"/>
      <c r="CO15" s="7814"/>
      <c r="CP15" s="7814"/>
      <c r="CQ15" s="7814"/>
      <c r="CR15" s="7814"/>
      <c r="CS15" s="7814"/>
      <c r="CT15" s="7814"/>
      <c r="CU15" s="7814"/>
      <c r="CV15" s="7814"/>
      <c r="CW15" s="7814"/>
      <c r="CX15" s="7831"/>
      <c r="CY15" s="7737"/>
      <c r="CZ15" s="7795"/>
      <c r="DA15" s="7737"/>
      <c r="DB15" s="7795"/>
      <c r="DC15" s="7737"/>
      <c r="DD15" s="7795"/>
      <c r="DE15" s="7737"/>
      <c r="DF15" s="7795"/>
      <c r="DG15" s="7737"/>
      <c r="DH15" s="7795"/>
      <c r="DI15" s="7737"/>
      <c r="DJ15" s="7795"/>
      <c r="DK15" s="7815"/>
      <c r="DL15" s="7814"/>
      <c r="DM15" s="7814"/>
      <c r="DN15" s="7814"/>
      <c r="DO15" s="7814"/>
      <c r="DP15" s="7814"/>
      <c r="DQ15" s="7814"/>
      <c r="DR15" s="7814"/>
      <c r="DS15" s="7814"/>
      <c r="DT15" s="7814"/>
      <c r="DU15" s="7814"/>
      <c r="DV15" s="7814"/>
      <c r="DW15" s="7814"/>
      <c r="DX15" s="7814"/>
      <c r="DY15" s="7814"/>
      <c r="DZ15" s="7814"/>
      <c r="EA15" s="7814"/>
      <c r="EB15" s="7814"/>
      <c r="EC15" s="7814"/>
      <c r="ED15" s="7814"/>
      <c r="EE15" s="7814"/>
      <c r="EF15" s="7814"/>
      <c r="EG15" s="7814"/>
      <c r="EH15" s="7814"/>
      <c r="EI15" s="7814"/>
      <c r="EJ15" s="7814"/>
      <c r="EK15" s="7814"/>
      <c r="EL15" s="7814"/>
      <c r="EM15" s="7814"/>
      <c r="EN15" s="7814"/>
      <c r="EO15" s="7814"/>
      <c r="EP15" s="7814"/>
      <c r="EQ15" s="7814"/>
      <c r="ER15" s="7814"/>
      <c r="ES15" s="7814"/>
      <c r="ET15" s="7814"/>
      <c r="EU15" s="7814"/>
      <c r="EV15" s="7814"/>
      <c r="EW15" s="7814"/>
      <c r="EX15" s="7814"/>
      <c r="EY15" s="7814"/>
      <c r="EZ15" s="7814"/>
      <c r="FA15" s="7814"/>
      <c r="FB15" s="7814"/>
      <c r="FC15" s="7814"/>
      <c r="FD15" s="7814"/>
      <c r="FE15" s="7814"/>
      <c r="FF15" s="7814"/>
      <c r="FG15" s="7814"/>
      <c r="FH15" s="7814"/>
      <c r="FI15" s="7814"/>
      <c r="FJ15" s="7814"/>
      <c r="FK15" s="7814"/>
      <c r="FL15" s="7814"/>
      <c r="FM15" s="7814"/>
      <c r="FN15" s="7814"/>
      <c r="FO15" s="7814"/>
      <c r="FP15" s="7814"/>
      <c r="FQ15" s="7814"/>
      <c r="FR15" s="7814"/>
      <c r="FS15" s="7814"/>
      <c r="FT15" s="7814"/>
      <c r="FU15" s="7814"/>
      <c r="FV15" s="7814"/>
      <c r="FW15" s="7826"/>
      <c r="FX15" s="677"/>
    </row>
    <row r="16" spans="2:180" ht="12" customHeight="1">
      <c r="D16" s="849"/>
      <c r="E16" s="848"/>
      <c r="F16" s="7644"/>
      <c r="G16" s="7644"/>
      <c r="H16" s="7644"/>
      <c r="I16" s="7644"/>
      <c r="J16" s="7816"/>
      <c r="K16" s="7816"/>
      <c r="L16" s="7816"/>
      <c r="M16" s="7816"/>
      <c r="N16" s="7816"/>
      <c r="O16" s="7811" t="s">
        <v>909</v>
      </c>
      <c r="P16" s="7813"/>
      <c r="Q16" s="7811" t="s">
        <v>911</v>
      </c>
      <c r="R16" s="7813"/>
      <c r="S16" s="7811" t="s">
        <v>915</v>
      </c>
      <c r="T16" s="7813"/>
      <c r="U16" s="7811" t="s">
        <v>920</v>
      </c>
      <c r="V16" s="7813"/>
      <c r="W16" s="7811" t="s">
        <v>923</v>
      </c>
      <c r="X16" s="7813"/>
      <c r="Y16" s="7811" t="s">
        <v>927</v>
      </c>
      <c r="Z16" s="7813"/>
      <c r="AA16" s="7811" t="s">
        <v>930</v>
      </c>
      <c r="AB16" s="7813"/>
      <c r="AC16" s="7814"/>
      <c r="AD16" s="7814"/>
      <c r="AE16" s="7814"/>
      <c r="AF16" s="7814"/>
      <c r="AG16" s="7814"/>
      <c r="AH16" s="7814"/>
      <c r="AI16" s="7814"/>
      <c r="AJ16" s="7814"/>
      <c r="AK16" s="7814"/>
      <c r="AL16" s="7814"/>
      <c r="AM16" s="7814"/>
      <c r="AN16" s="7814"/>
      <c r="AO16" s="7814"/>
      <c r="AP16" s="7814"/>
      <c r="AQ16" s="7814"/>
      <c r="AR16" s="7814"/>
      <c r="AS16" s="7814"/>
      <c r="AT16" s="7814"/>
      <c r="AU16" s="7814"/>
      <c r="AV16" s="7814"/>
      <c r="AW16" s="7814"/>
      <c r="AX16" s="7814"/>
      <c r="AY16" s="7814"/>
      <c r="AZ16" s="7814"/>
      <c r="BA16" s="7814"/>
      <c r="BB16" s="7814"/>
      <c r="BC16" s="7814"/>
      <c r="BD16" s="7814"/>
      <c r="BE16" s="7814"/>
      <c r="BF16" s="7814"/>
      <c r="BG16" s="7814"/>
      <c r="BH16" s="7814"/>
      <c r="BI16" s="7814"/>
      <c r="BJ16" s="7814"/>
      <c r="BK16" s="7814"/>
      <c r="BL16" s="7814"/>
      <c r="BM16" s="7814"/>
      <c r="BN16" s="7814"/>
      <c r="BO16" s="7814"/>
      <c r="BP16" s="7814"/>
      <c r="BQ16" s="7814"/>
      <c r="BR16" s="7814"/>
      <c r="BS16" s="7831"/>
      <c r="BT16" s="7811" t="s">
        <v>727</v>
      </c>
      <c r="BU16" s="7813"/>
      <c r="BV16" s="7811" t="s">
        <v>727</v>
      </c>
      <c r="BW16" s="7813"/>
      <c r="BX16" s="7811" t="s">
        <v>727</v>
      </c>
      <c r="BY16" s="7813"/>
      <c r="BZ16" s="7811" t="s">
        <v>727</v>
      </c>
      <c r="CA16" s="7813"/>
      <c r="CB16" s="7811" t="s">
        <v>1192</v>
      </c>
      <c r="CC16" s="7813"/>
      <c r="CD16" s="7811" t="s">
        <v>727</v>
      </c>
      <c r="CE16" s="7813"/>
      <c r="CF16" s="7811" t="s">
        <v>1193</v>
      </c>
      <c r="CG16" s="7813"/>
      <c r="CH16" s="7811" t="s">
        <v>1194</v>
      </c>
      <c r="CI16" s="7813"/>
      <c r="CJ16" s="7811" t="s">
        <v>1194</v>
      </c>
      <c r="CK16" s="7813"/>
      <c r="CL16" s="7815"/>
      <c r="CM16" s="7814"/>
      <c r="CN16" s="7814"/>
      <c r="CO16" s="7814"/>
      <c r="CP16" s="7814"/>
      <c r="CQ16" s="7814"/>
      <c r="CR16" s="7814"/>
      <c r="CS16" s="7814"/>
      <c r="CT16" s="7814"/>
      <c r="CU16" s="7814"/>
      <c r="CV16" s="7814"/>
      <c r="CW16" s="7814"/>
      <c r="CX16" s="7831"/>
      <c r="CY16" s="7735" t="s">
        <v>727</v>
      </c>
      <c r="CZ16" s="7794"/>
      <c r="DA16" s="7735" t="s">
        <v>727</v>
      </c>
      <c r="DB16" s="7794"/>
      <c r="DC16" s="7735" t="s">
        <v>727</v>
      </c>
      <c r="DD16" s="7794"/>
      <c r="DE16" s="7811" t="s">
        <v>1192</v>
      </c>
      <c r="DF16" s="7813"/>
      <c r="DG16" s="7811" t="s">
        <v>1195</v>
      </c>
      <c r="DH16" s="7813"/>
      <c r="DI16" s="7811" t="s">
        <v>1195</v>
      </c>
      <c r="DJ16" s="7813"/>
      <c r="DK16" s="7815"/>
      <c r="DL16" s="7814"/>
      <c r="DM16" s="7814"/>
      <c r="DN16" s="7814"/>
      <c r="DO16" s="7814"/>
      <c r="DP16" s="7814"/>
      <c r="DQ16" s="7814"/>
      <c r="DR16" s="7814"/>
      <c r="DS16" s="7814"/>
      <c r="DT16" s="7814"/>
      <c r="DU16" s="7814"/>
      <c r="DV16" s="7814"/>
      <c r="DW16" s="7814"/>
      <c r="DX16" s="7814"/>
      <c r="DY16" s="7814"/>
      <c r="DZ16" s="7814"/>
      <c r="EA16" s="7814"/>
      <c r="EB16" s="7814"/>
      <c r="EC16" s="7814"/>
      <c r="ED16" s="7814"/>
      <c r="EE16" s="7814"/>
      <c r="EF16" s="7814"/>
      <c r="EG16" s="7814"/>
      <c r="EH16" s="7814"/>
      <c r="EI16" s="7814"/>
      <c r="EJ16" s="7814"/>
      <c r="EK16" s="7814"/>
      <c r="EL16" s="7814"/>
      <c r="EM16" s="7814"/>
      <c r="EN16" s="7814"/>
      <c r="EO16" s="7814"/>
      <c r="EP16" s="7814"/>
      <c r="EQ16" s="7814"/>
      <c r="ER16" s="7814"/>
      <c r="ES16" s="7814"/>
      <c r="ET16" s="7814"/>
      <c r="EU16" s="7814"/>
      <c r="EV16" s="7814"/>
      <c r="EW16" s="7814"/>
      <c r="EX16" s="7814"/>
      <c r="EY16" s="7814"/>
      <c r="EZ16" s="7814"/>
      <c r="FA16" s="7814"/>
      <c r="FB16" s="7814"/>
      <c r="FC16" s="7814"/>
      <c r="FD16" s="7814"/>
      <c r="FE16" s="7814"/>
      <c r="FF16" s="7814"/>
      <c r="FG16" s="7814"/>
      <c r="FH16" s="7814"/>
      <c r="FI16" s="7814"/>
      <c r="FJ16" s="7814"/>
      <c r="FK16" s="7814"/>
      <c r="FL16" s="7814"/>
      <c r="FM16" s="7814"/>
      <c r="FN16" s="7814"/>
      <c r="FO16" s="7814"/>
      <c r="FP16" s="7814"/>
      <c r="FQ16" s="7814"/>
      <c r="FR16" s="7814"/>
      <c r="FS16" s="7814"/>
      <c r="FT16" s="7814"/>
      <c r="FU16" s="7814"/>
      <c r="FV16" s="7814"/>
      <c r="FW16" s="7826"/>
      <c r="FX16" s="677"/>
    </row>
    <row r="17" spans="1:184" ht="15" customHeight="1">
      <c r="E17" s="848"/>
      <c r="F17" s="7644"/>
      <c r="G17" s="7644"/>
      <c r="H17" s="7644"/>
      <c r="I17" s="7644"/>
      <c r="J17" s="7816"/>
      <c r="K17" s="7816"/>
      <c r="L17" s="7816"/>
      <c r="M17" s="7816"/>
      <c r="N17" s="7816"/>
      <c r="O17" s="1098" t="s">
        <v>1196</v>
      </c>
      <c r="P17" s="1098" t="s">
        <v>1197</v>
      </c>
      <c r="Q17" s="1098" t="s">
        <v>1196</v>
      </c>
      <c r="R17" s="1098" t="s">
        <v>1197</v>
      </c>
      <c r="S17" s="1098" t="s">
        <v>1196</v>
      </c>
      <c r="T17" s="1098" t="s">
        <v>1197</v>
      </c>
      <c r="U17" s="1098" t="s">
        <v>1196</v>
      </c>
      <c r="V17" s="1098" t="s">
        <v>1197</v>
      </c>
      <c r="W17" s="1098" t="s">
        <v>1196</v>
      </c>
      <c r="X17" s="1098" t="s">
        <v>1197</v>
      </c>
      <c r="Y17" s="1098" t="s">
        <v>1196</v>
      </c>
      <c r="Z17" s="1098" t="s">
        <v>1197</v>
      </c>
      <c r="AA17" s="1098" t="s">
        <v>1196</v>
      </c>
      <c r="AB17" s="1098" t="s">
        <v>1197</v>
      </c>
      <c r="AC17" s="7814"/>
      <c r="AD17" s="7814"/>
      <c r="AE17" s="7814"/>
      <c r="AF17" s="7814"/>
      <c r="AG17" s="7814"/>
      <c r="AH17" s="7814"/>
      <c r="AI17" s="7814"/>
      <c r="AJ17" s="7814"/>
      <c r="AK17" s="7814"/>
      <c r="AL17" s="7814"/>
      <c r="AM17" s="7814"/>
      <c r="AN17" s="7814"/>
      <c r="AO17" s="7814"/>
      <c r="AP17" s="7814"/>
      <c r="AQ17" s="7814"/>
      <c r="AR17" s="7814"/>
      <c r="AS17" s="7814"/>
      <c r="AT17" s="7814"/>
      <c r="AU17" s="7814"/>
      <c r="AV17" s="7814"/>
      <c r="AW17" s="7814"/>
      <c r="AX17" s="7814"/>
      <c r="AY17" s="7814"/>
      <c r="AZ17" s="7814"/>
      <c r="BA17" s="7814"/>
      <c r="BB17" s="7814"/>
      <c r="BC17" s="7814"/>
      <c r="BD17" s="7814"/>
      <c r="BE17" s="7814"/>
      <c r="BF17" s="7814"/>
      <c r="BG17" s="7814"/>
      <c r="BH17" s="7814"/>
      <c r="BI17" s="7814"/>
      <c r="BJ17" s="7814"/>
      <c r="BK17" s="7814"/>
      <c r="BL17" s="7814"/>
      <c r="BM17" s="7814"/>
      <c r="BN17" s="7814"/>
      <c r="BO17" s="7814"/>
      <c r="BP17" s="7814"/>
      <c r="BQ17" s="7814"/>
      <c r="BR17" s="7814"/>
      <c r="BS17" s="7831"/>
      <c r="BT17" s="1098" t="s">
        <v>1196</v>
      </c>
      <c r="BU17" s="1098" t="s">
        <v>1197</v>
      </c>
      <c r="BV17" s="1098" t="s">
        <v>1196</v>
      </c>
      <c r="BW17" s="1098" t="s">
        <v>1197</v>
      </c>
      <c r="BX17" s="1098" t="s">
        <v>1196</v>
      </c>
      <c r="BY17" s="1098" t="s">
        <v>1197</v>
      </c>
      <c r="BZ17" s="1098" t="s">
        <v>1196</v>
      </c>
      <c r="CA17" s="1098" t="s">
        <v>1197</v>
      </c>
      <c r="CB17" s="1098" t="s">
        <v>1196</v>
      </c>
      <c r="CC17" s="1098" t="s">
        <v>1197</v>
      </c>
      <c r="CD17" s="1098" t="s">
        <v>1196</v>
      </c>
      <c r="CE17" s="1098" t="s">
        <v>1197</v>
      </c>
      <c r="CF17" s="1098" t="s">
        <v>1196</v>
      </c>
      <c r="CG17" s="1098" t="s">
        <v>1197</v>
      </c>
      <c r="CH17" s="1098" t="s">
        <v>1196</v>
      </c>
      <c r="CI17" s="1098" t="s">
        <v>1197</v>
      </c>
      <c r="CJ17" s="1098" t="s">
        <v>1196</v>
      </c>
      <c r="CK17" s="1098" t="s">
        <v>1197</v>
      </c>
      <c r="CL17" s="7815"/>
      <c r="CM17" s="7814"/>
      <c r="CN17" s="7814"/>
      <c r="CO17" s="7814"/>
      <c r="CP17" s="7814"/>
      <c r="CQ17" s="7814"/>
      <c r="CR17" s="7814"/>
      <c r="CS17" s="7814"/>
      <c r="CT17" s="7814"/>
      <c r="CU17" s="7814"/>
      <c r="CV17" s="7814"/>
      <c r="CW17" s="7814"/>
      <c r="CX17" s="7831"/>
      <c r="CY17" s="1098" t="s">
        <v>1196</v>
      </c>
      <c r="CZ17" s="1098" t="s">
        <v>1197</v>
      </c>
      <c r="DA17" s="1098" t="s">
        <v>1196</v>
      </c>
      <c r="DB17" s="1098" t="s">
        <v>1197</v>
      </c>
      <c r="DC17" s="1098" t="s">
        <v>1196</v>
      </c>
      <c r="DD17" s="1098" t="s">
        <v>1197</v>
      </c>
      <c r="DE17" s="1098" t="s">
        <v>1196</v>
      </c>
      <c r="DF17" s="1098" t="s">
        <v>1197</v>
      </c>
      <c r="DG17" s="1098" t="s">
        <v>1196</v>
      </c>
      <c r="DH17" s="1098" t="s">
        <v>1197</v>
      </c>
      <c r="DI17" s="1098" t="s">
        <v>1196</v>
      </c>
      <c r="DJ17" s="1098" t="s">
        <v>1197</v>
      </c>
      <c r="DK17" s="7815"/>
      <c r="DL17" s="7814"/>
      <c r="DM17" s="7814"/>
      <c r="DN17" s="7814"/>
      <c r="DO17" s="7814"/>
      <c r="DP17" s="7814"/>
      <c r="DQ17" s="7814"/>
      <c r="DR17" s="7814"/>
      <c r="DS17" s="7814"/>
      <c r="DT17" s="7814"/>
      <c r="DU17" s="7814"/>
      <c r="DV17" s="7814"/>
      <c r="DW17" s="7814"/>
      <c r="DX17" s="7814"/>
      <c r="DY17" s="7814"/>
      <c r="DZ17" s="7814"/>
      <c r="EA17" s="7814"/>
      <c r="EB17" s="7814"/>
      <c r="EC17" s="7814"/>
      <c r="ED17" s="7814"/>
      <c r="EE17" s="7814"/>
      <c r="EF17" s="7814"/>
      <c r="EG17" s="7814"/>
      <c r="EH17" s="7814"/>
      <c r="EI17" s="7814"/>
      <c r="EJ17" s="7814"/>
      <c r="EK17" s="7814"/>
      <c r="EL17" s="7814"/>
      <c r="EM17" s="7814"/>
      <c r="EN17" s="7814"/>
      <c r="EO17" s="7814"/>
      <c r="EP17" s="7814"/>
      <c r="EQ17" s="7814"/>
      <c r="ER17" s="7814"/>
      <c r="ES17" s="7814"/>
      <c r="ET17" s="7814"/>
      <c r="EU17" s="7814"/>
      <c r="EV17" s="7814"/>
      <c r="EW17" s="7814"/>
      <c r="EX17" s="7814"/>
      <c r="EY17" s="7814"/>
      <c r="EZ17" s="7814"/>
      <c r="FA17" s="7814"/>
      <c r="FB17" s="7814"/>
      <c r="FC17" s="7814"/>
      <c r="FD17" s="7814"/>
      <c r="FE17" s="7814"/>
      <c r="FF17" s="7814"/>
      <c r="FG17" s="7814"/>
      <c r="FH17" s="7814"/>
      <c r="FI17" s="7814"/>
      <c r="FJ17" s="7814"/>
      <c r="FK17" s="7814"/>
      <c r="FL17" s="7814"/>
      <c r="FM17" s="7814"/>
      <c r="FN17" s="7814"/>
      <c r="FO17" s="7814"/>
      <c r="FP17" s="7814"/>
      <c r="FQ17" s="7814"/>
      <c r="FR17" s="7814"/>
      <c r="FS17" s="7814"/>
      <c r="FT17" s="7814"/>
      <c r="FU17" s="7814"/>
      <c r="FV17" s="7814"/>
      <c r="FW17" s="7827"/>
      <c r="FX17" s="677"/>
    </row>
    <row r="18" spans="1:184" s="838" customFormat="1" ht="12" hidden="1" customHeight="1">
      <c r="B18" s="836"/>
      <c r="E18" s="850"/>
      <c r="F18" s="1099"/>
      <c r="G18" s="1099"/>
      <c r="H18" s="1099"/>
      <c r="I18" s="1099"/>
      <c r="J18" s="1100"/>
      <c r="K18" s="1100"/>
      <c r="L18" s="1100"/>
      <c r="M18" s="1100"/>
      <c r="N18" s="1100"/>
      <c r="O18" s="1099"/>
      <c r="P18" s="1099"/>
      <c r="Q18" s="1099"/>
      <c r="R18" s="1099"/>
      <c r="S18" s="1099"/>
      <c r="T18" s="1099"/>
      <c r="U18" s="1101"/>
      <c r="V18" s="1101"/>
      <c r="W18" s="1101"/>
      <c r="X18" s="1101"/>
      <c r="Y18" s="1101"/>
      <c r="Z18" s="1101"/>
      <c r="AA18" s="1101"/>
      <c r="AB18" s="1099"/>
      <c r="AC18" s="1100"/>
      <c r="AD18" s="1100"/>
      <c r="AE18" s="1100"/>
      <c r="AF18" s="1100"/>
      <c r="AG18" s="1100"/>
      <c r="AH18" s="1100"/>
      <c r="AI18" s="1100"/>
      <c r="AJ18" s="1100"/>
      <c r="AK18" s="1100"/>
      <c r="AL18" s="1100"/>
      <c r="AM18" s="1100"/>
      <c r="AN18" s="1100"/>
      <c r="AO18" s="1100"/>
      <c r="AP18" s="1100"/>
      <c r="AQ18" s="1100"/>
      <c r="AR18" s="1100"/>
      <c r="AS18" s="1100"/>
      <c r="AT18" s="1100"/>
      <c r="AU18" s="1100"/>
      <c r="AV18" s="1100"/>
      <c r="AW18" s="1100"/>
      <c r="AX18" s="1100"/>
      <c r="AY18" s="1100"/>
      <c r="AZ18" s="1100"/>
      <c r="BA18" s="1100"/>
      <c r="BB18" s="1100"/>
      <c r="BC18" s="1100"/>
      <c r="BD18" s="1100"/>
      <c r="BE18" s="1100"/>
      <c r="BF18" s="1100"/>
      <c r="BG18" s="1100"/>
      <c r="BH18" s="1100"/>
      <c r="BI18" s="1100"/>
      <c r="BJ18" s="1100"/>
      <c r="BK18" s="1100"/>
      <c r="BL18" s="1100"/>
      <c r="BM18" s="1100"/>
      <c r="BN18" s="1100"/>
      <c r="BO18" s="1100"/>
      <c r="BP18" s="1100"/>
      <c r="BQ18" s="1100"/>
      <c r="BR18" s="1100"/>
      <c r="BS18" s="1100"/>
      <c r="BT18" s="1102"/>
      <c r="BU18" s="1102"/>
      <c r="BV18" s="1102"/>
      <c r="BW18" s="1102"/>
      <c r="BX18" s="1102"/>
      <c r="BY18" s="1102"/>
      <c r="BZ18" s="1102"/>
      <c r="CA18" s="1102"/>
      <c r="CB18" s="1102"/>
      <c r="CC18" s="1102"/>
      <c r="CD18" s="1102"/>
      <c r="CE18" s="1102"/>
      <c r="CF18" s="1102"/>
      <c r="CG18" s="1102"/>
      <c r="CH18" s="1102"/>
      <c r="CI18" s="1102"/>
      <c r="CJ18" s="1102"/>
      <c r="CK18" s="1102"/>
      <c r="CL18" s="1100"/>
      <c r="CM18" s="1100"/>
      <c r="CN18" s="1100"/>
      <c r="CO18" s="1100"/>
      <c r="CP18" s="1100"/>
      <c r="CQ18" s="1100"/>
      <c r="CR18" s="1100"/>
      <c r="CS18" s="1100"/>
      <c r="CT18" s="1100"/>
      <c r="CU18" s="1100"/>
      <c r="CV18" s="1100"/>
      <c r="CW18" s="1100"/>
      <c r="CX18" s="1100"/>
      <c r="CY18" s="1102"/>
      <c r="CZ18" s="1102"/>
      <c r="DA18" s="1102"/>
      <c r="DB18" s="1102"/>
      <c r="DC18" s="1102"/>
      <c r="DD18" s="1102"/>
      <c r="DE18" s="1102"/>
      <c r="DF18" s="1102"/>
      <c r="DG18" s="1102"/>
      <c r="DH18" s="1102"/>
      <c r="DI18" s="1102"/>
      <c r="DJ18" s="1102"/>
      <c r="DK18" s="1100"/>
      <c r="DL18" s="1100"/>
      <c r="DM18" s="1100"/>
      <c r="DN18" s="1100"/>
      <c r="DO18" s="1100"/>
      <c r="DP18" s="1100"/>
      <c r="DQ18" s="1100"/>
      <c r="DR18" s="1100"/>
      <c r="DS18" s="1100"/>
      <c r="DT18" s="1100"/>
      <c r="DU18" s="1100"/>
      <c r="DV18" s="1100"/>
      <c r="DW18" s="1100"/>
      <c r="DX18" s="1100"/>
      <c r="DY18" s="1100"/>
      <c r="DZ18" s="1100"/>
      <c r="EA18" s="1100"/>
      <c r="EB18" s="1100"/>
      <c r="EC18" s="1100"/>
      <c r="ED18" s="1100"/>
      <c r="EE18" s="1100"/>
      <c r="EF18" s="1100"/>
      <c r="EG18" s="1100"/>
      <c r="EH18" s="1100"/>
      <c r="EI18" s="1100"/>
      <c r="EJ18" s="1100"/>
      <c r="EK18" s="1100"/>
      <c r="EL18" s="1100"/>
      <c r="EM18" s="1100"/>
      <c r="EN18" s="1100"/>
      <c r="EO18" s="1100"/>
      <c r="EP18" s="1100"/>
      <c r="EQ18" s="1100"/>
      <c r="ER18" s="1100"/>
      <c r="ES18" s="1100"/>
      <c r="ET18" s="1100"/>
      <c r="EU18" s="1100"/>
      <c r="EV18" s="1100"/>
      <c r="EW18" s="1100"/>
      <c r="EX18" s="1100"/>
      <c r="EY18" s="1100"/>
      <c r="EZ18" s="1100"/>
      <c r="FA18" s="1100"/>
      <c r="FB18" s="1100"/>
      <c r="FC18" s="1100"/>
      <c r="FD18" s="1100"/>
      <c r="FE18" s="1100"/>
      <c r="FF18" s="1100"/>
      <c r="FG18" s="1100"/>
      <c r="FH18" s="1100"/>
      <c r="FI18" s="1100"/>
      <c r="FJ18" s="1100"/>
      <c r="FK18" s="1100"/>
      <c r="FL18" s="1100"/>
      <c r="FM18" s="1100"/>
      <c r="FN18" s="1100"/>
      <c r="FO18" s="1100"/>
      <c r="FP18" s="1100"/>
      <c r="FQ18" s="1100"/>
      <c r="FR18" s="1100"/>
      <c r="FS18" s="1100"/>
      <c r="FT18" s="1100"/>
      <c r="FU18" s="1100"/>
      <c r="FV18" s="1100"/>
      <c r="FW18" s="1099"/>
      <c r="FX18" s="1103"/>
    </row>
    <row r="19" spans="1:184" s="838" customFormat="1" ht="11.25" hidden="1" customHeight="1">
      <c r="B19" s="836"/>
      <c r="E19" s="850"/>
      <c r="F19" s="1099"/>
      <c r="G19" s="1099"/>
      <c r="H19" s="1099"/>
      <c r="I19" s="1099"/>
      <c r="J19" s="1099"/>
      <c r="K19" s="1099"/>
      <c r="L19" s="1099"/>
      <c r="M19" s="1099"/>
      <c r="N19" s="1099"/>
      <c r="O19" s="1099"/>
      <c r="P19" s="1099"/>
      <c r="Q19" s="1099"/>
      <c r="R19" s="1099"/>
      <c r="S19" s="1099"/>
      <c r="T19" s="1099"/>
      <c r="U19" s="1101"/>
      <c r="V19" s="1101"/>
      <c r="W19" s="1101"/>
      <c r="X19" s="1101"/>
      <c r="Y19" s="1101"/>
      <c r="Z19" s="1101"/>
      <c r="AA19" s="1101"/>
      <c r="AB19" s="1099"/>
      <c r="AC19" s="1099"/>
      <c r="AD19" s="1099"/>
      <c r="AE19" s="1099"/>
      <c r="AF19" s="1099"/>
      <c r="AG19" s="1099"/>
      <c r="AH19" s="1099"/>
      <c r="AI19" s="1099"/>
      <c r="AJ19" s="1099"/>
      <c r="AK19" s="1099"/>
      <c r="AL19" s="1099"/>
      <c r="AM19" s="1099"/>
      <c r="AN19" s="1099"/>
      <c r="AO19" s="1099"/>
      <c r="AP19" s="1099"/>
      <c r="AQ19" s="1099"/>
      <c r="AR19" s="1099"/>
      <c r="AS19" s="1099"/>
      <c r="AT19" s="1099"/>
      <c r="AU19" s="1099"/>
      <c r="AV19" s="1099"/>
      <c r="AW19" s="1099"/>
      <c r="AX19" s="1099"/>
      <c r="AY19" s="1099"/>
      <c r="AZ19" s="1099"/>
      <c r="BA19" s="1099"/>
      <c r="BB19" s="1099"/>
      <c r="BC19" s="1099"/>
      <c r="BD19" s="1099"/>
      <c r="BE19" s="1099"/>
      <c r="BF19" s="1099"/>
      <c r="BG19" s="1099"/>
      <c r="BH19" s="1099"/>
      <c r="BI19" s="1099"/>
      <c r="BJ19" s="1099"/>
      <c r="BK19" s="1099"/>
      <c r="BL19" s="1099"/>
      <c r="BM19" s="1099"/>
      <c r="BN19" s="1099"/>
      <c r="BO19" s="1099"/>
      <c r="BP19" s="1099"/>
      <c r="BQ19" s="1099"/>
      <c r="BR19" s="1099"/>
      <c r="BS19" s="1099"/>
      <c r="BT19" s="1099"/>
      <c r="BU19" s="1099"/>
      <c r="BV19" s="1099"/>
      <c r="BW19" s="1099"/>
      <c r="BX19" s="1099"/>
      <c r="BY19" s="1099"/>
      <c r="BZ19" s="1099"/>
      <c r="CA19" s="1099"/>
      <c r="CB19" s="1099"/>
      <c r="CC19" s="1099"/>
      <c r="CD19" s="1099"/>
      <c r="CE19" s="1099"/>
      <c r="CF19" s="1099"/>
      <c r="CG19" s="1099"/>
      <c r="CH19" s="1099"/>
      <c r="CI19" s="1099"/>
      <c r="CJ19" s="1099"/>
      <c r="CK19" s="1099"/>
      <c r="CL19" s="1099"/>
      <c r="CM19" s="1099"/>
      <c r="CN19" s="1099"/>
      <c r="CO19" s="1099"/>
      <c r="CP19" s="1099"/>
      <c r="CQ19" s="1099"/>
      <c r="CR19" s="1099"/>
      <c r="CS19" s="1099"/>
      <c r="CT19" s="1099"/>
      <c r="CU19" s="1099"/>
      <c r="CV19" s="1099"/>
      <c r="CW19" s="1099"/>
      <c r="CX19" s="1099"/>
      <c r="CY19" s="1099"/>
      <c r="CZ19" s="1099"/>
      <c r="DA19" s="1099"/>
      <c r="DB19" s="1099"/>
      <c r="DC19" s="1099"/>
      <c r="DD19" s="1099"/>
      <c r="DE19" s="1099"/>
      <c r="DF19" s="1099"/>
      <c r="DG19" s="1099"/>
      <c r="DH19" s="1099"/>
      <c r="DI19" s="1099"/>
      <c r="DJ19" s="1099"/>
      <c r="DK19" s="1099"/>
      <c r="DL19" s="1099"/>
      <c r="DM19" s="1099"/>
      <c r="DN19" s="1099"/>
      <c r="DO19" s="1099"/>
      <c r="DP19" s="1099"/>
      <c r="DQ19" s="1099"/>
      <c r="DR19" s="1099"/>
      <c r="DS19" s="1099"/>
      <c r="DT19" s="1099"/>
      <c r="DU19" s="1099"/>
      <c r="DV19" s="1099"/>
      <c r="DW19" s="1099"/>
      <c r="DX19" s="1099"/>
      <c r="DY19" s="1099"/>
      <c r="DZ19" s="1099"/>
      <c r="EA19" s="1099"/>
      <c r="EB19" s="1099"/>
      <c r="EC19" s="1099"/>
      <c r="ED19" s="1099"/>
      <c r="EE19" s="1099"/>
      <c r="EF19" s="1099"/>
      <c r="EG19" s="1099"/>
      <c r="EH19" s="1099"/>
      <c r="EI19" s="1099"/>
      <c r="EJ19" s="1099"/>
      <c r="EK19" s="1099"/>
      <c r="EL19" s="1099"/>
      <c r="EM19" s="1099"/>
      <c r="EN19" s="1099"/>
      <c r="EO19" s="1099"/>
      <c r="EP19" s="1099"/>
      <c r="EQ19" s="1099"/>
      <c r="ER19" s="1099"/>
      <c r="ES19" s="1099"/>
      <c r="ET19" s="1099"/>
      <c r="EU19" s="1099"/>
      <c r="EV19" s="1099"/>
      <c r="EW19" s="1099"/>
      <c r="EX19" s="1099"/>
      <c r="EY19" s="1099"/>
      <c r="EZ19" s="1099"/>
      <c r="FA19" s="1099"/>
      <c r="FB19" s="1099"/>
      <c r="FC19" s="1099"/>
      <c r="FD19" s="1099"/>
      <c r="FE19" s="1099"/>
      <c r="FF19" s="1099"/>
      <c r="FG19" s="1099"/>
      <c r="FH19" s="1099"/>
      <c r="FI19" s="1099"/>
      <c r="FJ19" s="1099"/>
      <c r="FK19" s="1099"/>
      <c r="FL19" s="1099"/>
      <c r="FM19" s="1099"/>
      <c r="FN19" s="1099"/>
      <c r="FO19" s="1099"/>
      <c r="FP19" s="1099"/>
      <c r="FQ19" s="1099"/>
      <c r="FR19" s="1099"/>
      <c r="FS19" s="1099"/>
      <c r="FT19" s="1099"/>
      <c r="FU19" s="1099"/>
      <c r="FV19" s="1099"/>
      <c r="FW19" s="1099"/>
      <c r="FX19" s="1103"/>
    </row>
    <row r="20" spans="1:184" s="838" customFormat="1" ht="11.25" hidden="1" customHeight="1">
      <c r="B20" s="851"/>
      <c r="D20" s="837"/>
      <c r="E20" s="850"/>
      <c r="F20" s="1104" t="s">
        <v>552</v>
      </c>
      <c r="G20" s="1105"/>
      <c r="H20" s="1106"/>
      <c r="I20" s="1106"/>
      <c r="J20" s="1106"/>
      <c r="K20" s="1106"/>
      <c r="L20" s="1106"/>
      <c r="M20" s="1106"/>
      <c r="N20" s="1106"/>
      <c r="O20" s="1105"/>
      <c r="P20" s="1105"/>
      <c r="Q20" s="1105"/>
      <c r="R20" s="1105"/>
      <c r="S20" s="1105"/>
      <c r="T20" s="1105"/>
      <c r="U20" s="1107"/>
      <c r="V20" s="1107"/>
      <c r="W20" s="1107"/>
      <c r="X20" s="1107"/>
      <c r="Y20" s="1107"/>
      <c r="Z20" s="1107"/>
      <c r="AA20" s="1107"/>
      <c r="AB20" s="1105"/>
      <c r="AC20" s="1106"/>
      <c r="AD20" s="1106"/>
      <c r="AE20" s="1106"/>
      <c r="AF20" s="1106"/>
      <c r="AG20" s="1106"/>
      <c r="AH20" s="1106"/>
      <c r="AI20" s="1106"/>
      <c r="AJ20" s="1106"/>
      <c r="AK20" s="1106"/>
      <c r="AL20" s="1106"/>
      <c r="AM20" s="1106"/>
      <c r="AN20" s="1106"/>
      <c r="AO20" s="1106"/>
      <c r="AP20" s="1106"/>
      <c r="AQ20" s="1106"/>
      <c r="AR20" s="1106"/>
      <c r="AS20" s="1106"/>
      <c r="AT20" s="1106"/>
      <c r="AU20" s="1106"/>
      <c r="AV20" s="1106"/>
      <c r="AW20" s="1106"/>
      <c r="AX20" s="1106"/>
      <c r="AY20" s="1106"/>
      <c r="AZ20" s="1106"/>
      <c r="BA20" s="1106"/>
      <c r="BB20" s="1106"/>
      <c r="BC20" s="1106"/>
      <c r="BD20" s="1106"/>
      <c r="BE20" s="1106"/>
      <c r="BF20" s="1106"/>
      <c r="BG20" s="1106"/>
      <c r="BH20" s="1106"/>
      <c r="BI20" s="1106"/>
      <c r="BJ20" s="1106"/>
      <c r="BK20" s="1106"/>
      <c r="BL20" s="1106"/>
      <c r="BM20" s="1106"/>
      <c r="BN20" s="1106"/>
      <c r="BO20" s="1106"/>
      <c r="BP20" s="1106"/>
      <c r="BQ20" s="1106"/>
      <c r="BR20" s="1106"/>
      <c r="BS20" s="1106"/>
      <c r="BT20" s="1106"/>
      <c r="BU20" s="1106"/>
      <c r="BV20" s="1106"/>
      <c r="BW20" s="1106"/>
      <c r="BX20" s="1106"/>
      <c r="BY20" s="1106"/>
      <c r="BZ20" s="1106"/>
      <c r="CA20" s="1106"/>
      <c r="CB20" s="1106"/>
      <c r="CC20" s="1106"/>
      <c r="CD20" s="1106"/>
      <c r="CE20" s="1106"/>
      <c r="CF20" s="1106"/>
      <c r="CG20" s="1106"/>
      <c r="CH20" s="1106"/>
      <c r="CI20" s="1106"/>
      <c r="CJ20" s="1106"/>
      <c r="CK20" s="1106"/>
      <c r="CL20" s="1108"/>
      <c r="CM20" s="1108"/>
      <c r="CN20" s="1108"/>
      <c r="CO20" s="1108"/>
      <c r="CP20" s="1108"/>
      <c r="CQ20" s="1108"/>
      <c r="CR20" s="1108"/>
      <c r="CS20" s="1108"/>
      <c r="CT20" s="1108"/>
      <c r="CU20" s="1108"/>
      <c r="CV20" s="1108"/>
      <c r="CW20" s="1108"/>
      <c r="CX20" s="1108"/>
      <c r="CY20" s="1108"/>
      <c r="CZ20" s="1108"/>
      <c r="DA20" s="1108"/>
      <c r="DB20" s="1108"/>
      <c r="DC20" s="1108"/>
      <c r="DD20" s="1108"/>
      <c r="DE20" s="1108"/>
      <c r="DF20" s="1108"/>
      <c r="DG20" s="1108"/>
      <c r="DH20" s="1108"/>
      <c r="DI20" s="1108"/>
      <c r="DJ20" s="1108"/>
      <c r="DK20" s="1108"/>
      <c r="DL20" s="1108"/>
      <c r="DM20" s="1108"/>
      <c r="DN20" s="1108"/>
      <c r="DO20" s="1108"/>
      <c r="DP20" s="1108"/>
      <c r="DQ20" s="1108"/>
      <c r="DR20" s="1108"/>
      <c r="DS20" s="1108"/>
      <c r="DT20" s="1108"/>
      <c r="DU20" s="1108"/>
      <c r="DV20" s="1108"/>
      <c r="DW20" s="1108"/>
      <c r="DX20" s="1108"/>
      <c r="DY20" s="1108"/>
      <c r="DZ20" s="1108"/>
      <c r="EA20" s="1108"/>
      <c r="EB20" s="1108"/>
      <c r="EC20" s="1108"/>
      <c r="ED20" s="1108"/>
      <c r="EE20" s="1108"/>
      <c r="EF20" s="1108"/>
      <c r="EG20" s="1108"/>
      <c r="EH20" s="1108"/>
      <c r="EI20" s="1108"/>
      <c r="EJ20" s="1108"/>
      <c r="EK20" s="1108"/>
      <c r="EL20" s="1108"/>
      <c r="EM20" s="1108"/>
      <c r="EN20" s="1108"/>
      <c r="EO20" s="1108"/>
      <c r="EP20" s="1108"/>
      <c r="EQ20" s="1108"/>
      <c r="ER20" s="1108"/>
      <c r="ES20" s="1108"/>
      <c r="ET20" s="1108"/>
      <c r="EU20" s="1108"/>
      <c r="EV20" s="1108"/>
      <c r="EW20" s="1108"/>
      <c r="EX20" s="1108"/>
      <c r="EY20" s="1108"/>
      <c r="EZ20" s="1108"/>
      <c r="FA20" s="1108"/>
      <c r="FB20" s="1108"/>
      <c r="FC20" s="1108"/>
      <c r="FD20" s="1108"/>
      <c r="FE20" s="1108"/>
      <c r="FF20" s="1108"/>
      <c r="FG20" s="1108"/>
      <c r="FH20" s="1108"/>
      <c r="FI20" s="1108"/>
      <c r="FJ20" s="1108"/>
      <c r="FK20" s="1108"/>
      <c r="FL20" s="1108"/>
      <c r="FM20" s="1108"/>
      <c r="FN20" s="1108"/>
      <c r="FO20" s="1108"/>
      <c r="FP20" s="1108"/>
      <c r="FQ20" s="1108"/>
      <c r="FR20" s="1108"/>
      <c r="FS20" s="1108"/>
      <c r="FT20" s="1108"/>
      <c r="FU20" s="1108"/>
      <c r="FV20" s="1108"/>
      <c r="FW20" s="1108"/>
      <c r="FX20" s="1109"/>
    </row>
    <row r="21" spans="1:184" s="838" customFormat="1" ht="12" customHeight="1">
      <c r="A21" s="852"/>
      <c r="B21" s="852"/>
      <c r="C21" s="852"/>
      <c r="D21" s="852"/>
      <c r="E21" s="852"/>
      <c r="F21" s="850"/>
      <c r="G21" s="850"/>
      <c r="H21" s="850"/>
      <c r="I21" s="850"/>
      <c r="J21" s="850"/>
      <c r="K21" s="850"/>
      <c r="L21" s="850"/>
      <c r="M21" s="850"/>
      <c r="N21" s="850"/>
      <c r="O21" s="850"/>
      <c r="P21" s="850"/>
      <c r="Q21" s="850"/>
      <c r="R21" s="850"/>
      <c r="S21" s="853"/>
      <c r="T21" s="853"/>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2"/>
      <c r="FY21" s="852"/>
      <c r="FZ21" s="852"/>
      <c r="GA21" s="852"/>
      <c r="GB21" s="852"/>
    </row>
    <row r="22" spans="1:184" s="838" customFormat="1" ht="12" customHeight="1">
      <c r="A22" s="852"/>
      <c r="B22" s="852"/>
      <c r="C22" s="852"/>
      <c r="D22" s="852"/>
      <c r="E22" s="852"/>
      <c r="FX22" s="852"/>
      <c r="FY22" s="852"/>
      <c r="FZ22" s="852"/>
      <c r="GA22" s="852"/>
      <c r="GB22" s="852"/>
    </row>
    <row r="23" spans="1:184" s="974" customFormat="1" ht="12" customHeight="1">
      <c r="A23" s="973"/>
      <c r="B23" s="973"/>
      <c r="C23" s="973"/>
      <c r="D23" s="973"/>
      <c r="E23" s="973"/>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c r="AP23" s="975"/>
      <c r="AQ23" s="975"/>
      <c r="AR23" s="975"/>
      <c r="AS23" s="975"/>
      <c r="AT23" s="975"/>
      <c r="AU23" s="975"/>
      <c r="AV23" s="975"/>
      <c r="AW23" s="975"/>
      <c r="AX23" s="975"/>
      <c r="AY23" s="975"/>
      <c r="AZ23" s="975"/>
      <c r="BA23" s="975"/>
      <c r="BB23" s="975"/>
      <c r="BC23" s="975"/>
      <c r="BD23" s="975"/>
      <c r="BE23" s="975"/>
      <c r="BF23" s="975"/>
      <c r="BG23" s="975"/>
      <c r="BH23" s="975"/>
      <c r="BI23" s="975"/>
      <c r="BJ23" s="975"/>
      <c r="BK23" s="975"/>
      <c r="BL23" s="975"/>
      <c r="BM23" s="975"/>
      <c r="BN23" s="975"/>
      <c r="BO23" s="975"/>
      <c r="BP23" s="975"/>
      <c r="BQ23" s="975"/>
      <c r="BR23" s="975"/>
      <c r="BS23" s="975"/>
      <c r="BT23" s="976"/>
      <c r="BU23" s="976"/>
      <c r="BV23" s="976"/>
      <c r="BW23" s="976"/>
      <c r="BX23" s="976"/>
      <c r="BY23" s="976"/>
      <c r="BZ23" s="976"/>
      <c r="CA23" s="976"/>
      <c r="CB23" s="976"/>
      <c r="CC23" s="976"/>
      <c r="CD23" s="976"/>
      <c r="CE23" s="976"/>
      <c r="CF23" s="976"/>
      <c r="CG23" s="976"/>
      <c r="CH23" s="976"/>
      <c r="CI23" s="976"/>
      <c r="CJ23" s="976"/>
      <c r="CK23" s="976"/>
      <c r="CL23" s="976"/>
      <c r="CM23" s="976"/>
      <c r="CN23" s="976"/>
      <c r="CO23" s="976"/>
      <c r="CP23" s="976"/>
      <c r="CQ23" s="976"/>
      <c r="CR23" s="976"/>
      <c r="CS23" s="976"/>
      <c r="CT23" s="976"/>
      <c r="CU23" s="976"/>
      <c r="CV23" s="976"/>
      <c r="CW23" s="976"/>
      <c r="CX23" s="976"/>
      <c r="CY23" s="976"/>
      <c r="CZ23" s="976"/>
      <c r="DA23" s="976"/>
      <c r="DB23" s="976"/>
      <c r="DC23" s="976"/>
      <c r="DD23" s="976"/>
      <c r="DE23" s="976"/>
      <c r="DF23" s="976"/>
      <c r="DG23" s="976"/>
      <c r="DH23" s="976"/>
      <c r="DI23" s="976"/>
      <c r="DJ23" s="976"/>
      <c r="DK23" s="976"/>
      <c r="DL23" s="976"/>
      <c r="DM23" s="976"/>
      <c r="DN23" s="976"/>
      <c r="DO23" s="976"/>
      <c r="DP23" s="976"/>
      <c r="DQ23" s="976"/>
      <c r="DR23" s="976"/>
      <c r="DS23" s="976"/>
      <c r="DT23" s="976"/>
      <c r="DU23" s="976"/>
      <c r="DV23" s="976"/>
      <c r="DW23" s="976"/>
      <c r="DX23" s="976"/>
      <c r="FX23" s="973"/>
      <c r="FY23" s="973"/>
      <c r="FZ23" s="973"/>
      <c r="GA23" s="973"/>
      <c r="GB23" s="973"/>
    </row>
    <row r="24" spans="1:184" ht="12" customHeight="1">
      <c r="S24" s="849"/>
      <c r="T24" s="849"/>
      <c r="U24" s="849"/>
      <c r="V24" s="849"/>
      <c r="W24" s="849"/>
      <c r="X24" s="849"/>
      <c r="Y24" s="849"/>
      <c r="Z24" s="849"/>
      <c r="AA24" s="849"/>
      <c r="AB24" s="849"/>
      <c r="FX24" s="849"/>
      <c r="FY24" s="849"/>
      <c r="FZ24" s="849"/>
      <c r="GA24" s="849"/>
      <c r="GB24" s="84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71" hidden="1" customWidth="1"/>
    <col min="2" max="2" width="2" style="1771" hidden="1" customWidth="1"/>
    <col min="3" max="3" width="3.7109375" style="1771" customWidth="1"/>
    <col min="4" max="4" width="4.28515625" style="1771" customWidth="1"/>
    <col min="5" max="5" width="45" style="1771" customWidth="1"/>
    <col min="6" max="6" width="6.42578125" style="1771" customWidth="1"/>
    <col min="7" max="7" width="4.42578125" style="1771" customWidth="1"/>
    <col min="8" max="8" width="5.5703125" style="1771" customWidth="1"/>
    <col min="9" max="9" width="52.85546875" style="1771" customWidth="1"/>
    <col min="10" max="10" width="7" style="1771" customWidth="1"/>
    <col min="11" max="11" width="3.7109375" style="1771" customWidth="1"/>
    <col min="12" max="12" width="6.28515625" style="1771" customWidth="1"/>
    <col min="13" max="13" width="56.28515625" style="1771" customWidth="1"/>
    <col min="14" max="14" width="9.140625" style="1291"/>
    <col min="15" max="20" width="9.140625" style="1544" hidden="1"/>
    <col min="21" max="24" width="9.140625" style="1190" hidden="1"/>
    <col min="25" max="37" width="9.140625" style="1291" hidden="1"/>
    <col min="38" max="38" width="9.140625" style="1291"/>
  </cols>
  <sheetData>
    <row r="1" spans="1:38" ht="11.25" hidden="1" customHeight="1"/>
    <row r="2" spans="1:38" ht="11.25" hidden="1" customHeight="1"/>
    <row r="4" spans="1:38" ht="34.5" customHeight="1">
      <c r="A4" s="507"/>
      <c r="B4" s="507"/>
      <c r="D4" s="7552" t="str">
        <f>Титульный!E5</f>
        <v>Показатели, подлежащие раскрытию в сфере холодного водоснабжения (цены и тарифы)</v>
      </c>
      <c r="E4" s="7553"/>
      <c r="F4" s="7553"/>
      <c r="G4" s="7553"/>
      <c r="H4" s="7553"/>
      <c r="I4" s="7554"/>
      <c r="J4" s="506"/>
      <c r="K4" s="506"/>
      <c r="L4" s="506"/>
      <c r="M4" s="506"/>
    </row>
    <row r="5" spans="1:38" s="510" customFormat="1" ht="15" customHeight="1">
      <c r="A5" s="507"/>
      <c r="B5" s="507"/>
      <c r="C5" s="507"/>
      <c r="D5" s="7555" t="str">
        <f>IF(org=0,"Не определено",org)</f>
        <v>ГУП СК "Ставрополькрайводоканал"</v>
      </c>
      <c r="E5" s="7556"/>
      <c r="F5" s="7556"/>
      <c r="G5" s="7556"/>
      <c r="H5" s="7556"/>
      <c r="I5" s="7557"/>
      <c r="J5" s="508"/>
      <c r="K5" s="508"/>
      <c r="L5" s="508"/>
      <c r="M5" s="508"/>
      <c r="N5" s="508"/>
      <c r="O5" s="784"/>
      <c r="P5" s="784"/>
      <c r="Q5" s="784"/>
      <c r="R5" s="784"/>
      <c r="S5" s="784"/>
      <c r="T5" s="784"/>
      <c r="U5" s="1186"/>
      <c r="V5" s="1186"/>
      <c r="W5" s="1186"/>
      <c r="X5" s="1186"/>
      <c r="Y5" s="508"/>
      <c r="Z5" s="508"/>
      <c r="AA5" s="508"/>
      <c r="AB5" s="508"/>
      <c r="AC5" s="508"/>
      <c r="AD5" s="508"/>
      <c r="AE5" s="508"/>
      <c r="AF5" s="508"/>
      <c r="AG5" s="508"/>
      <c r="AH5" s="508"/>
      <c r="AI5" s="508"/>
      <c r="AJ5" s="508"/>
      <c r="AK5" s="508"/>
      <c r="AL5" s="508"/>
    </row>
    <row r="6" spans="1:38" s="510" customFormat="1" ht="6" customHeight="1">
      <c r="A6" s="7533"/>
      <c r="B6" s="7533"/>
      <c r="C6" s="7533"/>
      <c r="D6" s="7533"/>
      <c r="E6" s="7533"/>
      <c r="F6" s="7533"/>
      <c r="G6" s="509"/>
      <c r="H6" s="509"/>
      <c r="I6" s="509"/>
      <c r="J6" s="509"/>
      <c r="K6" s="509"/>
      <c r="N6" s="511"/>
      <c r="O6" s="1335"/>
      <c r="P6" s="1335"/>
      <c r="Q6" s="1335"/>
      <c r="R6" s="1335"/>
      <c r="S6" s="1335"/>
      <c r="T6" s="1335"/>
      <c r="U6" s="1188"/>
      <c r="V6" s="1188"/>
      <c r="W6" s="1188"/>
      <c r="X6" s="1188"/>
      <c r="Y6" s="511"/>
      <c r="Z6" s="511"/>
      <c r="AA6" s="511"/>
      <c r="AB6" s="511"/>
      <c r="AC6" s="511"/>
      <c r="AD6" s="511"/>
      <c r="AE6" s="511"/>
      <c r="AF6" s="511"/>
      <c r="AG6" s="511"/>
      <c r="AH6" s="511"/>
      <c r="AI6" s="511"/>
      <c r="AJ6" s="511"/>
      <c r="AK6" s="511"/>
      <c r="AL6" s="511"/>
    </row>
    <row r="7" spans="1:38" ht="45.75" hidden="1" customHeight="1">
      <c r="E7" s="756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7563"/>
      <c r="G7" s="7563"/>
      <c r="H7" s="7563"/>
      <c r="I7" s="7563"/>
      <c r="J7" s="7563"/>
      <c r="K7" s="7563"/>
      <c r="L7" s="7563"/>
      <c r="M7" s="7563"/>
    </row>
    <row r="8" spans="1:38" s="510" customFormat="1" ht="6" customHeight="1">
      <c r="A8" s="512"/>
      <c r="B8" s="512"/>
      <c r="C8" s="512"/>
      <c r="D8" s="512"/>
      <c r="E8" s="512"/>
      <c r="F8" s="512"/>
      <c r="G8" s="512"/>
      <c r="H8" s="512"/>
      <c r="I8" s="512"/>
      <c r="J8" s="512"/>
      <c r="K8" s="512"/>
      <c r="L8" s="512"/>
      <c r="N8" s="508"/>
      <c r="O8" s="784"/>
      <c r="P8" s="784"/>
      <c r="Q8" s="784"/>
      <c r="R8" s="784"/>
      <c r="S8" s="784"/>
      <c r="T8" s="784"/>
      <c r="U8" s="1186"/>
      <c r="V8" s="1186"/>
      <c r="W8" s="1186"/>
      <c r="X8" s="1186"/>
      <c r="Y8" s="508"/>
      <c r="Z8" s="508"/>
      <c r="AA8" s="508"/>
      <c r="AB8" s="508"/>
      <c r="AC8" s="508"/>
      <c r="AD8" s="508"/>
      <c r="AE8" s="508"/>
      <c r="AF8" s="508"/>
      <c r="AG8" s="508"/>
      <c r="AH8" s="508"/>
      <c r="AI8" s="508"/>
      <c r="AJ8" s="508"/>
      <c r="AK8" s="508"/>
      <c r="AL8" s="508"/>
    </row>
    <row r="9" spans="1:38" ht="18" customHeight="1">
      <c r="A9" s="7558"/>
      <c r="B9" s="244"/>
      <c r="C9" s="244"/>
      <c r="D9" s="7559" t="s">
        <v>223</v>
      </c>
      <c r="E9" s="7559"/>
      <c r="F9" s="7560" t="s">
        <v>224</v>
      </c>
      <c r="G9" s="7561"/>
      <c r="H9" s="7561"/>
      <c r="I9" s="7561"/>
      <c r="J9" s="7564" t="s">
        <v>225</v>
      </c>
      <c r="K9" s="7564"/>
      <c r="L9" s="7564"/>
      <c r="M9" s="7564"/>
    </row>
    <row r="10" spans="1:38" ht="22.5" customHeight="1">
      <c r="A10" s="7558"/>
      <c r="B10" s="513"/>
      <c r="C10" s="449"/>
      <c r="D10" s="447" t="s">
        <v>86</v>
      </c>
      <c r="E10" s="447" t="s">
        <v>87</v>
      </c>
      <c r="F10" s="447" t="s">
        <v>226</v>
      </c>
      <c r="G10" s="7565" t="s">
        <v>86</v>
      </c>
      <c r="H10" s="7566"/>
      <c r="I10" s="447" t="s">
        <v>87</v>
      </c>
      <c r="J10" s="447" t="s">
        <v>226</v>
      </c>
      <c r="K10" s="7565" t="s">
        <v>86</v>
      </c>
      <c r="L10" s="7566"/>
      <c r="M10" s="447" t="s">
        <v>87</v>
      </c>
      <c r="N10" s="1547"/>
    </row>
    <row r="11" spans="1:38" s="1771" customFormat="1" ht="11.25" hidden="1" customHeight="1">
      <c r="A11" s="514"/>
      <c r="B11" s="514"/>
      <c r="C11" s="514"/>
      <c r="D11" s="515" t="s">
        <v>97</v>
      </c>
      <c r="E11" s="515" t="s">
        <v>100</v>
      </c>
      <c r="F11" s="515" t="s">
        <v>88</v>
      </c>
      <c r="G11" s="7548" t="s">
        <v>89</v>
      </c>
      <c r="H11" s="7549"/>
      <c r="I11" s="515" t="s">
        <v>111</v>
      </c>
      <c r="J11" s="515" t="s">
        <v>90</v>
      </c>
      <c r="K11" s="7550" t="s">
        <v>91</v>
      </c>
      <c r="L11" s="7551"/>
      <c r="M11" s="515" t="s">
        <v>121</v>
      </c>
      <c r="N11" s="1546"/>
      <c r="O11" s="1334"/>
      <c r="P11" s="1336"/>
      <c r="Q11" s="1336"/>
      <c r="R11" s="1336"/>
      <c r="S11" s="1336"/>
      <c r="T11" s="1336"/>
      <c r="U11" s="1189"/>
      <c r="V11" s="1189"/>
      <c r="W11" s="1189"/>
      <c r="X11" s="1189"/>
      <c r="Y11" s="516"/>
      <c r="Z11" s="516"/>
      <c r="AA11" s="516"/>
      <c r="AB11" s="516"/>
      <c r="AC11" s="516"/>
      <c r="AD11" s="516"/>
      <c r="AE11" s="516"/>
      <c r="AF11" s="516"/>
      <c r="AG11" s="516"/>
      <c r="AH11" s="516"/>
      <c r="AI11" s="516"/>
      <c r="AJ11" s="516"/>
      <c r="AK11" s="516"/>
      <c r="AL11" s="516"/>
    </row>
    <row r="12" spans="1:38" ht="0.75" customHeight="1">
      <c r="A12" s="517"/>
      <c r="B12" s="518"/>
      <c r="C12" s="518"/>
      <c r="D12" s="519"/>
      <c r="E12" s="291"/>
      <c r="F12" s="520"/>
      <c r="G12" s="970"/>
      <c r="H12" s="970"/>
      <c r="I12" s="520"/>
      <c r="J12" s="520"/>
      <c r="K12" s="92"/>
      <c r="L12" s="291"/>
      <c r="M12" s="521"/>
      <c r="N12" s="1547"/>
      <c r="O12" s="1334" t="s">
        <v>227</v>
      </c>
      <c r="P12" s="1334" t="s">
        <v>228</v>
      </c>
      <c r="Q12" s="1334" t="s">
        <v>229</v>
      </c>
      <c r="R12" s="1334" t="s">
        <v>230</v>
      </c>
    </row>
    <row r="13" spans="1:38" s="1771" customFormat="1" ht="15" customHeight="1">
      <c r="A13"/>
      <c r="B13"/>
      <c r="C13" s="450"/>
      <c r="D13" s="7541" t="s">
        <v>97</v>
      </c>
      <c r="E13" s="7542"/>
      <c r="F13" s="7545" t="s">
        <v>60</v>
      </c>
      <c r="G13" s="7546"/>
      <c r="H13" s="7547">
        <v>1</v>
      </c>
      <c r="I13" s="7538" t="str">
        <f>IF(U13="","",INDEX(TERRITORY_MR_LIST,MATCH(U13,TERRITORY_LIST_ID,0)))</f>
        <v/>
      </c>
      <c r="J13" s="7540" t="s">
        <v>55</v>
      </c>
      <c r="K13" s="522"/>
      <c r="L13" s="451" t="s">
        <v>97</v>
      </c>
      <c r="M13" s="523" t="s">
        <v>24</v>
      </c>
      <c r="N13" s="726"/>
      <c r="O13" s="1337" t="s">
        <v>231</v>
      </c>
      <c r="P13" s="1334">
        <f>$E$13</f>
        <v>0</v>
      </c>
      <c r="Q13" s="1334" t="str">
        <f>IF($F$13="нет","без дифференциации",$I$13)</f>
        <v/>
      </c>
      <c r="R13" s="1334" t="str">
        <f>IF($J$13="нет","без дифференциации",M13)</f>
        <v>без дифференциации</v>
      </c>
      <c r="S13" s="1337"/>
      <c r="T13" s="1337"/>
      <c r="U13" s="1190"/>
      <c r="V13" s="1190"/>
      <c r="W13" s="1190"/>
      <c r="X13" s="1190"/>
      <c r="Y13" s="524" t="s">
        <v>232</v>
      </c>
      <c r="Z13" s="524">
        <v>1705000</v>
      </c>
      <c r="AA13" s="524"/>
      <c r="AB13" s="524"/>
      <c r="AC13" s="524"/>
      <c r="AD13" s="524"/>
      <c r="AE13" s="524"/>
      <c r="AF13" s="524"/>
      <c r="AG13" s="524"/>
      <c r="AH13" s="524"/>
      <c r="AI13" s="524"/>
      <c r="AJ13" s="524"/>
      <c r="AK13" s="524"/>
      <c r="AL13" s="524"/>
    </row>
    <row r="14" spans="1:38" s="1771" customFormat="1" ht="15" customHeight="1">
      <c r="A14"/>
      <c r="B14"/>
      <c r="C14" s="94"/>
      <c r="D14" s="7541"/>
      <c r="E14" s="7543"/>
      <c r="F14" s="7540"/>
      <c r="G14" s="7546"/>
      <c r="H14" s="7547"/>
      <c r="I14" s="7539"/>
      <c r="J14" s="7540"/>
      <c r="K14" s="349"/>
      <c r="L14" s="95"/>
      <c r="M14" s="526" t="s">
        <v>233</v>
      </c>
      <c r="N14" s="726"/>
      <c r="O14" s="1337"/>
      <c r="P14" s="1334"/>
      <c r="Q14" s="1334"/>
      <c r="R14" s="1334"/>
      <c r="S14" s="1337"/>
      <c r="T14" s="1337"/>
      <c r="U14" s="1190"/>
      <c r="V14" s="1190"/>
      <c r="W14" s="1190"/>
      <c r="X14" s="1190"/>
      <c r="Y14" s="524"/>
      <c r="Z14" s="524"/>
      <c r="AA14" s="524"/>
      <c r="AB14" s="524"/>
      <c r="AC14" s="524"/>
      <c r="AD14" s="524"/>
      <c r="AE14" s="524"/>
      <c r="AF14" s="524"/>
      <c r="AG14" s="524"/>
      <c r="AH14" s="524"/>
      <c r="AI14" s="524"/>
      <c r="AJ14" s="524"/>
      <c r="AK14" s="524"/>
      <c r="AL14" s="524"/>
    </row>
    <row r="15" spans="1:38" s="1771" customFormat="1" ht="15" customHeight="1">
      <c r="A15"/>
      <c r="B15"/>
      <c r="C15" s="94"/>
      <c r="D15" s="7541"/>
      <c r="E15" s="7544"/>
      <c r="F15" s="7540"/>
      <c r="G15" s="971"/>
      <c r="H15" s="972"/>
      <c r="I15" s="503" t="s">
        <v>234</v>
      </c>
      <c r="J15" s="95"/>
      <c r="K15" s="95"/>
      <c r="L15" s="95"/>
      <c r="M15" s="527"/>
      <c r="N15" s="726"/>
      <c r="O15" s="1337"/>
      <c r="P15" s="1334"/>
      <c r="Q15" s="1334"/>
      <c r="R15" s="1334"/>
      <c r="S15" s="1337"/>
      <c r="T15" s="1337"/>
      <c r="U15" s="1190"/>
      <c r="V15" s="1190"/>
      <c r="W15" s="1190"/>
      <c r="X15" s="1190"/>
      <c r="Y15" s="524"/>
      <c r="Z15" s="524"/>
      <c r="AA15" s="524"/>
      <c r="AB15" s="524"/>
      <c r="AC15" s="524"/>
      <c r="AD15" s="524"/>
      <c r="AE15" s="524"/>
      <c r="AF15" s="524"/>
      <c r="AG15" s="524"/>
      <c r="AH15" s="524"/>
      <c r="AI15" s="524"/>
      <c r="AJ15" s="524"/>
      <c r="AK15" s="524"/>
      <c r="AL15" s="524"/>
    </row>
    <row r="16" spans="1:38" ht="15" customHeight="1">
      <c r="A16" s="528"/>
      <c r="B16" s="57"/>
      <c r="C16" s="720"/>
      <c r="D16" s="349"/>
      <c r="E16" s="494" t="s">
        <v>235</v>
      </c>
      <c r="F16" s="95"/>
      <c r="G16" s="95"/>
      <c r="H16" s="95"/>
      <c r="I16" s="95"/>
      <c r="J16" s="95"/>
      <c r="K16" s="95" t="s">
        <v>24</v>
      </c>
      <c r="L16" s="95"/>
      <c r="M16" s="527"/>
      <c r="N16" s="1547"/>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36.7109375" style="1555" customWidth="1"/>
    <col min="6" max="6" width="9.5703125" style="1555" customWidth="1"/>
    <col min="7" max="7" width="42.42578125" style="1555" hidden="1" customWidth="1"/>
    <col min="8" max="8" width="40.7109375" style="1555" customWidth="1"/>
    <col min="9" max="9" width="93.42578125" style="1287" customWidth="1"/>
    <col min="10" max="17" width="10.5703125" style="1555"/>
    <col min="18" max="18" width="10.5703125" style="593"/>
  </cols>
  <sheetData>
    <row r="1" spans="1:18" s="1287" customFormat="1" ht="15" hidden="1" customHeight="1">
      <c r="C1" s="590"/>
      <c r="H1" s="346">
        <v>4</v>
      </c>
      <c r="R1" s="348"/>
    </row>
    <row r="2" spans="1:18" ht="22.5" hidden="1" customHeight="1">
      <c r="D2" s="462"/>
      <c r="E2" s="581"/>
      <c r="F2" s="1680" t="str">
        <f>IF(TEMPLATE_SPHERE="HEAT","Гкал/час","тыс. куб. м/сутки")</f>
        <v>тыс. куб. м/сутки</v>
      </c>
      <c r="G2" s="598"/>
      <c r="H2" s="598"/>
      <c r="I2" s="204"/>
    </row>
    <row r="3" spans="1:18" s="1287" customFormat="1" ht="15" hidden="1" customHeight="1">
      <c r="C3" s="590"/>
      <c r="R3" s="348"/>
    </row>
    <row r="4" spans="1:18" ht="15" customHeight="1">
      <c r="C4" s="94"/>
      <c r="D4" s="433"/>
      <c r="E4" s="433"/>
      <c r="F4" s="433"/>
      <c r="G4" s="433"/>
      <c r="H4" s="433"/>
    </row>
    <row r="5" spans="1:18" ht="37.5" customHeight="1">
      <c r="C5" s="94"/>
      <c r="D5" s="767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7673"/>
      <c r="F5" s="7673"/>
      <c r="G5" s="7673"/>
      <c r="H5" s="7673"/>
      <c r="I5" s="460"/>
    </row>
    <row r="6" spans="1:18" ht="15" customHeight="1">
      <c r="C6" s="94"/>
      <c r="D6" s="7620" t="str">
        <f>IF(org=0,"Не определено",org)</f>
        <v>ГУП СК "Ставрополькрайводоканал"</v>
      </c>
      <c r="E6" s="7620"/>
      <c r="F6" s="7620"/>
      <c r="G6" s="7620"/>
      <c r="H6" s="7620"/>
      <c r="I6" s="460"/>
    </row>
    <row r="7" spans="1:18" s="1555" customFormat="1" ht="15" customHeight="1">
      <c r="A7" s="674"/>
      <c r="C7" s="94"/>
      <c r="D7" s="594"/>
      <c r="E7" s="594"/>
      <c r="F7" s="594"/>
      <c r="G7" s="594"/>
      <c r="H7" s="667"/>
      <c r="I7" s="460"/>
      <c r="R7" s="593"/>
    </row>
    <row r="8" spans="1:18" ht="0.75" customHeight="1">
      <c r="C8" s="94"/>
      <c r="D8" s="433"/>
      <c r="E8" s="433"/>
      <c r="F8" s="433"/>
      <c r="G8" s="433"/>
      <c r="H8" s="460" t="s">
        <v>231</v>
      </c>
    </row>
    <row r="9" spans="1:18" ht="15" customHeight="1">
      <c r="C9" s="94"/>
      <c r="D9" s="628"/>
      <c r="E9" s="7764" t="s">
        <v>223</v>
      </c>
      <c r="F9" s="7765"/>
      <c r="G9" s="730" t="str">
        <f>IF(G8="","",INDEX(DIFFERENTIATION_UNMERGE_VD,MATCH(G8,DIFFERENTIATION_ID_DIFF,0)))</f>
        <v/>
      </c>
      <c r="H9" s="730">
        <f>IF(H8="","",INDEX(DIFFERENTIATION_UNMERGE_VD,MATCH(H8,DIFFERENTIATION_ID_DIFF,0)))</f>
        <v>0</v>
      </c>
      <c r="I9" s="7559" t="s">
        <v>475</v>
      </c>
    </row>
    <row r="10" spans="1:18" s="1555" customFormat="1" ht="15" customHeight="1">
      <c r="A10" s="674"/>
      <c r="C10" s="94"/>
      <c r="D10" s="628"/>
      <c r="E10" s="7764" t="s">
        <v>733</v>
      </c>
      <c r="F10" s="7765"/>
      <c r="G10" s="730" t="str">
        <f>IF(G8="","",INDEX(DIFFERENTIATION_UNMERGE_AREA,MATCH(G8,DIFFERENTIATION_ID_DIFF,0)))</f>
        <v/>
      </c>
      <c r="H10" s="730" t="str">
        <f>IF(H8="","",INDEX(DIFFERENTIATION_UNMERGE_AREA,MATCH(H8,DIFFERENTIATION_ID_DIFF,0)))</f>
        <v/>
      </c>
      <c r="I10" s="7559"/>
      <c r="R10" s="593"/>
    </row>
    <row r="11" spans="1:18" s="1555" customFormat="1" ht="15" customHeight="1">
      <c r="A11" s="674"/>
      <c r="C11" s="94"/>
      <c r="D11" s="628"/>
      <c r="E11" s="7764" t="s">
        <v>734</v>
      </c>
      <c r="F11" s="7765"/>
      <c r="G11" s="730" t="str">
        <f>IF(G8="","",INDEX(DIFFERENTIATION_UNMERGE_SYSTEM,MATCH(G8,DIFFERENTIATION_ID_DIFF,0)))</f>
        <v/>
      </c>
      <c r="H11" s="730" t="str">
        <f>IF(H8="","",INDEX(DIFFERENTIATION_UNMERGE_SYSTEM,MATCH(H8,DIFFERENTIATION_ID_DIFF,0)))</f>
        <v>без дифференциации</v>
      </c>
      <c r="I11" s="7559"/>
      <c r="R11" s="593"/>
    </row>
    <row r="12" spans="1:18" s="1555" customFormat="1" ht="15" customHeight="1">
      <c r="A12" s="674"/>
      <c r="C12" s="94"/>
      <c r="D12" s="7766" t="s">
        <v>474</v>
      </c>
      <c r="E12" s="7767"/>
      <c r="F12" s="7767"/>
      <c r="G12" s="801"/>
      <c r="H12" s="801"/>
      <c r="I12" s="7559"/>
      <c r="R12" s="593"/>
    </row>
    <row r="13" spans="1:18" ht="33.75" customHeight="1">
      <c r="C13" s="94"/>
      <c r="D13" s="676" t="s">
        <v>86</v>
      </c>
      <c r="E13" s="675" t="s">
        <v>476</v>
      </c>
      <c r="F13" s="675" t="s">
        <v>735</v>
      </c>
      <c r="G13" s="722" t="s">
        <v>477</v>
      </c>
      <c r="H13" s="669" t="s">
        <v>477</v>
      </c>
      <c r="I13" s="7559"/>
    </row>
    <row r="14" spans="1:18" ht="15" hidden="1" customHeight="1">
      <c r="C14" s="94"/>
      <c r="D14" s="514" t="s">
        <v>97</v>
      </c>
      <c r="E14" s="514" t="s">
        <v>100</v>
      </c>
      <c r="F14" s="514" t="s">
        <v>88</v>
      </c>
      <c r="G14" s="577" t="str">
        <f>G1&amp;".1"</f>
        <v>.1</v>
      </c>
      <c r="H14" s="577" t="str">
        <f>H1&amp;".1"</f>
        <v>4.1</v>
      </c>
      <c r="I14" s="204"/>
    </row>
    <row r="15" spans="1:18" ht="15" customHeight="1">
      <c r="A15" s="429"/>
      <c r="C15" s="450"/>
      <c r="D15" s="445">
        <v>1</v>
      </c>
      <c r="E15" s="595" t="str">
        <f>TP_P_A</f>
        <v xml:space="preserve">Количество поданных заявлений </v>
      </c>
      <c r="F15" s="445" t="s">
        <v>1198</v>
      </c>
      <c r="G15" s="603"/>
      <c r="H15" s="603"/>
      <c r="I15" s="12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18" ht="15" customHeight="1">
      <c r="A16" s="429"/>
      <c r="C16" s="450"/>
      <c r="D16" s="445">
        <v>2</v>
      </c>
      <c r="E16" s="195" t="str">
        <f>TP_P_B</f>
        <v xml:space="preserve">Количество исполненных заявлений </v>
      </c>
      <c r="F16" s="445" t="s">
        <v>1198</v>
      </c>
      <c r="G16" s="603"/>
      <c r="H16" s="603"/>
      <c r="I16" s="12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18" ht="33.75" customHeight="1">
      <c r="A17" s="429"/>
      <c r="C17" s="450"/>
      <c r="D17" s="445">
        <v>3</v>
      </c>
      <c r="E17" s="195" t="str">
        <f>TP_P_V</f>
        <v>Количество заявлений о заключении договоров о подключении (технологическом присоединении)</v>
      </c>
      <c r="F17" s="445" t="s">
        <v>1198</v>
      </c>
      <c r="G17" s="603"/>
      <c r="H17" s="603"/>
      <c r="I17" s="12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18" ht="36" customHeight="1">
      <c r="A18" s="429"/>
      <c r="C18" s="450"/>
      <c r="D18" s="445">
        <v>4</v>
      </c>
      <c r="E18" s="195"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45" t="s">
        <v>480</v>
      </c>
      <c r="G18" s="604"/>
      <c r="H18" s="604"/>
      <c r="I18" s="7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9"/>
      <c r="C19" s="450"/>
      <c r="D19" s="445">
        <v>5</v>
      </c>
      <c r="E19" s="195"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45" t="str">
        <f>IF(TEMPLATE_SPHERE="HEAT","Гкал/час","тыс. куб. м/сутки")</f>
        <v>тыс. куб. м/сутки</v>
      </c>
      <c r="G19" s="605">
        <f>SUM(G20:G22)</f>
        <v>0</v>
      </c>
      <c r="H19" s="605">
        <f>SUM(H20:H22)</f>
        <v>0</v>
      </c>
      <c r="I19" s="12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18" ht="15" hidden="1" customHeight="1">
      <c r="D20" s="433" t="s">
        <v>1199</v>
      </c>
      <c r="E20" s="606"/>
      <c r="F20" s="433"/>
      <c r="G20" s="433"/>
      <c r="H20" s="433"/>
      <c r="I20" s="1682"/>
    </row>
    <row r="21" spans="1:18" ht="27.75" customHeight="1">
      <c r="C21" s="376"/>
      <c r="D21" s="462" t="s">
        <v>489</v>
      </c>
      <c r="E21" s="588"/>
      <c r="F21" s="1680" t="str">
        <f>IF(TEMPLATE_SPHERE="HEAT","Гкал/час","тыс. куб. м/сутки")</f>
        <v>тыс. куб. м/сутки</v>
      </c>
      <c r="G21" s="598"/>
      <c r="H21" s="598"/>
      <c r="I21" s="7604"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18" ht="15" customHeight="1">
      <c r="A22" s="429"/>
      <c r="C22" s="429"/>
      <c r="D22" s="268"/>
      <c r="E22" s="503" t="s">
        <v>1200</v>
      </c>
      <c r="F22" s="495"/>
      <c r="G22" s="495"/>
      <c r="H22" s="495"/>
      <c r="I22" s="7606"/>
      <c r="R22" s="429"/>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17" hidden="1" customWidth="1"/>
    <col min="2" max="2" width="9.140625" style="1287" hidden="1" customWidth="1"/>
    <col min="3" max="3" width="3.7109375" style="265" customWidth="1"/>
    <col min="4" max="4" width="6.28515625" style="1555" customWidth="1"/>
    <col min="5" max="6" width="64.140625" style="1555" customWidth="1"/>
    <col min="7" max="7" width="141.140625" style="1555" customWidth="1"/>
    <col min="8" max="8" width="10.5703125" style="1555"/>
    <col min="9" max="10" width="10.5703125" style="1544"/>
    <col min="11" max="16" width="10.5703125" style="1555"/>
  </cols>
  <sheetData>
    <row r="1" spans="1:16" ht="14.25" hidden="1" customHeight="1">
      <c r="M1" s="170"/>
      <c r="N1" s="170"/>
      <c r="P1" s="170"/>
    </row>
    <row r="2" spans="1:16" ht="14.25" hidden="1" customHeight="1"/>
    <row r="3" spans="1:16" ht="14.25" hidden="1" customHeight="1"/>
    <row r="4" spans="1:16" ht="3" customHeight="1">
      <c r="C4" s="26"/>
      <c r="D4" s="15"/>
      <c r="E4" s="15"/>
      <c r="F4" s="16"/>
      <c r="G4" s="16"/>
    </row>
    <row r="5" spans="1:16" ht="27.75" customHeight="1">
      <c r="C5" s="26"/>
      <c r="D5" s="759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7595"/>
      <c r="F5" s="7595"/>
      <c r="G5" s="7596"/>
    </row>
    <row r="6" spans="1:16" s="1555" customFormat="1" ht="18" customHeight="1">
      <c r="A6" s="796"/>
      <c r="B6" s="346"/>
      <c r="C6" s="300"/>
      <c r="D6" s="7654" t="str">
        <f>IF(org=0,"Не определено",org)</f>
        <v>ГУП СК "Ставрополькрайводоканал"</v>
      </c>
      <c r="E6" s="7655"/>
      <c r="F6" s="7655"/>
      <c r="G6" s="7656"/>
      <c r="I6" s="424"/>
      <c r="J6" s="424"/>
    </row>
    <row r="7" spans="1:16" ht="14.25" customHeight="1">
      <c r="C7" s="26"/>
      <c r="D7" s="15"/>
      <c r="E7" s="25"/>
      <c r="F7" s="667"/>
      <c r="G7" s="110"/>
    </row>
    <row r="8" spans="1:16" s="1555" customFormat="1" ht="0.75" customHeight="1">
      <c r="A8" s="1589"/>
      <c r="B8" s="1065"/>
      <c r="C8" s="300"/>
      <c r="D8" s="286"/>
      <c r="E8" s="318"/>
      <c r="F8" s="667"/>
      <c r="G8" s="110"/>
      <c r="I8" s="1544"/>
      <c r="J8" s="1544"/>
    </row>
    <row r="9" spans="1:16" ht="14.25" customHeight="1">
      <c r="C9" s="26"/>
      <c r="D9" s="7649" t="s">
        <v>474</v>
      </c>
      <c r="E9" s="7649"/>
      <c r="F9" s="7649"/>
      <c r="G9" s="7832" t="s">
        <v>475</v>
      </c>
    </row>
    <row r="10" spans="1:16" ht="14.25" customHeight="1">
      <c r="C10" s="26"/>
      <c r="D10" s="32" t="s">
        <v>86</v>
      </c>
      <c r="E10" s="35" t="s">
        <v>476</v>
      </c>
      <c r="F10" s="35" t="s">
        <v>566</v>
      </c>
      <c r="G10" s="7832"/>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15" t="s">
        <v>480</v>
      </c>
      <c r="G12" s="71"/>
    </row>
    <row r="13" spans="1:16" ht="22.5" customHeight="1">
      <c r="A13" s="109"/>
      <c r="C13" s="26"/>
      <c r="D13" s="67" t="s">
        <v>1105</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480</v>
      </c>
      <c r="G13" s="71"/>
    </row>
    <row r="14" spans="1:16" ht="14.25" customHeight="1">
      <c r="A14" s="109"/>
      <c r="C14" s="26"/>
      <c r="D14" s="67" t="s">
        <v>1141</v>
      </c>
      <c r="E14" s="112"/>
      <c r="F14" s="130"/>
      <c r="G14" s="760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70" t="s">
        <v>1201</v>
      </c>
      <c r="F15" s="118"/>
      <c r="G15" s="7606"/>
    </row>
    <row r="16" spans="1:16" ht="14.25" customHeight="1">
      <c r="A16" s="109"/>
      <c r="C16" s="26"/>
      <c r="D16" s="67" t="s">
        <v>1107</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15" t="s">
        <v>480</v>
      </c>
      <c r="G16" s="259"/>
    </row>
    <row r="17" spans="1:16" ht="14.25" customHeight="1">
      <c r="A17" s="109"/>
      <c r="C17" s="26"/>
      <c r="D17" s="67" t="s">
        <v>1149</v>
      </c>
      <c r="E17" s="112"/>
      <c r="F17" s="314"/>
      <c r="G17" s="760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1555" customFormat="1" ht="21" customHeight="1">
      <c r="A18" s="264"/>
      <c r="B18" s="66"/>
      <c r="C18" s="222"/>
      <c r="D18" s="268"/>
      <c r="E18" s="270" t="s">
        <v>1202</v>
      </c>
      <c r="F18" s="260"/>
      <c r="G18" s="7606"/>
      <c r="I18" s="271"/>
      <c r="J18" s="271"/>
    </row>
    <row r="19" spans="1:16" s="1555" customFormat="1" ht="256.5" hidden="1" customHeight="1">
      <c r="A19" s="264"/>
      <c r="B19" s="346"/>
      <c r="C19" s="300"/>
      <c r="D19" s="798" t="s">
        <v>1109</v>
      </c>
      <c r="E19" s="797" t="s">
        <v>1203</v>
      </c>
      <c r="F19" s="314"/>
      <c r="G19" s="259" t="s">
        <v>1204</v>
      </c>
      <c r="I19" s="424"/>
      <c r="J19" s="424"/>
    </row>
    <row r="20" spans="1:16" s="1555" customFormat="1" ht="14.25" customHeight="1">
      <c r="A20" s="264"/>
      <c r="B20" s="66"/>
      <c r="C20" s="222"/>
      <c r="D20" s="799">
        <v>2</v>
      </c>
      <c r="E20" s="252" t="s">
        <v>1205</v>
      </c>
      <c r="F20" s="115" t="s">
        <v>480</v>
      </c>
      <c r="G20" s="259"/>
      <c r="I20" s="271"/>
      <c r="J20" s="271"/>
    </row>
    <row r="21" spans="1:16" s="1555" customFormat="1" ht="18.75" hidden="1" customHeight="1">
      <c r="A21" s="264"/>
      <c r="B21" s="66"/>
      <c r="C21" s="222"/>
      <c r="D21" s="255" t="s">
        <v>1035</v>
      </c>
      <c r="E21" s="254"/>
      <c r="F21" s="253"/>
      <c r="G21" s="263"/>
      <c r="H21" s="256"/>
      <c r="I21" s="271"/>
      <c r="J21" s="271"/>
    </row>
    <row r="22" spans="1:16" ht="15" customHeight="1">
      <c r="A22" s="109"/>
      <c r="C22" s="26"/>
      <c r="D22" s="36"/>
      <c r="E22" s="120" t="s">
        <v>1206</v>
      </c>
      <c r="F22" s="260"/>
      <c r="G22" s="261"/>
    </row>
    <row r="23" spans="1:16" s="1555" customFormat="1" ht="22.5" hidden="1" customHeight="1">
      <c r="A23" s="264"/>
      <c r="B23" s="1065"/>
      <c r="C23" s="300"/>
      <c r="D23" s="1593" t="s">
        <v>100</v>
      </c>
      <c r="E23" s="114" t="s">
        <v>1207</v>
      </c>
      <c r="F23" s="1590" t="s">
        <v>480</v>
      </c>
      <c r="G23" s="266"/>
      <c r="I23" s="1544"/>
      <c r="J23" s="1544"/>
    </row>
    <row r="24" spans="1:16" s="1555" customFormat="1" ht="14.25" hidden="1" customHeight="1">
      <c r="A24" s="264"/>
      <c r="B24" s="1065"/>
      <c r="C24" s="300"/>
      <c r="D24" s="1593" t="s">
        <v>791</v>
      </c>
      <c r="E24" s="1592" t="s">
        <v>1208</v>
      </c>
      <c r="F24" s="1590" t="s">
        <v>480</v>
      </c>
      <c r="G24" s="259"/>
      <c r="I24" s="1544"/>
      <c r="J24" s="1544"/>
    </row>
    <row r="25" spans="1:16" s="1555" customFormat="1" ht="14.25" hidden="1" customHeight="1">
      <c r="A25" s="264"/>
      <c r="B25" s="1065"/>
      <c r="C25" s="300"/>
      <c r="D25" s="1593" t="s">
        <v>794</v>
      </c>
      <c r="E25" s="112"/>
      <c r="F25" s="314"/>
      <c r="G25" s="7604" t="s">
        <v>1209</v>
      </c>
      <c r="I25" s="1544"/>
      <c r="J25" s="1544"/>
    </row>
    <row r="26" spans="1:16" s="1555" customFormat="1" ht="22.5" hidden="1" customHeight="1">
      <c r="A26" s="264"/>
      <c r="B26" s="1065"/>
      <c r="C26" s="300"/>
      <c r="D26" s="268"/>
      <c r="E26" s="270" t="s">
        <v>1210</v>
      </c>
      <c r="F26" s="260"/>
      <c r="G26" s="7606"/>
      <c r="I26" s="1544"/>
      <c r="J26" s="1544"/>
    </row>
    <row r="27" spans="1:16" ht="3" customHeight="1"/>
    <row r="28" spans="1:16" ht="14.25" customHeight="1">
      <c r="D28" s="258"/>
      <c r="E28" s="257"/>
      <c r="F28" s="233"/>
      <c r="G28" s="233"/>
      <c r="H28" s="233"/>
      <c r="I28" s="233"/>
      <c r="J28" s="233"/>
      <c r="K28" s="233"/>
      <c r="L28" s="233"/>
      <c r="M28" s="233"/>
      <c r="N28" s="233"/>
      <c r="O28" s="233"/>
      <c r="P28" s="233"/>
    </row>
    <row r="29" spans="1:16" ht="14.25" customHeight="1">
      <c r="D29" s="258"/>
      <c r="E29" s="505"/>
    </row>
    <row r="31" spans="1:16" ht="14.25" customHeight="1">
      <c r="E31" s="673"/>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116"/>
  <sheetViews>
    <sheetView showGridLines="0" tabSelected="1" topLeftCell="C13" zoomScale="80" workbookViewId="0">
      <selection activeCell="H24" sqref="H24"/>
    </sheetView>
  </sheetViews>
  <sheetFormatPr defaultColWidth="10.5703125" defaultRowHeight="14.25" customHeight="1"/>
  <cols>
    <col min="1" max="1" width="9.140625" style="1696" hidden="1" customWidth="1"/>
    <col min="2" max="2" width="9.140625" style="1287" hidden="1" customWidth="1"/>
    <col min="3" max="3" width="3.7109375" style="265" customWidth="1"/>
    <col min="4" max="4" width="6.28515625" style="1555" customWidth="1"/>
    <col min="5" max="5" width="63.42578125" style="1555" customWidth="1"/>
    <col min="6" max="6" width="1.7109375" style="1555" hidden="1" customWidth="1"/>
    <col min="7" max="8" width="35.7109375" style="1555" customWidth="1"/>
    <col min="9" max="9" width="91.5703125" style="1555" customWidth="1"/>
    <col min="10" max="10" width="68.85546875" style="1555" customWidth="1"/>
    <col min="11" max="12" width="10.5703125" style="1544"/>
  </cols>
  <sheetData>
    <row r="1" spans="1:12" ht="14.25" hidden="1" customHeight="1"/>
    <row r="2" spans="1:12" s="1555" customFormat="1" ht="18.75" hidden="1" customHeight="1">
      <c r="A2" s="1603"/>
      <c r="B2" s="1065"/>
      <c r="C2" s="1649" t="s">
        <v>101</v>
      </c>
      <c r="D2" s="1593"/>
      <c r="E2" s="116"/>
      <c r="F2" s="1590"/>
      <c r="G2" s="1590" t="s">
        <v>480</v>
      </c>
      <c r="H2" s="1066"/>
      <c r="K2" s="1544"/>
      <c r="L2" s="1544"/>
    </row>
    <row r="3" spans="1:12" s="1555" customFormat="1" ht="14.25" hidden="1" customHeight="1">
      <c r="A3" s="1283"/>
      <c r="B3" s="1065"/>
      <c r="C3" s="265"/>
      <c r="K3" s="1544"/>
      <c r="L3" s="1544"/>
    </row>
    <row r="4" spans="1:12" s="1555" customFormat="1" ht="18.75" hidden="1" customHeight="1">
      <c r="A4" s="1603"/>
      <c r="B4" s="1065"/>
      <c r="C4" s="1649" t="s">
        <v>101</v>
      </c>
      <c r="D4" s="1593"/>
      <c r="E4" s="122" t="s">
        <v>1211</v>
      </c>
      <c r="F4" s="1590"/>
      <c r="G4" s="172"/>
      <c r="H4" s="1590" t="s">
        <v>480</v>
      </c>
      <c r="K4" s="1544"/>
      <c r="L4" s="1544"/>
    </row>
    <row r="5" spans="1:12" s="1555" customFormat="1" ht="14.25" hidden="1" customHeight="1">
      <c r="A5" s="1283"/>
      <c r="B5" s="1065"/>
      <c r="C5" s="265"/>
      <c r="K5" s="1544"/>
      <c r="L5" s="1544"/>
    </row>
    <row r="6" spans="1:12" s="1555" customFormat="1" ht="18.75" hidden="1" customHeight="1">
      <c r="A6" s="1603"/>
      <c r="B6" s="1065"/>
      <c r="C6" s="1649" t="s">
        <v>101</v>
      </c>
      <c r="D6" s="1593"/>
      <c r="E6" s="123" t="s">
        <v>1212</v>
      </c>
      <c r="F6" s="1590"/>
      <c r="G6" s="172"/>
      <c r="H6" s="1590" t="s">
        <v>480</v>
      </c>
      <c r="K6" s="1544"/>
      <c r="L6" s="1544"/>
    </row>
    <row r="7" spans="1:12" s="1555" customFormat="1" ht="14.25" hidden="1" customHeight="1">
      <c r="A7" s="1283"/>
      <c r="B7" s="1065"/>
      <c r="C7" s="265"/>
      <c r="K7" s="1544"/>
      <c r="L7" s="1544"/>
    </row>
    <row r="8" spans="1:12" s="1555" customFormat="1" ht="18.75" hidden="1" customHeight="1">
      <c r="A8" s="1603"/>
      <c r="B8" s="1065"/>
      <c r="C8" s="1649" t="s">
        <v>101</v>
      </c>
      <c r="D8" s="1593"/>
      <c r="E8" s="123" t="s">
        <v>1213</v>
      </c>
      <c r="F8" s="1590"/>
      <c r="G8" s="172"/>
      <c r="H8" s="1590" t="s">
        <v>480</v>
      </c>
      <c r="K8" s="1544"/>
      <c r="L8" s="1544"/>
    </row>
    <row r="9" spans="1:12" s="1555" customFormat="1" ht="14.25" hidden="1" customHeight="1">
      <c r="A9" s="1283"/>
      <c r="B9" s="1065"/>
      <c r="C9" s="265"/>
      <c r="K9" s="1544"/>
      <c r="L9" s="1544"/>
    </row>
    <row r="10" spans="1:12" s="1555" customFormat="1" ht="18.75" hidden="1" customHeight="1">
      <c r="A10" s="1603"/>
      <c r="B10" s="1065"/>
      <c r="C10" s="1649" t="s">
        <v>101</v>
      </c>
      <c r="D10" s="1593"/>
      <c r="E10" s="123" t="s">
        <v>1214</v>
      </c>
      <c r="F10" s="1590"/>
      <c r="G10" s="1594"/>
      <c r="H10" s="1590" t="s">
        <v>480</v>
      </c>
      <c r="K10" s="1544"/>
      <c r="L10" s="1544" t="s">
        <v>1215</v>
      </c>
    </row>
    <row r="11" spans="1:12" ht="14.25" hidden="1" customHeight="1"/>
    <row r="12" spans="1:12" ht="14.25" hidden="1" customHeight="1"/>
    <row r="13" spans="1:12" ht="14.25" customHeight="1">
      <c r="C13" s="26"/>
      <c r="D13" s="15"/>
      <c r="E13" s="15"/>
      <c r="F13" s="15"/>
      <c r="G13" s="15"/>
      <c r="H13" s="16"/>
      <c r="I13" s="16"/>
    </row>
    <row r="14" spans="1:12" ht="27.75" customHeight="1">
      <c r="C14" s="26"/>
      <c r="D14" s="759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7595"/>
      <c r="F14" s="7595"/>
      <c r="G14" s="7595"/>
      <c r="H14" s="7596"/>
      <c r="J14" s="1551"/>
    </row>
    <row r="15" spans="1:12" s="1555" customFormat="1" ht="14.25" customHeight="1">
      <c r="A15" s="1283"/>
      <c r="B15" s="1065"/>
      <c r="C15" s="300"/>
      <c r="D15" s="7654" t="str">
        <f>IF(org=0,"Не определено",org)</f>
        <v>ГУП СК "Ставрополькрайводоканал"</v>
      </c>
      <c r="E15" s="7655"/>
      <c r="F15" s="7655"/>
      <c r="G15" s="7655"/>
      <c r="H15" s="7656"/>
      <c r="J15" s="766"/>
      <c r="K15" s="1544"/>
      <c r="L15" s="1544"/>
    </row>
    <row r="16" spans="1:12" ht="14.25" customHeight="1">
      <c r="C16" s="26"/>
      <c r="D16" s="15"/>
      <c r="E16" s="25"/>
      <c r="F16" s="25"/>
      <c r="G16" s="25"/>
      <c r="H16" s="667"/>
      <c r="I16" s="110"/>
    </row>
    <row r="17" spans="1:12" s="1555" customFormat="1" ht="14.25" hidden="1" customHeight="1">
      <c r="A17" s="1283"/>
      <c r="B17" s="1065"/>
      <c r="C17" s="300"/>
      <c r="D17" s="286"/>
      <c r="E17" s="318"/>
      <c r="F17" s="318"/>
      <c r="G17" s="318"/>
      <c r="H17" s="667"/>
      <c r="I17" s="110"/>
      <c r="K17" s="1544"/>
      <c r="L17" s="1544"/>
    </row>
    <row r="18" spans="1:12" ht="21" customHeight="1">
      <c r="C18" s="26"/>
      <c r="D18" s="7649" t="s">
        <v>474</v>
      </c>
      <c r="E18" s="7649"/>
      <c r="F18" s="7649"/>
      <c r="G18" s="7649"/>
      <c r="H18" s="7649"/>
      <c r="I18" s="7832" t="s">
        <v>475</v>
      </c>
    </row>
    <row r="19" spans="1:12" ht="21" customHeight="1">
      <c r="C19" s="26"/>
      <c r="D19" s="32" t="s">
        <v>86</v>
      </c>
      <c r="E19" s="35" t="s">
        <v>476</v>
      </c>
      <c r="F19" s="35"/>
      <c r="G19" s="35" t="s">
        <v>477</v>
      </c>
      <c r="H19" s="35" t="s">
        <v>566</v>
      </c>
      <c r="I19" s="7832"/>
    </row>
    <row r="20" spans="1:12" ht="12" hidden="1" customHeight="1">
      <c r="C20" s="26"/>
      <c r="D20" s="18"/>
      <c r="E20" s="18"/>
      <c r="F20" s="18"/>
      <c r="G20" s="18"/>
      <c r="H20" s="18"/>
      <c r="I20" s="18"/>
    </row>
    <row r="21" spans="1:12" ht="14.25" customHeight="1">
      <c r="A21" s="1603"/>
      <c r="C21" s="26"/>
      <c r="D21" s="67">
        <v>1</v>
      </c>
      <c r="E21" s="7834" t="s">
        <v>1216</v>
      </c>
      <c r="F21" s="7834"/>
      <c r="G21" s="7834"/>
      <c r="H21" s="7834"/>
      <c r="I21" s="125"/>
    </row>
    <row r="22" spans="1:12" ht="20.25" customHeight="1">
      <c r="A22" s="1603"/>
      <c r="C22" s="26"/>
      <c r="D22" s="67" t="s">
        <v>1105</v>
      </c>
      <c r="E22" s="111" t="s">
        <v>1217</v>
      </c>
      <c r="F22" s="115"/>
      <c r="G22" s="1656">
        <v>45289</v>
      </c>
      <c r="H22" s="115" t="s">
        <v>480</v>
      </c>
      <c r="I22" s="71" t="s">
        <v>1218</v>
      </c>
    </row>
    <row r="23" spans="1:12" ht="45" customHeight="1">
      <c r="A23" s="1603"/>
      <c r="C23" s="26"/>
      <c r="D23" s="67" t="s">
        <v>1107</v>
      </c>
      <c r="E23" s="111" t="s">
        <v>1219</v>
      </c>
      <c r="F23" s="115"/>
      <c r="G23" s="7133" t="s">
        <v>1220</v>
      </c>
      <c r="H23" s="7134" t="s">
        <v>1221</v>
      </c>
      <c r="I23" s="173" t="s">
        <v>1222</v>
      </c>
    </row>
    <row r="24" spans="1:12" ht="36" customHeight="1">
      <c r="A24" s="1603"/>
      <c r="B24" s="66">
        <v>3</v>
      </c>
      <c r="C24" s="26"/>
      <c r="D24" s="67">
        <v>2</v>
      </c>
      <c r="E24" s="13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15"/>
      <c r="G24" s="115" t="s">
        <v>480</v>
      </c>
      <c r="H24" s="130" t="s">
        <v>1223</v>
      </c>
      <c r="I24" s="174" t="s">
        <v>972</v>
      </c>
    </row>
    <row r="25" spans="1:12" ht="46.5" customHeight="1">
      <c r="A25" s="1603"/>
      <c r="C25" s="26"/>
      <c r="D25" s="67">
        <v>3</v>
      </c>
      <c r="E25" s="783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7834"/>
      <c r="G25" s="7834"/>
      <c r="H25" s="7834"/>
      <c r="I25" s="171"/>
    </row>
    <row r="26" spans="1:12" ht="36" customHeight="1">
      <c r="A26" s="1603"/>
      <c r="C26" s="26"/>
      <c r="D26" s="67" t="s">
        <v>500</v>
      </c>
      <c r="E26" s="116" t="s">
        <v>1224</v>
      </c>
      <c r="F26" s="115"/>
      <c r="G26" s="115" t="s">
        <v>480</v>
      </c>
      <c r="H26" s="130" t="s">
        <v>1223</v>
      </c>
      <c r="I26" s="7604" t="s">
        <v>1225</v>
      </c>
    </row>
    <row r="27" spans="1:12" s="1555" customFormat="1" ht="58.5" customHeight="1">
      <c r="A27" s="1603"/>
      <c r="B27" s="1287"/>
      <c r="C27" s="1649" t="s">
        <v>101</v>
      </c>
      <c r="D27" s="1810" t="s">
        <v>508</v>
      </c>
      <c r="E27" s="1687" t="s">
        <v>1226</v>
      </c>
      <c r="F27" s="1824"/>
      <c r="G27" s="1824" t="s">
        <v>480</v>
      </c>
      <c r="H27" s="1069" t="s">
        <v>1223</v>
      </c>
      <c r="I27" s="7833"/>
      <c r="K27" s="1544"/>
      <c r="L27" s="1544"/>
    </row>
    <row r="28" spans="1:12" s="1555" customFormat="1" ht="81" customHeight="1">
      <c r="A28" s="1603"/>
      <c r="B28" s="1287"/>
      <c r="C28" s="1649" t="s">
        <v>101</v>
      </c>
      <c r="D28" s="1810" t="s">
        <v>510</v>
      </c>
      <c r="E28" s="1687" t="s">
        <v>1227</v>
      </c>
      <c r="F28" s="1824"/>
      <c r="G28" s="1824" t="s">
        <v>480</v>
      </c>
      <c r="H28" s="1069" t="s">
        <v>1223</v>
      </c>
      <c r="I28" s="7833"/>
      <c r="K28" s="1544"/>
      <c r="L28" s="1544"/>
    </row>
    <row r="29" spans="1:12" s="1555" customFormat="1" ht="36" customHeight="1">
      <c r="A29" s="1603"/>
      <c r="B29" s="1287"/>
      <c r="C29" s="1649" t="s">
        <v>101</v>
      </c>
      <c r="D29" s="1810" t="s">
        <v>512</v>
      </c>
      <c r="E29" s="1687" t="s">
        <v>1228</v>
      </c>
      <c r="F29" s="1824"/>
      <c r="G29" s="1824" t="s">
        <v>480</v>
      </c>
      <c r="H29" s="1069" t="s">
        <v>1223</v>
      </c>
      <c r="I29" s="7833"/>
      <c r="K29" s="1544"/>
      <c r="L29" s="1544"/>
    </row>
    <row r="30" spans="1:12" s="1555" customFormat="1" ht="58.5" customHeight="1">
      <c r="A30" s="1603"/>
      <c r="B30" s="1287"/>
      <c r="C30" s="1649" t="s">
        <v>101</v>
      </c>
      <c r="D30" s="1810" t="s">
        <v>1000</v>
      </c>
      <c r="E30" s="1687" t="s">
        <v>1229</v>
      </c>
      <c r="F30" s="1824"/>
      <c r="G30" s="1824" t="s">
        <v>480</v>
      </c>
      <c r="H30" s="1069" t="s">
        <v>1223</v>
      </c>
      <c r="I30" s="7833"/>
      <c r="K30" s="1544"/>
      <c r="L30" s="1544"/>
    </row>
    <row r="31" spans="1:12" s="1555" customFormat="1" ht="81" customHeight="1">
      <c r="A31" s="1603"/>
      <c r="B31" s="1287"/>
      <c r="C31" s="1649" t="s">
        <v>101</v>
      </c>
      <c r="D31" s="1810" t="s">
        <v>1002</v>
      </c>
      <c r="E31" s="1687" t="s">
        <v>1230</v>
      </c>
      <c r="F31" s="1824"/>
      <c r="G31" s="1824" t="s">
        <v>480</v>
      </c>
      <c r="H31" s="1069" t="s">
        <v>1223</v>
      </c>
      <c r="I31" s="7833"/>
      <c r="K31" s="1544"/>
      <c r="L31" s="1544"/>
    </row>
    <row r="32" spans="1:12" s="1555" customFormat="1" ht="103.5" customHeight="1">
      <c r="A32" s="1603"/>
      <c r="B32" s="1287"/>
      <c r="C32" s="1649" t="s">
        <v>101</v>
      </c>
      <c r="D32" s="1810" t="s">
        <v>1004</v>
      </c>
      <c r="E32" s="1687" t="s">
        <v>1231</v>
      </c>
      <c r="F32" s="1824"/>
      <c r="G32" s="1824" t="s">
        <v>480</v>
      </c>
      <c r="H32" s="1069" t="s">
        <v>1223</v>
      </c>
      <c r="I32" s="7833"/>
      <c r="K32" s="1544"/>
      <c r="L32" s="1544"/>
    </row>
    <row r="33" spans="1:12" s="1555" customFormat="1" ht="92.25" customHeight="1">
      <c r="A33" s="1603"/>
      <c r="B33" s="1287"/>
      <c r="C33" s="1649" t="s">
        <v>101</v>
      </c>
      <c r="D33" s="1810" t="s">
        <v>1232</v>
      </c>
      <c r="E33" s="1687" t="s">
        <v>1233</v>
      </c>
      <c r="F33" s="1824"/>
      <c r="G33" s="1824" t="s">
        <v>480</v>
      </c>
      <c r="H33" s="1069" t="s">
        <v>1223</v>
      </c>
      <c r="I33" s="7833"/>
      <c r="K33" s="1544"/>
      <c r="L33" s="1544"/>
    </row>
    <row r="34" spans="1:12" s="1555" customFormat="1" ht="126" customHeight="1">
      <c r="A34" s="1603"/>
      <c r="B34" s="1287"/>
      <c r="C34" s="1649" t="s">
        <v>101</v>
      </c>
      <c r="D34" s="1810" t="s">
        <v>1234</v>
      </c>
      <c r="E34" s="1687" t="s">
        <v>1235</v>
      </c>
      <c r="F34" s="1824"/>
      <c r="G34" s="1824" t="s">
        <v>480</v>
      </c>
      <c r="H34" s="1069" t="s">
        <v>1223</v>
      </c>
      <c r="I34" s="7833"/>
      <c r="K34" s="1544"/>
      <c r="L34" s="1544"/>
    </row>
    <row r="35" spans="1:12" ht="15" customHeight="1">
      <c r="A35" s="1603" t="s">
        <v>97</v>
      </c>
      <c r="C35" s="26"/>
      <c r="D35" s="36"/>
      <c r="E35" s="120" t="s">
        <v>1206</v>
      </c>
      <c r="F35" s="121"/>
      <c r="G35" s="121"/>
      <c r="H35" s="118"/>
      <c r="I35" s="7606"/>
    </row>
    <row r="36" spans="1:12" ht="38.25" customHeight="1">
      <c r="A36" s="1603"/>
      <c r="B36" s="66">
        <v>3</v>
      </c>
      <c r="C36" s="26"/>
      <c r="D36" s="67">
        <v>4</v>
      </c>
      <c r="E36" s="783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36" s="7834"/>
      <c r="G36" s="7834"/>
      <c r="H36" s="7834"/>
      <c r="I36" s="171"/>
    </row>
    <row r="37" spans="1:12" ht="24.75" customHeight="1">
      <c r="A37" s="1603"/>
      <c r="C37" s="26"/>
      <c r="D37" s="67" t="s">
        <v>836</v>
      </c>
      <c r="E37" s="122" t="s">
        <v>1211</v>
      </c>
      <c r="F37" s="115"/>
      <c r="G37" s="172" t="s">
        <v>1236</v>
      </c>
      <c r="H37" s="115" t="s">
        <v>480</v>
      </c>
      <c r="I37" s="7604" t="s">
        <v>1237</v>
      </c>
    </row>
    <row r="38" spans="1:12" s="1555" customFormat="1" ht="148.5" customHeight="1">
      <c r="A38" s="1603"/>
      <c r="B38" s="1287"/>
      <c r="C38" s="1649" t="s">
        <v>101</v>
      </c>
      <c r="D38" s="1810" t="s">
        <v>879</v>
      </c>
      <c r="E38" s="1819" t="s">
        <v>1211</v>
      </c>
      <c r="F38" s="1824"/>
      <c r="G38" s="1823" t="s">
        <v>1238</v>
      </c>
      <c r="H38" s="1824" t="s">
        <v>480</v>
      </c>
      <c r="I38" s="7833"/>
      <c r="K38" s="1544"/>
      <c r="L38" s="1544"/>
    </row>
    <row r="39" spans="1:12" s="1555" customFormat="1" ht="92.25" customHeight="1">
      <c r="A39" s="1603"/>
      <c r="B39" s="1287"/>
      <c r="C39" s="1649" t="s">
        <v>101</v>
      </c>
      <c r="D39" s="1810" t="s">
        <v>882</v>
      </c>
      <c r="E39" s="1819" t="s">
        <v>1211</v>
      </c>
      <c r="F39" s="1824"/>
      <c r="G39" s="1823" t="s">
        <v>1239</v>
      </c>
      <c r="H39" s="1824" t="s">
        <v>480</v>
      </c>
      <c r="I39" s="7833"/>
      <c r="K39" s="1544"/>
      <c r="L39" s="1544"/>
    </row>
    <row r="40" spans="1:12" s="1555" customFormat="1" ht="69.75" customHeight="1">
      <c r="A40" s="1603"/>
      <c r="B40" s="1287"/>
      <c r="C40" s="1649" t="s">
        <v>101</v>
      </c>
      <c r="D40" s="1810" t="s">
        <v>960</v>
      </c>
      <c r="E40" s="1819" t="s">
        <v>1211</v>
      </c>
      <c r="F40" s="1824"/>
      <c r="G40" s="1823" t="s">
        <v>1240</v>
      </c>
      <c r="H40" s="1824" t="s">
        <v>480</v>
      </c>
      <c r="I40" s="7833"/>
      <c r="K40" s="1544"/>
      <c r="L40" s="1544"/>
    </row>
    <row r="41" spans="1:12" s="1555" customFormat="1" ht="47.25" customHeight="1">
      <c r="A41" s="1603"/>
      <c r="B41" s="1287"/>
      <c r="C41" s="1649" t="s">
        <v>101</v>
      </c>
      <c r="D41" s="1810" t="s">
        <v>962</v>
      </c>
      <c r="E41" s="1819" t="s">
        <v>1211</v>
      </c>
      <c r="F41" s="1824"/>
      <c r="G41" s="1823" t="s">
        <v>1241</v>
      </c>
      <c r="H41" s="1824" t="s">
        <v>480</v>
      </c>
      <c r="I41" s="7833"/>
      <c r="K41" s="1544"/>
      <c r="L41" s="1544"/>
    </row>
    <row r="42" spans="1:12" s="1555" customFormat="1" ht="47.25" customHeight="1">
      <c r="A42" s="1603"/>
      <c r="B42" s="1287"/>
      <c r="C42" s="1649" t="s">
        <v>101</v>
      </c>
      <c r="D42" s="1810" t="s">
        <v>1008</v>
      </c>
      <c r="E42" s="1819" t="s">
        <v>1211</v>
      </c>
      <c r="F42" s="1824"/>
      <c r="G42" s="1823" t="s">
        <v>1242</v>
      </c>
      <c r="H42" s="1824" t="s">
        <v>480</v>
      </c>
      <c r="I42" s="7833"/>
      <c r="K42" s="1544"/>
      <c r="L42" s="1544"/>
    </row>
    <row r="43" spans="1:12" s="1555" customFormat="1" ht="126" customHeight="1">
      <c r="A43" s="1603"/>
      <c r="B43" s="1287"/>
      <c r="C43" s="1649" t="s">
        <v>101</v>
      </c>
      <c r="D43" s="1810" t="s">
        <v>1009</v>
      </c>
      <c r="E43" s="1819" t="s">
        <v>1211</v>
      </c>
      <c r="F43" s="1824"/>
      <c r="G43" s="1823" t="s">
        <v>1243</v>
      </c>
      <c r="H43" s="1824" t="s">
        <v>480</v>
      </c>
      <c r="I43" s="7833"/>
      <c r="K43" s="1544"/>
      <c r="L43" s="1544"/>
    </row>
    <row r="44" spans="1:12" s="1555" customFormat="1" ht="126" customHeight="1">
      <c r="A44" s="1603"/>
      <c r="B44" s="1287"/>
      <c r="C44" s="1649" t="s">
        <v>101</v>
      </c>
      <c r="D44" s="1810" t="s">
        <v>1244</v>
      </c>
      <c r="E44" s="1819" t="s">
        <v>1211</v>
      </c>
      <c r="F44" s="1824"/>
      <c r="G44" s="1823" t="s">
        <v>1245</v>
      </c>
      <c r="H44" s="1824" t="s">
        <v>480</v>
      </c>
      <c r="I44" s="7833"/>
      <c r="K44" s="1544"/>
      <c r="L44" s="1544"/>
    </row>
    <row r="45" spans="1:12" s="1555" customFormat="1" ht="114.75" customHeight="1">
      <c r="A45" s="1603"/>
      <c r="B45" s="1287"/>
      <c r="C45" s="1649" t="s">
        <v>101</v>
      </c>
      <c r="D45" s="1810" t="s">
        <v>1246</v>
      </c>
      <c r="E45" s="1819" t="s">
        <v>1211</v>
      </c>
      <c r="F45" s="1824"/>
      <c r="G45" s="1823" t="s">
        <v>1247</v>
      </c>
      <c r="H45" s="1824" t="s">
        <v>480</v>
      </c>
      <c r="I45" s="7833"/>
      <c r="K45" s="1544"/>
      <c r="L45" s="1544"/>
    </row>
    <row r="46" spans="1:12" s="1555" customFormat="1" ht="114.75" customHeight="1">
      <c r="A46" s="1603"/>
      <c r="B46" s="1287"/>
      <c r="C46" s="1649" t="s">
        <v>101</v>
      </c>
      <c r="D46" s="1810" t="s">
        <v>1248</v>
      </c>
      <c r="E46" s="1819" t="s">
        <v>1211</v>
      </c>
      <c r="F46" s="1824"/>
      <c r="G46" s="1823" t="s">
        <v>1249</v>
      </c>
      <c r="H46" s="1824" t="s">
        <v>480</v>
      </c>
      <c r="I46" s="7833"/>
      <c r="K46" s="1544"/>
      <c r="L46" s="1544"/>
    </row>
    <row r="47" spans="1:12" s="1555" customFormat="1" ht="126" customHeight="1">
      <c r="A47" s="1603"/>
      <c r="B47" s="1287"/>
      <c r="C47" s="1649" t="s">
        <v>101</v>
      </c>
      <c r="D47" s="1810" t="s">
        <v>1250</v>
      </c>
      <c r="E47" s="1819" t="s">
        <v>1211</v>
      </c>
      <c r="F47" s="1824"/>
      <c r="G47" s="1823" t="s">
        <v>1251</v>
      </c>
      <c r="H47" s="1824" t="s">
        <v>480</v>
      </c>
      <c r="I47" s="7833"/>
      <c r="K47" s="1544"/>
      <c r="L47" s="1544"/>
    </row>
    <row r="48" spans="1:12" s="1555" customFormat="1" ht="126" customHeight="1">
      <c r="A48" s="1603"/>
      <c r="B48" s="1287"/>
      <c r="C48" s="1649" t="s">
        <v>101</v>
      </c>
      <c r="D48" s="1810" t="s">
        <v>1252</v>
      </c>
      <c r="E48" s="1819" t="s">
        <v>1211</v>
      </c>
      <c r="F48" s="1824"/>
      <c r="G48" s="1823" t="s">
        <v>1253</v>
      </c>
      <c r="H48" s="1824" t="s">
        <v>480</v>
      </c>
      <c r="I48" s="7833"/>
      <c r="K48" s="1544"/>
      <c r="L48" s="1544"/>
    </row>
    <row r="49" spans="1:12" s="1555" customFormat="1" ht="126" customHeight="1">
      <c r="A49" s="1603"/>
      <c r="B49" s="1287"/>
      <c r="C49" s="1649" t="s">
        <v>101</v>
      </c>
      <c r="D49" s="1810" t="s">
        <v>1254</v>
      </c>
      <c r="E49" s="1819" t="s">
        <v>1211</v>
      </c>
      <c r="F49" s="1824"/>
      <c r="G49" s="1823" t="s">
        <v>1255</v>
      </c>
      <c r="H49" s="1824" t="s">
        <v>480</v>
      </c>
      <c r="I49" s="7833"/>
      <c r="K49" s="1544"/>
      <c r="L49" s="1544"/>
    </row>
    <row r="50" spans="1:12" s="1555" customFormat="1" ht="126" customHeight="1">
      <c r="A50" s="1603"/>
      <c r="B50" s="1287"/>
      <c r="C50" s="1649" t="s">
        <v>101</v>
      </c>
      <c r="D50" s="1810" t="s">
        <v>1256</v>
      </c>
      <c r="E50" s="1819" t="s">
        <v>1211</v>
      </c>
      <c r="F50" s="1824"/>
      <c r="G50" s="1823" t="s">
        <v>1257</v>
      </c>
      <c r="H50" s="1824" t="s">
        <v>480</v>
      </c>
      <c r="I50" s="7833"/>
      <c r="K50" s="1544"/>
      <c r="L50" s="1544"/>
    </row>
    <row r="51" spans="1:12" ht="15" customHeight="1">
      <c r="A51" s="1603" t="s">
        <v>100</v>
      </c>
      <c r="C51" s="26"/>
      <c r="D51" s="36"/>
      <c r="E51" s="120" t="s">
        <v>1206</v>
      </c>
      <c r="F51" s="121"/>
      <c r="G51" s="121"/>
      <c r="H51" s="118"/>
      <c r="I51" s="7606"/>
    </row>
    <row r="52" spans="1:12" ht="30" customHeight="1">
      <c r="A52" s="1603"/>
      <c r="B52" s="66">
        <v>3</v>
      </c>
      <c r="C52" s="26"/>
      <c r="D52" s="67">
        <v>5</v>
      </c>
      <c r="E52" s="783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52" s="7834"/>
      <c r="G52" s="7834"/>
      <c r="H52" s="7834"/>
      <c r="I52" s="171"/>
    </row>
    <row r="53" spans="1:12" ht="26.25" customHeight="1">
      <c r="A53" s="1603"/>
      <c r="C53" s="26"/>
      <c r="D53" s="67" t="s">
        <v>489</v>
      </c>
      <c r="E53" s="779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53" s="7790"/>
      <c r="G53" s="7790"/>
      <c r="H53" s="7790"/>
      <c r="I53" s="171"/>
    </row>
    <row r="54" spans="1:12" ht="14.25" customHeight="1">
      <c r="A54" s="1603"/>
      <c r="C54" s="26"/>
      <c r="D54" s="67" t="s">
        <v>1258</v>
      </c>
      <c r="E54" s="123" t="s">
        <v>1212</v>
      </c>
      <c r="F54" s="115"/>
      <c r="G54" s="172" t="s">
        <v>1259</v>
      </c>
      <c r="H54" s="115" t="s">
        <v>480</v>
      </c>
      <c r="I54" s="7604" t="s">
        <v>1260</v>
      </c>
    </row>
    <row r="55" spans="1:12" s="1555" customFormat="1" ht="18.75" customHeight="1">
      <c r="A55" s="1603"/>
      <c r="B55" s="1287"/>
      <c r="C55" s="1649" t="s">
        <v>101</v>
      </c>
      <c r="D55" s="1810" t="s">
        <v>1261</v>
      </c>
      <c r="E55" s="123" t="s">
        <v>1212</v>
      </c>
      <c r="F55" s="1824"/>
      <c r="G55" s="1823" t="s">
        <v>1262</v>
      </c>
      <c r="H55" s="1824" t="s">
        <v>480</v>
      </c>
      <c r="I55" s="7833"/>
      <c r="K55" s="1544"/>
      <c r="L55" s="1544"/>
    </row>
    <row r="56" spans="1:12" s="1555" customFormat="1" ht="18.75" customHeight="1">
      <c r="A56" s="1603"/>
      <c r="B56" s="1287"/>
      <c r="C56" s="1649" t="s">
        <v>101</v>
      </c>
      <c r="D56" s="1810" t="s">
        <v>1263</v>
      </c>
      <c r="E56" s="123" t="s">
        <v>1212</v>
      </c>
      <c r="F56" s="1824"/>
      <c r="G56" s="1823" t="s">
        <v>1264</v>
      </c>
      <c r="H56" s="1824" t="s">
        <v>480</v>
      </c>
      <c r="I56" s="7833"/>
      <c r="K56" s="1544"/>
      <c r="L56" s="1544"/>
    </row>
    <row r="57" spans="1:12" s="1555" customFormat="1" ht="18.75" customHeight="1">
      <c r="A57" s="1603"/>
      <c r="B57" s="1287"/>
      <c r="C57" s="1649" t="s">
        <v>101</v>
      </c>
      <c r="D57" s="1810" t="s">
        <v>1265</v>
      </c>
      <c r="E57" s="123" t="s">
        <v>1212</v>
      </c>
      <c r="F57" s="1824"/>
      <c r="G57" s="1823" t="s">
        <v>1266</v>
      </c>
      <c r="H57" s="1824" t="s">
        <v>480</v>
      </c>
      <c r="I57" s="7833"/>
      <c r="K57" s="1544"/>
      <c r="L57" s="1544"/>
    </row>
    <row r="58" spans="1:12" s="1555" customFormat="1" ht="18.75" customHeight="1">
      <c r="A58" s="1603"/>
      <c r="B58" s="1287"/>
      <c r="C58" s="1649" t="s">
        <v>101</v>
      </c>
      <c r="D58" s="1810" t="s">
        <v>1267</v>
      </c>
      <c r="E58" s="123" t="s">
        <v>1212</v>
      </c>
      <c r="F58" s="1824"/>
      <c r="G58" s="1823" t="s">
        <v>1268</v>
      </c>
      <c r="H58" s="1824" t="s">
        <v>480</v>
      </c>
      <c r="I58" s="7833"/>
      <c r="K58" s="1544"/>
      <c r="L58" s="1544"/>
    </row>
    <row r="59" spans="1:12" s="1555" customFormat="1" ht="18.75" customHeight="1">
      <c r="A59" s="1603"/>
      <c r="B59" s="1287"/>
      <c r="C59" s="1649" t="s">
        <v>101</v>
      </c>
      <c r="D59" s="1810" t="s">
        <v>1269</v>
      </c>
      <c r="E59" s="123" t="s">
        <v>1212</v>
      </c>
      <c r="F59" s="1824"/>
      <c r="G59" s="1823" t="s">
        <v>1270</v>
      </c>
      <c r="H59" s="1824" t="s">
        <v>480</v>
      </c>
      <c r="I59" s="7833"/>
      <c r="K59" s="1544"/>
      <c r="L59" s="1544"/>
    </row>
    <row r="60" spans="1:12" s="1555" customFormat="1" ht="18.75" customHeight="1">
      <c r="A60" s="1603"/>
      <c r="B60" s="1287"/>
      <c r="C60" s="1649" t="s">
        <v>101</v>
      </c>
      <c r="D60" s="1810" t="s">
        <v>1271</v>
      </c>
      <c r="E60" s="123" t="s">
        <v>1212</v>
      </c>
      <c r="F60" s="1824"/>
      <c r="G60" s="1823" t="s">
        <v>1272</v>
      </c>
      <c r="H60" s="1824" t="s">
        <v>480</v>
      </c>
      <c r="I60" s="7833"/>
      <c r="K60" s="1544"/>
      <c r="L60" s="1544"/>
    </row>
    <row r="61" spans="1:12" s="1555" customFormat="1" ht="18.75" customHeight="1">
      <c r="A61" s="1603"/>
      <c r="B61" s="1287"/>
      <c r="C61" s="1649" t="s">
        <v>101</v>
      </c>
      <c r="D61" s="1810" t="s">
        <v>1273</v>
      </c>
      <c r="E61" s="123" t="s">
        <v>1212</v>
      </c>
      <c r="F61" s="1824"/>
      <c r="G61" s="1823" t="s">
        <v>1274</v>
      </c>
      <c r="H61" s="1824" t="s">
        <v>480</v>
      </c>
      <c r="I61" s="7833"/>
      <c r="K61" s="1544"/>
      <c r="L61" s="1544"/>
    </row>
    <row r="62" spans="1:12" s="1555" customFormat="1" ht="18.75" customHeight="1">
      <c r="A62" s="1603"/>
      <c r="B62" s="1287"/>
      <c r="C62" s="1649" t="s">
        <v>101</v>
      </c>
      <c r="D62" s="1810" t="s">
        <v>1275</v>
      </c>
      <c r="E62" s="123" t="s">
        <v>1212</v>
      </c>
      <c r="F62" s="1824"/>
      <c r="G62" s="1823" t="s">
        <v>1276</v>
      </c>
      <c r="H62" s="1824" t="s">
        <v>480</v>
      </c>
      <c r="I62" s="7833"/>
      <c r="K62" s="1544"/>
      <c r="L62" s="1544"/>
    </row>
    <row r="63" spans="1:12" s="1555" customFormat="1" ht="18.75" customHeight="1">
      <c r="A63" s="1603"/>
      <c r="B63" s="1287"/>
      <c r="C63" s="1649" t="s">
        <v>101</v>
      </c>
      <c r="D63" s="1810" t="s">
        <v>1277</v>
      </c>
      <c r="E63" s="123" t="s">
        <v>1212</v>
      </c>
      <c r="F63" s="1824"/>
      <c r="G63" s="1823" t="s">
        <v>1278</v>
      </c>
      <c r="H63" s="1824" t="s">
        <v>480</v>
      </c>
      <c r="I63" s="7833"/>
      <c r="K63" s="1544"/>
      <c r="L63" s="1544"/>
    </row>
    <row r="64" spans="1:12" s="1555" customFormat="1" ht="18.75" customHeight="1">
      <c r="A64" s="1603"/>
      <c r="B64" s="1287"/>
      <c r="C64" s="1649" t="s">
        <v>101</v>
      </c>
      <c r="D64" s="1810" t="s">
        <v>1279</v>
      </c>
      <c r="E64" s="123" t="s">
        <v>1212</v>
      </c>
      <c r="F64" s="1824"/>
      <c r="G64" s="1823" t="s">
        <v>1280</v>
      </c>
      <c r="H64" s="1824" t="s">
        <v>480</v>
      </c>
      <c r="I64" s="7833"/>
      <c r="K64" s="1544"/>
      <c r="L64" s="1544"/>
    </row>
    <row r="65" spans="1:12" s="1555" customFormat="1" ht="18.75" customHeight="1">
      <c r="A65" s="1603"/>
      <c r="B65" s="1287"/>
      <c r="C65" s="1649" t="s">
        <v>101</v>
      </c>
      <c r="D65" s="1810" t="s">
        <v>1281</v>
      </c>
      <c r="E65" s="123" t="s">
        <v>1212</v>
      </c>
      <c r="F65" s="1824"/>
      <c r="G65" s="1823" t="s">
        <v>1282</v>
      </c>
      <c r="H65" s="1824" t="s">
        <v>480</v>
      </c>
      <c r="I65" s="7833"/>
      <c r="K65" s="1544"/>
      <c r="L65" s="1544"/>
    </row>
    <row r="66" spans="1:12" s="1555" customFormat="1" ht="18.75" customHeight="1">
      <c r="A66" s="1603"/>
      <c r="B66" s="1287"/>
      <c r="C66" s="1649" t="s">
        <v>101</v>
      </c>
      <c r="D66" s="1810" t="s">
        <v>1283</v>
      </c>
      <c r="E66" s="123" t="s">
        <v>1212</v>
      </c>
      <c r="F66" s="1824"/>
      <c r="G66" s="1823" t="s">
        <v>1284</v>
      </c>
      <c r="H66" s="1824" t="s">
        <v>480</v>
      </c>
      <c r="I66" s="7833"/>
      <c r="K66" s="1544"/>
      <c r="L66" s="1544"/>
    </row>
    <row r="67" spans="1:12" s="1555" customFormat="1" ht="18.75" customHeight="1">
      <c r="A67" s="1603"/>
      <c r="B67" s="1287"/>
      <c r="C67" s="1649" t="s">
        <v>101</v>
      </c>
      <c r="D67" s="1810" t="s">
        <v>1285</v>
      </c>
      <c r="E67" s="123" t="s">
        <v>1212</v>
      </c>
      <c r="F67" s="1824"/>
      <c r="G67" s="1823" t="s">
        <v>1286</v>
      </c>
      <c r="H67" s="1824" t="s">
        <v>480</v>
      </c>
      <c r="I67" s="7833"/>
      <c r="K67" s="1544"/>
      <c r="L67" s="1544"/>
    </row>
    <row r="68" spans="1:12" s="1555" customFormat="1" ht="18.75" customHeight="1">
      <c r="A68" s="1603"/>
      <c r="B68" s="1287"/>
      <c r="C68" s="1649" t="s">
        <v>101</v>
      </c>
      <c r="D68" s="1810" t="s">
        <v>1287</v>
      </c>
      <c r="E68" s="123" t="s">
        <v>1212</v>
      </c>
      <c r="F68" s="1824"/>
      <c r="G68" s="1823" t="s">
        <v>1288</v>
      </c>
      <c r="H68" s="1824" t="s">
        <v>480</v>
      </c>
      <c r="I68" s="7833"/>
      <c r="K68" s="1544"/>
      <c r="L68" s="1544"/>
    </row>
    <row r="69" spans="1:12" s="1555" customFormat="1" ht="18.75" customHeight="1">
      <c r="A69" s="1603"/>
      <c r="B69" s="1287"/>
      <c r="C69" s="1649" t="s">
        <v>101</v>
      </c>
      <c r="D69" s="1810" t="s">
        <v>1289</v>
      </c>
      <c r="E69" s="123" t="s">
        <v>1212</v>
      </c>
      <c r="F69" s="1824"/>
      <c r="G69" s="1823" t="s">
        <v>1290</v>
      </c>
      <c r="H69" s="1824" t="s">
        <v>480</v>
      </c>
      <c r="I69" s="7833"/>
      <c r="K69" s="1544"/>
      <c r="L69" s="1544"/>
    </row>
    <row r="70" spans="1:12" s="1555" customFormat="1" ht="18.75" customHeight="1">
      <c r="A70" s="1603"/>
      <c r="B70" s="1287"/>
      <c r="C70" s="1649" t="s">
        <v>101</v>
      </c>
      <c r="D70" s="1810" t="s">
        <v>1291</v>
      </c>
      <c r="E70" s="123" t="s">
        <v>1212</v>
      </c>
      <c r="F70" s="1824"/>
      <c r="G70" s="1823" t="s">
        <v>1292</v>
      </c>
      <c r="H70" s="1824" t="s">
        <v>480</v>
      </c>
      <c r="I70" s="7833"/>
      <c r="K70" s="1544"/>
      <c r="L70" s="1544"/>
    </row>
    <row r="71" spans="1:12" s="1555" customFormat="1" ht="18.75" customHeight="1">
      <c r="A71" s="1603"/>
      <c r="B71" s="1287"/>
      <c r="C71" s="1649" t="s">
        <v>101</v>
      </c>
      <c r="D71" s="1810" t="s">
        <v>1293</v>
      </c>
      <c r="E71" s="123" t="s">
        <v>1212</v>
      </c>
      <c r="F71" s="1824"/>
      <c r="G71" s="1823" t="s">
        <v>1294</v>
      </c>
      <c r="H71" s="1824" t="s">
        <v>480</v>
      </c>
      <c r="I71" s="7833"/>
      <c r="K71" s="1544"/>
      <c r="L71" s="1544"/>
    </row>
    <row r="72" spans="1:12" s="1555" customFormat="1" ht="18.75" customHeight="1">
      <c r="A72" s="1603"/>
      <c r="B72" s="1287"/>
      <c r="C72" s="1649" t="s">
        <v>101</v>
      </c>
      <c r="D72" s="1810" t="s">
        <v>1295</v>
      </c>
      <c r="E72" s="123" t="s">
        <v>1212</v>
      </c>
      <c r="F72" s="1824"/>
      <c r="G72" s="1823" t="s">
        <v>1296</v>
      </c>
      <c r="H72" s="1824" t="s">
        <v>480</v>
      </c>
      <c r="I72" s="7833"/>
      <c r="K72" s="1544"/>
      <c r="L72" s="1544"/>
    </row>
    <row r="73" spans="1:12" s="1555" customFormat="1" ht="18.75" customHeight="1">
      <c r="A73" s="1603"/>
      <c r="B73" s="1287"/>
      <c r="C73" s="1649" t="s">
        <v>101</v>
      </c>
      <c r="D73" s="1810" t="s">
        <v>1297</v>
      </c>
      <c r="E73" s="123" t="s">
        <v>1212</v>
      </c>
      <c r="F73" s="1824"/>
      <c r="G73" s="1823" t="s">
        <v>1298</v>
      </c>
      <c r="H73" s="1824" t="s">
        <v>480</v>
      </c>
      <c r="I73" s="7833"/>
      <c r="K73" s="1544"/>
      <c r="L73" s="1544"/>
    </row>
    <row r="74" spans="1:12" s="1555" customFormat="1" ht="18.75" customHeight="1">
      <c r="A74" s="1603"/>
      <c r="B74" s="1287"/>
      <c r="C74" s="1649" t="s">
        <v>101</v>
      </c>
      <c r="D74" s="1810" t="s">
        <v>1299</v>
      </c>
      <c r="E74" s="123" t="s">
        <v>1212</v>
      </c>
      <c r="F74" s="1824"/>
      <c r="G74" s="1823" t="s">
        <v>1300</v>
      </c>
      <c r="H74" s="1824" t="s">
        <v>480</v>
      </c>
      <c r="I74" s="7833"/>
      <c r="K74" s="1544"/>
      <c r="L74" s="1544"/>
    </row>
    <row r="75" spans="1:12" s="1555" customFormat="1" ht="18.75" customHeight="1">
      <c r="A75" s="1603"/>
      <c r="B75" s="1287"/>
      <c r="C75" s="1649" t="s">
        <v>101</v>
      </c>
      <c r="D75" s="1810" t="s">
        <v>1301</v>
      </c>
      <c r="E75" s="123" t="s">
        <v>1212</v>
      </c>
      <c r="F75" s="1824"/>
      <c r="G75" s="1823" t="s">
        <v>1302</v>
      </c>
      <c r="H75" s="1824" t="s">
        <v>480</v>
      </c>
      <c r="I75" s="7833"/>
      <c r="K75" s="1544"/>
      <c r="L75" s="1544"/>
    </row>
    <row r="76" spans="1:12" s="1555" customFormat="1" ht="18.75" customHeight="1">
      <c r="A76" s="1603"/>
      <c r="B76" s="1287"/>
      <c r="C76" s="1649" t="s">
        <v>101</v>
      </c>
      <c r="D76" s="1810" t="s">
        <v>1303</v>
      </c>
      <c r="E76" s="123" t="s">
        <v>1212</v>
      </c>
      <c r="F76" s="1824"/>
      <c r="G76" s="1823" t="s">
        <v>1304</v>
      </c>
      <c r="H76" s="1824" t="s">
        <v>480</v>
      </c>
      <c r="I76" s="7833"/>
      <c r="K76" s="1544"/>
      <c r="L76" s="1544"/>
    </row>
    <row r="77" spans="1:12" s="1555" customFormat="1" ht="18.75" customHeight="1">
      <c r="A77" s="1603"/>
      <c r="B77" s="1287"/>
      <c r="C77" s="1649" t="s">
        <v>101</v>
      </c>
      <c r="D77" s="1810" t="s">
        <v>1305</v>
      </c>
      <c r="E77" s="123" t="s">
        <v>1212</v>
      </c>
      <c r="F77" s="1824"/>
      <c r="G77" s="1823" t="s">
        <v>1306</v>
      </c>
      <c r="H77" s="1824" t="s">
        <v>480</v>
      </c>
      <c r="I77" s="7833"/>
      <c r="K77" s="1544"/>
      <c r="L77" s="1544"/>
    </row>
    <row r="78" spans="1:12" s="1555" customFormat="1" ht="18.75" customHeight="1">
      <c r="A78" s="1603"/>
      <c r="B78" s="1287"/>
      <c r="C78" s="1649" t="s">
        <v>101</v>
      </c>
      <c r="D78" s="1810" t="s">
        <v>1307</v>
      </c>
      <c r="E78" s="123" t="s">
        <v>1212</v>
      </c>
      <c r="F78" s="1824"/>
      <c r="G78" s="1823" t="s">
        <v>1308</v>
      </c>
      <c r="H78" s="1824" t="s">
        <v>480</v>
      </c>
      <c r="I78" s="7833"/>
      <c r="K78" s="1544"/>
      <c r="L78" s="1544"/>
    </row>
    <row r="79" spans="1:12" s="1555" customFormat="1" ht="18.75" customHeight="1">
      <c r="A79" s="1603"/>
      <c r="B79" s="1287"/>
      <c r="C79" s="1649" t="s">
        <v>101</v>
      </c>
      <c r="D79" s="1810" t="s">
        <v>1309</v>
      </c>
      <c r="E79" s="123" t="s">
        <v>1212</v>
      </c>
      <c r="F79" s="1824"/>
      <c r="G79" s="1823" t="s">
        <v>1310</v>
      </c>
      <c r="H79" s="1824" t="s">
        <v>480</v>
      </c>
      <c r="I79" s="7833"/>
      <c r="K79" s="1544"/>
      <c r="L79" s="1544"/>
    </row>
    <row r="80" spans="1:12" s="1555" customFormat="1" ht="18.75" customHeight="1">
      <c r="A80" s="1603"/>
      <c r="B80" s="1287"/>
      <c r="C80" s="1649" t="s">
        <v>101</v>
      </c>
      <c r="D80" s="1810" t="s">
        <v>1311</v>
      </c>
      <c r="E80" s="123" t="s">
        <v>1212</v>
      </c>
      <c r="F80" s="1824"/>
      <c r="G80" s="1823" t="s">
        <v>1312</v>
      </c>
      <c r="H80" s="1824" t="s">
        <v>480</v>
      </c>
      <c r="I80" s="7833"/>
      <c r="K80" s="1544"/>
      <c r="L80" s="1544"/>
    </row>
    <row r="81" spans="1:12" ht="15" customHeight="1">
      <c r="A81" s="1603" t="s">
        <v>88</v>
      </c>
      <c r="C81" s="26"/>
      <c r="D81" s="36"/>
      <c r="E81" s="121" t="s">
        <v>1206</v>
      </c>
      <c r="F81" s="117"/>
      <c r="G81" s="117"/>
      <c r="H81" s="118"/>
      <c r="I81" s="7606"/>
    </row>
    <row r="82" spans="1:12" ht="24" customHeight="1">
      <c r="A82" s="1603"/>
      <c r="C82" s="26"/>
      <c r="D82" s="67" t="s">
        <v>491</v>
      </c>
      <c r="E82" s="779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82" s="7790"/>
      <c r="G82" s="7790"/>
      <c r="H82" s="7790"/>
      <c r="I82" s="171"/>
    </row>
    <row r="83" spans="1:12" ht="13.5" customHeight="1">
      <c r="A83" s="1603"/>
      <c r="C83" s="26"/>
      <c r="D83" s="67" t="s">
        <v>1313</v>
      </c>
      <c r="E83" s="123" t="s">
        <v>1213</v>
      </c>
      <c r="F83" s="115"/>
      <c r="G83" s="172" t="s">
        <v>1314</v>
      </c>
      <c r="H83" s="115" t="s">
        <v>480</v>
      </c>
      <c r="I83" s="7575" t="s">
        <v>1315</v>
      </c>
    </row>
    <row r="84" spans="1:12" s="1555" customFormat="1" ht="24.75" customHeight="1">
      <c r="A84" s="1603"/>
      <c r="B84" s="1287"/>
      <c r="C84" s="1649" t="s">
        <v>101</v>
      </c>
      <c r="D84" s="1810" t="s">
        <v>1316</v>
      </c>
      <c r="E84" s="123" t="s">
        <v>1213</v>
      </c>
      <c r="F84" s="1824"/>
      <c r="G84" s="1823" t="s">
        <v>1317</v>
      </c>
      <c r="H84" s="1824" t="s">
        <v>480</v>
      </c>
      <c r="I84" s="7833"/>
      <c r="K84" s="1544"/>
      <c r="L84" s="1544"/>
    </row>
    <row r="85" spans="1:12" s="1555" customFormat="1" ht="24.75" customHeight="1">
      <c r="A85" s="1603"/>
      <c r="B85" s="1287"/>
      <c r="C85" s="1649" t="s">
        <v>101</v>
      </c>
      <c r="D85" s="1810" t="s">
        <v>1318</v>
      </c>
      <c r="E85" s="123" t="s">
        <v>1213</v>
      </c>
      <c r="F85" s="1824"/>
      <c r="G85" s="1823" t="s">
        <v>1319</v>
      </c>
      <c r="H85" s="1824" t="s">
        <v>480</v>
      </c>
      <c r="I85" s="7833"/>
      <c r="K85" s="1544"/>
      <c r="L85" s="1544"/>
    </row>
    <row r="86" spans="1:12" s="1555" customFormat="1" ht="47.25" customHeight="1">
      <c r="A86" s="1603"/>
      <c r="B86" s="1287"/>
      <c r="C86" s="1649" t="s">
        <v>101</v>
      </c>
      <c r="D86" s="1810" t="s">
        <v>1320</v>
      </c>
      <c r="E86" s="123" t="s">
        <v>1213</v>
      </c>
      <c r="F86" s="1824"/>
      <c r="G86" s="1823" t="s">
        <v>1321</v>
      </c>
      <c r="H86" s="1824" t="s">
        <v>480</v>
      </c>
      <c r="I86" s="7833"/>
      <c r="K86" s="1544"/>
      <c r="L86" s="1544"/>
    </row>
    <row r="87" spans="1:12" s="1555" customFormat="1" ht="24.75" customHeight="1">
      <c r="A87" s="1603"/>
      <c r="B87" s="1287"/>
      <c r="C87" s="1649" t="s">
        <v>101</v>
      </c>
      <c r="D87" s="1810" t="s">
        <v>1322</v>
      </c>
      <c r="E87" s="123" t="s">
        <v>1213</v>
      </c>
      <c r="F87" s="1824"/>
      <c r="G87" s="1823" t="s">
        <v>1323</v>
      </c>
      <c r="H87" s="1824" t="s">
        <v>480</v>
      </c>
      <c r="I87" s="7833"/>
      <c r="K87" s="1544"/>
      <c r="L87" s="1544"/>
    </row>
    <row r="88" spans="1:12" s="1555" customFormat="1" ht="36" customHeight="1">
      <c r="A88" s="1603"/>
      <c r="B88" s="1287"/>
      <c r="C88" s="1649" t="s">
        <v>101</v>
      </c>
      <c r="D88" s="1810" t="s">
        <v>1324</v>
      </c>
      <c r="E88" s="123" t="s">
        <v>1213</v>
      </c>
      <c r="F88" s="1824"/>
      <c r="G88" s="1823" t="s">
        <v>1325</v>
      </c>
      <c r="H88" s="1824" t="s">
        <v>480</v>
      </c>
      <c r="I88" s="7833"/>
      <c r="K88" s="1544"/>
      <c r="L88" s="1544"/>
    </row>
    <row r="89" spans="1:12" s="1555" customFormat="1" ht="24.75" customHeight="1">
      <c r="A89" s="1603"/>
      <c r="B89" s="1287"/>
      <c r="C89" s="1649" t="s">
        <v>101</v>
      </c>
      <c r="D89" s="1810" t="s">
        <v>1326</v>
      </c>
      <c r="E89" s="123" t="s">
        <v>1213</v>
      </c>
      <c r="F89" s="1824"/>
      <c r="G89" s="1823" t="s">
        <v>1327</v>
      </c>
      <c r="H89" s="1824" t="s">
        <v>480</v>
      </c>
      <c r="I89" s="7833"/>
      <c r="K89" s="1544"/>
      <c r="L89" s="1544"/>
    </row>
    <row r="90" spans="1:12" s="1555" customFormat="1" ht="24.75" customHeight="1">
      <c r="A90" s="1603"/>
      <c r="B90" s="1287"/>
      <c r="C90" s="1649" t="s">
        <v>101</v>
      </c>
      <c r="D90" s="1810" t="s">
        <v>1328</v>
      </c>
      <c r="E90" s="123" t="s">
        <v>1213</v>
      </c>
      <c r="F90" s="1824"/>
      <c r="G90" s="1823" t="s">
        <v>1329</v>
      </c>
      <c r="H90" s="1824" t="s">
        <v>480</v>
      </c>
      <c r="I90" s="7833"/>
      <c r="K90" s="1544"/>
      <c r="L90" s="1544"/>
    </row>
    <row r="91" spans="1:12" s="1555" customFormat="1" ht="24.75" customHeight="1">
      <c r="A91" s="1603"/>
      <c r="B91" s="1287"/>
      <c r="C91" s="1649" t="s">
        <v>101</v>
      </c>
      <c r="D91" s="1810" t="s">
        <v>1330</v>
      </c>
      <c r="E91" s="123" t="s">
        <v>1213</v>
      </c>
      <c r="F91" s="1824"/>
      <c r="G91" s="1823" t="s">
        <v>1331</v>
      </c>
      <c r="H91" s="1824" t="s">
        <v>480</v>
      </c>
      <c r="I91" s="7833"/>
      <c r="K91" s="1544"/>
      <c r="L91" s="1544"/>
    </row>
    <row r="92" spans="1:12" s="1555" customFormat="1" ht="24.75" customHeight="1">
      <c r="A92" s="1603"/>
      <c r="B92" s="1287"/>
      <c r="C92" s="1649" t="s">
        <v>101</v>
      </c>
      <c r="D92" s="1810" t="s">
        <v>1332</v>
      </c>
      <c r="E92" s="123" t="s">
        <v>1213</v>
      </c>
      <c r="F92" s="1824"/>
      <c r="G92" s="1823" t="s">
        <v>1333</v>
      </c>
      <c r="H92" s="1824" t="s">
        <v>480</v>
      </c>
      <c r="I92" s="7833"/>
      <c r="K92" s="1544"/>
      <c r="L92" s="1544"/>
    </row>
    <row r="93" spans="1:12" s="1555" customFormat="1" ht="24.75" customHeight="1">
      <c r="A93" s="1603"/>
      <c r="B93" s="1287"/>
      <c r="C93" s="1649" t="s">
        <v>101</v>
      </c>
      <c r="D93" s="1810" t="s">
        <v>1334</v>
      </c>
      <c r="E93" s="123" t="s">
        <v>1213</v>
      </c>
      <c r="F93" s="1824"/>
      <c r="G93" s="1823" t="s">
        <v>1335</v>
      </c>
      <c r="H93" s="1824" t="s">
        <v>480</v>
      </c>
      <c r="I93" s="7833"/>
      <c r="K93" s="1544"/>
      <c r="L93" s="1544"/>
    </row>
    <row r="94" spans="1:12" s="1555" customFormat="1" ht="24.75" customHeight="1">
      <c r="A94" s="1603"/>
      <c r="B94" s="1287"/>
      <c r="C94" s="1649" t="s">
        <v>101</v>
      </c>
      <c r="D94" s="1810" t="s">
        <v>1336</v>
      </c>
      <c r="E94" s="123" t="s">
        <v>1213</v>
      </c>
      <c r="F94" s="1824"/>
      <c r="G94" s="1823" t="s">
        <v>1337</v>
      </c>
      <c r="H94" s="1824" t="s">
        <v>480</v>
      </c>
      <c r="I94" s="7833"/>
      <c r="K94" s="1544"/>
      <c r="L94" s="1544"/>
    </row>
    <row r="95" spans="1:12" s="1555" customFormat="1" ht="24.75" customHeight="1">
      <c r="A95" s="1603"/>
      <c r="B95" s="1287"/>
      <c r="C95" s="1649" t="s">
        <v>101</v>
      </c>
      <c r="D95" s="1810" t="s">
        <v>1338</v>
      </c>
      <c r="E95" s="123" t="s">
        <v>1213</v>
      </c>
      <c r="F95" s="1824"/>
      <c r="G95" s="1823" t="s">
        <v>1339</v>
      </c>
      <c r="H95" s="1824" t="s">
        <v>480</v>
      </c>
      <c r="I95" s="7833"/>
      <c r="K95" s="1544"/>
      <c r="L95" s="1544"/>
    </row>
    <row r="96" spans="1:12" s="1555" customFormat="1" ht="24.75" customHeight="1">
      <c r="A96" s="1603"/>
      <c r="B96" s="1287"/>
      <c r="C96" s="1649" t="s">
        <v>101</v>
      </c>
      <c r="D96" s="1810" t="s">
        <v>1340</v>
      </c>
      <c r="E96" s="123" t="s">
        <v>1213</v>
      </c>
      <c r="F96" s="1824"/>
      <c r="G96" s="1823" t="s">
        <v>1341</v>
      </c>
      <c r="H96" s="1824" t="s">
        <v>480</v>
      </c>
      <c r="I96" s="7833"/>
      <c r="K96" s="1544"/>
      <c r="L96" s="1544"/>
    </row>
    <row r="97" spans="1:12" s="1555" customFormat="1" ht="36" customHeight="1">
      <c r="A97" s="1603"/>
      <c r="B97" s="1287"/>
      <c r="C97" s="1649" t="s">
        <v>101</v>
      </c>
      <c r="D97" s="1810" t="s">
        <v>1342</v>
      </c>
      <c r="E97" s="123" t="s">
        <v>1213</v>
      </c>
      <c r="F97" s="1824"/>
      <c r="G97" s="1823" t="s">
        <v>1343</v>
      </c>
      <c r="H97" s="1824" t="s">
        <v>480</v>
      </c>
      <c r="I97" s="7833"/>
      <c r="K97" s="1544"/>
      <c r="L97" s="1544"/>
    </row>
    <row r="98" spans="1:12" s="1555" customFormat="1" ht="36" customHeight="1">
      <c r="A98" s="1603"/>
      <c r="B98" s="1287"/>
      <c r="C98" s="1649" t="s">
        <v>101</v>
      </c>
      <c r="D98" s="1810" t="s">
        <v>1344</v>
      </c>
      <c r="E98" s="123" t="s">
        <v>1213</v>
      </c>
      <c r="F98" s="1824"/>
      <c r="G98" s="1823" t="s">
        <v>1345</v>
      </c>
      <c r="H98" s="1824" t="s">
        <v>480</v>
      </c>
      <c r="I98" s="7833"/>
      <c r="K98" s="1544"/>
      <c r="L98" s="1544"/>
    </row>
    <row r="99" spans="1:12" s="1555" customFormat="1" ht="36" customHeight="1">
      <c r="A99" s="1603"/>
      <c r="B99" s="1287"/>
      <c r="C99" s="1649" t="s">
        <v>101</v>
      </c>
      <c r="D99" s="1810" t="s">
        <v>1346</v>
      </c>
      <c r="E99" s="123" t="s">
        <v>1213</v>
      </c>
      <c r="F99" s="1824"/>
      <c r="G99" s="1823" t="s">
        <v>1347</v>
      </c>
      <c r="H99" s="1824" t="s">
        <v>480</v>
      </c>
      <c r="I99" s="7833"/>
      <c r="K99" s="1544"/>
      <c r="L99" s="1544"/>
    </row>
    <row r="100" spans="1:12" s="1555" customFormat="1" ht="24.75" customHeight="1">
      <c r="A100" s="1603"/>
      <c r="B100" s="1287"/>
      <c r="C100" s="1649" t="s">
        <v>101</v>
      </c>
      <c r="D100" s="1810" t="s">
        <v>1348</v>
      </c>
      <c r="E100" s="123" t="s">
        <v>1213</v>
      </c>
      <c r="F100" s="1824"/>
      <c r="G100" s="1823" t="s">
        <v>1349</v>
      </c>
      <c r="H100" s="1824" t="s">
        <v>480</v>
      </c>
      <c r="I100" s="7833"/>
      <c r="K100" s="1544"/>
      <c r="L100" s="1544"/>
    </row>
    <row r="101" spans="1:12" s="1555" customFormat="1" ht="36" customHeight="1">
      <c r="A101" s="1603"/>
      <c r="B101" s="1287"/>
      <c r="C101" s="1649" t="s">
        <v>101</v>
      </c>
      <c r="D101" s="1810" t="s">
        <v>1350</v>
      </c>
      <c r="E101" s="123" t="s">
        <v>1213</v>
      </c>
      <c r="F101" s="1824"/>
      <c r="G101" s="1823" t="s">
        <v>1351</v>
      </c>
      <c r="H101" s="1824" t="s">
        <v>480</v>
      </c>
      <c r="I101" s="7833"/>
      <c r="K101" s="1544"/>
      <c r="L101" s="1544"/>
    </row>
    <row r="102" spans="1:12" s="1555" customFormat="1" ht="24.75" customHeight="1">
      <c r="A102" s="1603"/>
      <c r="B102" s="1287"/>
      <c r="C102" s="1649" t="s">
        <v>101</v>
      </c>
      <c r="D102" s="1810" t="s">
        <v>1352</v>
      </c>
      <c r="E102" s="123" t="s">
        <v>1213</v>
      </c>
      <c r="F102" s="1824"/>
      <c r="G102" s="1823" t="s">
        <v>1353</v>
      </c>
      <c r="H102" s="1824" t="s">
        <v>480</v>
      </c>
      <c r="I102" s="7833"/>
      <c r="K102" s="1544"/>
      <c r="L102" s="1544"/>
    </row>
    <row r="103" spans="1:12" s="1555" customFormat="1" ht="47.25" customHeight="1">
      <c r="A103" s="1603"/>
      <c r="B103" s="1287"/>
      <c r="C103" s="1649" t="s">
        <v>101</v>
      </c>
      <c r="D103" s="1810" t="s">
        <v>1354</v>
      </c>
      <c r="E103" s="123" t="s">
        <v>1213</v>
      </c>
      <c r="F103" s="1824"/>
      <c r="G103" s="1823" t="s">
        <v>1355</v>
      </c>
      <c r="H103" s="1824" t="s">
        <v>480</v>
      </c>
      <c r="I103" s="7833"/>
      <c r="K103" s="1544"/>
      <c r="L103" s="1544"/>
    </row>
    <row r="104" spans="1:12" s="1555" customFormat="1" ht="24.75" customHeight="1">
      <c r="A104" s="1603"/>
      <c r="B104" s="1287"/>
      <c r="C104" s="1649" t="s">
        <v>101</v>
      </c>
      <c r="D104" s="1810" t="s">
        <v>1356</v>
      </c>
      <c r="E104" s="123" t="s">
        <v>1213</v>
      </c>
      <c r="F104" s="1824"/>
      <c r="G104" s="1823" t="s">
        <v>1357</v>
      </c>
      <c r="H104" s="1824" t="s">
        <v>480</v>
      </c>
      <c r="I104" s="7833"/>
      <c r="K104" s="1544"/>
      <c r="L104" s="1544"/>
    </row>
    <row r="105" spans="1:12" s="1555" customFormat="1" ht="24.75" customHeight="1">
      <c r="A105" s="1603"/>
      <c r="B105" s="1287"/>
      <c r="C105" s="1649" t="s">
        <v>101</v>
      </c>
      <c r="D105" s="1810" t="s">
        <v>1358</v>
      </c>
      <c r="E105" s="123" t="s">
        <v>1213</v>
      </c>
      <c r="F105" s="1824"/>
      <c r="G105" s="1823" t="s">
        <v>1359</v>
      </c>
      <c r="H105" s="1824" t="s">
        <v>480</v>
      </c>
      <c r="I105" s="7833"/>
      <c r="K105" s="1544"/>
      <c r="L105" s="1544"/>
    </row>
    <row r="106" spans="1:12" s="1555" customFormat="1" ht="36" customHeight="1">
      <c r="A106" s="1603"/>
      <c r="B106" s="1287"/>
      <c r="C106" s="1649" t="s">
        <v>101</v>
      </c>
      <c r="D106" s="1810" t="s">
        <v>1360</v>
      </c>
      <c r="E106" s="123" t="s">
        <v>1213</v>
      </c>
      <c r="F106" s="1824"/>
      <c r="G106" s="1823" t="s">
        <v>1361</v>
      </c>
      <c r="H106" s="1824" t="s">
        <v>480</v>
      </c>
      <c r="I106" s="7833"/>
      <c r="K106" s="1544"/>
      <c r="L106" s="1544"/>
    </row>
    <row r="107" spans="1:12" s="1555" customFormat="1" ht="24.75" customHeight="1">
      <c r="A107" s="1603"/>
      <c r="B107" s="1287"/>
      <c r="C107" s="1649" t="s">
        <v>101</v>
      </c>
      <c r="D107" s="1810" t="s">
        <v>1362</v>
      </c>
      <c r="E107" s="123" t="s">
        <v>1213</v>
      </c>
      <c r="F107" s="1824"/>
      <c r="G107" s="1823" t="s">
        <v>1363</v>
      </c>
      <c r="H107" s="1824" t="s">
        <v>480</v>
      </c>
      <c r="I107" s="7833"/>
      <c r="K107" s="1544"/>
      <c r="L107" s="1544"/>
    </row>
    <row r="108" spans="1:12" s="1555" customFormat="1" ht="24.75" customHeight="1">
      <c r="A108" s="1603"/>
      <c r="B108" s="1287"/>
      <c r="C108" s="1649" t="s">
        <v>101</v>
      </c>
      <c r="D108" s="1810" t="s">
        <v>1364</v>
      </c>
      <c r="E108" s="123" t="s">
        <v>1213</v>
      </c>
      <c r="F108" s="1824"/>
      <c r="G108" s="1823" t="s">
        <v>1365</v>
      </c>
      <c r="H108" s="1824" t="s">
        <v>480</v>
      </c>
      <c r="I108" s="7833"/>
      <c r="K108" s="1544"/>
      <c r="L108" s="1544"/>
    </row>
    <row r="109" spans="1:12" s="1555" customFormat="1" ht="24.75" customHeight="1">
      <c r="A109" s="1603"/>
      <c r="B109" s="1287"/>
      <c r="C109" s="1649" t="s">
        <v>101</v>
      </c>
      <c r="D109" s="1810" t="s">
        <v>1366</v>
      </c>
      <c r="E109" s="123" t="s">
        <v>1213</v>
      </c>
      <c r="F109" s="1824"/>
      <c r="G109" s="1823" t="s">
        <v>1367</v>
      </c>
      <c r="H109" s="1824" t="s">
        <v>480</v>
      </c>
      <c r="I109" s="7833"/>
      <c r="K109" s="1544"/>
      <c r="L109" s="1544"/>
    </row>
    <row r="110" spans="1:12" ht="15" customHeight="1">
      <c r="A110" s="1603" t="s">
        <v>89</v>
      </c>
      <c r="C110" s="26"/>
      <c r="D110" s="36"/>
      <c r="E110" s="121" t="s">
        <v>1206</v>
      </c>
      <c r="F110" s="117"/>
      <c r="G110" s="117"/>
      <c r="H110" s="118"/>
      <c r="I110" s="7575"/>
    </row>
    <row r="111" spans="1:12" ht="26.25" customHeight="1">
      <c r="A111" s="1603"/>
      <c r="C111" s="26"/>
      <c r="D111" s="67" t="s">
        <v>494</v>
      </c>
      <c r="E111" s="779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111" s="7790"/>
      <c r="G111" s="7790"/>
      <c r="H111" s="7790"/>
      <c r="I111" s="171"/>
    </row>
    <row r="112" spans="1:12" ht="14.25" customHeight="1">
      <c r="A112" s="1603"/>
      <c r="C112" s="26"/>
      <c r="D112" s="67" t="s">
        <v>965</v>
      </c>
      <c r="E112" s="123" t="s">
        <v>1214</v>
      </c>
      <c r="F112" s="115"/>
      <c r="G112" s="124" t="s">
        <v>1368</v>
      </c>
      <c r="H112" s="115" t="s">
        <v>480</v>
      </c>
      <c r="I112" s="7604" t="s">
        <v>1369</v>
      </c>
      <c r="L112" s="73" t="s">
        <v>1215</v>
      </c>
    </row>
    <row r="113" spans="1:12" s="1555" customFormat="1" ht="18.75" customHeight="1">
      <c r="A113" s="1603"/>
      <c r="B113" s="1287"/>
      <c r="C113" s="1649" t="s">
        <v>101</v>
      </c>
      <c r="D113" s="1810" t="s">
        <v>966</v>
      </c>
      <c r="E113" s="123" t="s">
        <v>1214</v>
      </c>
      <c r="F113" s="1824"/>
      <c r="G113" s="1821" t="s">
        <v>1370</v>
      </c>
      <c r="H113" s="1824" t="s">
        <v>480</v>
      </c>
      <c r="I113" s="7833"/>
      <c r="K113" s="1544"/>
      <c r="L113" s="1544" t="s">
        <v>1215</v>
      </c>
    </row>
    <row r="114" spans="1:12" ht="15" customHeight="1">
      <c r="A114" s="1603" t="s">
        <v>111</v>
      </c>
      <c r="C114" s="26"/>
      <c r="D114" s="36"/>
      <c r="E114" s="121" t="s">
        <v>1206</v>
      </c>
      <c r="F114" s="117"/>
      <c r="G114" s="117"/>
      <c r="H114" s="118"/>
      <c r="I114" s="7606"/>
    </row>
    <row r="115" spans="1:12" s="1742" customFormat="1" ht="3" customHeight="1">
      <c r="A115" s="1603"/>
      <c r="K115" s="113"/>
      <c r="L115" s="113"/>
    </row>
    <row r="116" spans="1:12" ht="24.75" customHeight="1">
      <c r="D116" s="1601" t="s">
        <v>887</v>
      </c>
      <c r="E116" s="770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116" s="7709"/>
      <c r="G116" s="7709"/>
      <c r="H116" s="7709"/>
      <c r="I116" s="7709"/>
    </row>
  </sheetData>
  <sheetProtection formatColumns="0" formatRows="0" insertRows="0" deleteColumns="0" deleteRows="0" sort="0" autoFilter="0"/>
  <mergeCells count="17">
    <mergeCell ref="I37:I51"/>
    <mergeCell ref="E52:H52"/>
    <mergeCell ref="D14:H14"/>
    <mergeCell ref="D18:H18"/>
    <mergeCell ref="I18:I19"/>
    <mergeCell ref="E21:H21"/>
    <mergeCell ref="E25:H25"/>
    <mergeCell ref="I26:I35"/>
    <mergeCell ref="E36:H36"/>
    <mergeCell ref="D15:H15"/>
    <mergeCell ref="E116:I116"/>
    <mergeCell ref="E53:H53"/>
    <mergeCell ref="E82:H82"/>
    <mergeCell ref="E111:H111"/>
    <mergeCell ref="I54:I81"/>
    <mergeCell ref="I83:I110"/>
    <mergeCell ref="I112:I11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112:G113">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H34">
      <formula1>900</formula1>
    </dataValidation>
    <dataValidation type="textLength" operator="lessThanOrEqual" allowBlank="1" showInputMessage="1" showErrorMessage="1" errorTitle="Ошибка" error="Допускается ввод не более 900 символов!" sqref="I23:I24 I54:I80 G83:G109 I112:I113 I26:I34 E37:E50 G54:G80 E83:E109 I37:I50 E54:E80 I83:I109 G23 E26:E34 I10 E23 G37:G50 E10 G8 E2 I2 I4 G4 E4 E6 I6 G6 E8 I8 E112:E113">
      <formula1>900</formula1>
    </dataValidation>
  </dataValidations>
  <hyperlinks>
    <hyperlink ref="G23" r:id="rId1"/>
    <hyperlink ref="H23" r:id="rId2"/>
    <hyperlink ref="H24" r:id="rId3" tooltip="https://portal.eias.ru/Portal/DownloadPage.aspx?type=12&amp;guid=1941a757-16b2-4401-b1da-db20f358324b"/>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466"/>
  <sheetViews>
    <sheetView showGridLines="0" topLeftCell="D13" zoomScale="90" workbookViewId="0">
      <selection activeCell="A432" sqref="A432:XFD433"/>
    </sheetView>
  </sheetViews>
  <sheetFormatPr defaultColWidth="10.5703125" defaultRowHeight="14.25" customHeight="1"/>
  <cols>
    <col min="1" max="2" width="25.140625" style="1699" hidden="1" customWidth="1"/>
    <col min="3" max="3" width="9.140625" style="1607" hidden="1" customWidth="1"/>
    <col min="4" max="4" width="3.7109375" style="265" customWidth="1"/>
    <col min="5" max="5" width="6.28515625" style="1555" customWidth="1"/>
    <col min="6" max="6" width="46.7109375" style="1555" customWidth="1"/>
    <col min="7" max="7" width="35.7109375" style="1555" customWidth="1"/>
    <col min="8" max="8" width="3.7109375" style="1555" customWidth="1"/>
    <col min="9" max="10" width="11.7109375" style="1555" customWidth="1"/>
    <col min="11" max="12" width="35.7109375" style="1555" customWidth="1"/>
    <col min="13" max="13" width="84.85546875" style="1555" customWidth="1"/>
    <col min="14" max="14" width="10.5703125" style="1555"/>
    <col min="15" max="16" width="10.5703125" style="1544"/>
    <col min="17" max="33" width="10.5703125" style="1555"/>
  </cols>
  <sheetData>
    <row r="1" spans="1:33" s="1555" customFormat="1" ht="14.25" hidden="1" customHeight="1">
      <c r="A1" s="1699"/>
      <c r="B1" s="1699"/>
      <c r="C1" s="293"/>
      <c r="D1" s="265"/>
      <c r="N1" s="1556">
        <f>IFERROR(MATCH("метод экономически обоснованных расходов (затрат)",OFFER_METHOD,0),0)</f>
        <v>0</v>
      </c>
      <c r="O1" s="1544"/>
      <c r="P1" s="1544"/>
      <c r="T1" s="745"/>
      <c r="AG1" s="170"/>
    </row>
    <row r="2" spans="1:33" s="1555" customFormat="1" ht="18.75" hidden="1" customHeight="1">
      <c r="A2" s="1700" t="s">
        <v>263</v>
      </c>
      <c r="B2" s="1700" t="s">
        <v>264</v>
      </c>
      <c r="C2" s="293"/>
      <c r="D2" s="265"/>
      <c r="E2" s="942"/>
      <c r="F2" s="942"/>
      <c r="G2" s="7806" t="str">
        <f>INDEX(PT_DIFFERENTIATION_NTAR,MATCH(B2,PT_DIFFERENTIATION_NTAR_ID,0))</f>
        <v/>
      </c>
      <c r="H2" s="1783"/>
      <c r="I2" s="1658"/>
      <c r="J2" s="1693"/>
      <c r="K2" s="1784"/>
      <c r="L2" s="1783" t="s">
        <v>480</v>
      </c>
      <c r="M2" s="1794"/>
      <c r="N2" s="256"/>
      <c r="O2" s="1544"/>
      <c r="P2" s="1544"/>
    </row>
    <row r="3" spans="1:33" s="1555" customFormat="1" ht="18.75" hidden="1" customHeight="1">
      <c r="A3" s="1700"/>
      <c r="B3" s="1700"/>
      <c r="C3" s="293" t="s">
        <v>1371</v>
      </c>
      <c r="D3" s="265"/>
      <c r="E3" s="942"/>
      <c r="F3" s="942"/>
      <c r="G3" s="7806"/>
      <c r="H3" s="1415"/>
      <c r="I3" s="569" t="s">
        <v>1372</v>
      </c>
      <c r="J3" s="494"/>
      <c r="K3" s="1415"/>
      <c r="L3" s="131"/>
      <c r="M3" s="1794"/>
      <c r="N3" s="256"/>
      <c r="O3" s="1544"/>
      <c r="P3" s="1544"/>
    </row>
    <row r="4" spans="1:33" s="1555" customFormat="1" ht="14.25" hidden="1" customHeight="1">
      <c r="A4" s="1699"/>
      <c r="B4" s="1699"/>
      <c r="C4" s="293"/>
      <c r="D4" s="265"/>
      <c r="N4" s="1556">
        <f>IFERROR(MATCH("метод экономически обоснованных расходов (затрат)",OFFER_METHOD,0),0)</f>
        <v>0</v>
      </c>
      <c r="O4" s="1544"/>
      <c r="P4" s="1544"/>
      <c r="T4" s="745"/>
      <c r="AG4" s="170"/>
    </row>
    <row r="5" spans="1:33" s="1555" customFormat="1" ht="18.75" hidden="1" customHeight="1">
      <c r="A5" s="1700" t="s">
        <v>263</v>
      </c>
      <c r="B5" s="1700" t="s">
        <v>264</v>
      </c>
      <c r="C5" s="293"/>
      <c r="D5" s="265"/>
      <c r="E5" s="942"/>
      <c r="F5" s="942"/>
      <c r="G5" s="7806" t="str">
        <f>INDEX(PT_DIFFERENTIATION_NTAR,MATCH(B5,PT_DIFFERENTIATION_NTAR_ID,0))</f>
        <v/>
      </c>
      <c r="H5" s="1783"/>
      <c r="I5" s="1658"/>
      <c r="J5" s="1693"/>
      <c r="K5" s="1698"/>
      <c r="L5" s="1783" t="s">
        <v>480</v>
      </c>
      <c r="M5" s="1794"/>
      <c r="N5" s="256"/>
      <c r="O5" s="1544"/>
      <c r="P5" s="1544"/>
    </row>
    <row r="6" spans="1:33" s="1555" customFormat="1" ht="18.75" hidden="1" customHeight="1">
      <c r="A6" s="1700"/>
      <c r="B6" s="1700"/>
      <c r="C6" s="293" t="s">
        <v>1373</v>
      </c>
      <c r="D6" s="265"/>
      <c r="E6" s="942"/>
      <c r="F6" s="942"/>
      <c r="G6" s="7806"/>
      <c r="H6" s="1415"/>
      <c r="I6" s="569" t="s">
        <v>1372</v>
      </c>
      <c r="J6" s="494"/>
      <c r="K6" s="1415"/>
      <c r="L6" s="131"/>
      <c r="M6" s="1794"/>
      <c r="N6" s="256"/>
      <c r="O6" s="1544"/>
      <c r="P6" s="1544"/>
    </row>
    <row r="7" spans="1:33" s="1555" customFormat="1" ht="14.25" hidden="1" customHeight="1">
      <c r="A7" s="1699"/>
      <c r="B7" s="1699"/>
      <c r="C7" s="293"/>
      <c r="D7" s="265"/>
      <c r="N7" s="1556">
        <f>IFERROR(MATCH("метод экономически обоснованных расходов (затрат)",OFFER_METHOD,0),0)</f>
        <v>0</v>
      </c>
      <c r="O7" s="1544"/>
      <c r="P7" s="1544"/>
      <c r="T7" s="745"/>
      <c r="AG7" s="170"/>
    </row>
    <row r="8" spans="1:33" s="1555" customFormat="1" ht="56.25" hidden="1" customHeight="1">
      <c r="A8" s="1700"/>
      <c r="B8" s="1700"/>
      <c r="C8" s="293"/>
      <c r="D8" s="265"/>
      <c r="E8" s="942"/>
      <c r="F8" s="942"/>
      <c r="G8" s="942"/>
      <c r="H8" s="1691"/>
      <c r="I8" s="1658"/>
      <c r="J8" s="1693"/>
      <c r="K8" s="1784"/>
      <c r="L8" s="1691" t="s">
        <v>480</v>
      </c>
      <c r="M8" s="1794"/>
      <c r="N8" s="256"/>
      <c r="O8" s="1544"/>
      <c r="P8" s="1544"/>
    </row>
    <row r="9" spans="1:33" ht="14.25" hidden="1" customHeight="1">
      <c r="T9" s="326"/>
      <c r="AG9" s="170"/>
    </row>
    <row r="10" spans="1:33" s="1555" customFormat="1" ht="56.25" hidden="1" customHeight="1">
      <c r="A10" s="1700"/>
      <c r="B10" s="1700"/>
      <c r="C10" s="293"/>
      <c r="D10" s="265"/>
      <c r="E10" s="942"/>
      <c r="F10" s="942"/>
      <c r="G10" s="942"/>
      <c r="H10" s="1690"/>
      <c r="I10" s="1658"/>
      <c r="J10" s="1693"/>
      <c r="K10" s="1698"/>
      <c r="L10" s="1691" t="s">
        <v>480</v>
      </c>
      <c r="M10" s="1794"/>
      <c r="N10" s="256"/>
      <c r="O10" s="1544"/>
      <c r="P10" s="1544"/>
    </row>
    <row r="11" spans="1:33" ht="14.25" hidden="1" customHeight="1"/>
    <row r="12" spans="1:33" ht="14.25" hidden="1" customHeight="1"/>
    <row r="13" spans="1:33" ht="6" customHeight="1">
      <c r="D13" s="300"/>
      <c r="E13" s="286"/>
      <c r="F13" s="286"/>
      <c r="G13" s="286"/>
      <c r="H13" s="286"/>
      <c r="I13" s="286"/>
      <c r="J13" s="286"/>
      <c r="K13" s="286"/>
      <c r="L13" s="16"/>
      <c r="M13" s="16"/>
    </row>
    <row r="14" spans="1:33" ht="14.25" customHeight="1">
      <c r="D14" s="300"/>
      <c r="E14" s="784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7840"/>
      <c r="G14" s="7840"/>
      <c r="H14" s="7840"/>
      <c r="I14" s="7840"/>
      <c r="J14" s="7840"/>
      <c r="K14" s="7840"/>
      <c r="L14" s="7840"/>
      <c r="M14" s="137"/>
    </row>
    <row r="15" spans="1:33" ht="6" customHeight="1">
      <c r="D15" s="300"/>
      <c r="E15" s="286"/>
      <c r="F15" s="318"/>
      <c r="G15" s="318"/>
      <c r="H15" s="318"/>
      <c r="I15" s="318"/>
      <c r="J15" s="318"/>
      <c r="K15" s="318"/>
      <c r="L15" s="242"/>
      <c r="M15" s="110"/>
    </row>
    <row r="16" spans="1:33" ht="18.75" customHeight="1">
      <c r="D16" s="300"/>
      <c r="E16" s="286"/>
      <c r="F16" s="220" t="str">
        <f>"Дата подачи заявления об "&amp;IF(TITLE_DATE_PR_CHANGE="","утверждении","изменении")&amp;" тарифов"</f>
        <v>Дата подачи заявления об утверждении тарифов</v>
      </c>
      <c r="G16" s="7691">
        <f>IF(TITLE_DATE_PR_CHANGE="",IF(TITLE_DATE_PR="","",TITLE_DATE_PR),TITLE_DATE_PR_CHANGE)</f>
        <v>45278</v>
      </c>
      <c r="H16" s="7691"/>
      <c r="I16" s="7691"/>
      <c r="J16" s="7691"/>
      <c r="K16" s="7691"/>
      <c r="L16" s="7691"/>
      <c r="M16" s="327"/>
      <c r="N16" s="248"/>
    </row>
    <row r="17" spans="1:16" ht="18.75" customHeight="1">
      <c r="D17" s="300"/>
      <c r="E17" s="286"/>
      <c r="F17" s="220" t="str">
        <f>"Номер подачи заявления об "&amp;IF(TITLE_DATE_PR_CHANGE="","утверждении","изменении")&amp;" тарифов"</f>
        <v>Номер подачи заявления об утверждении тарифов</v>
      </c>
      <c r="G17" s="7682" t="str">
        <f>IF(TITLE_NUMBER_PR_CHANGE="",IF(TITLE_NUMBER_PR="","",TITLE_NUMBER_PR),TITLE_NUMBER_PR_CHANGE)</f>
        <v>79/2</v>
      </c>
      <c r="H17" s="7682"/>
      <c r="I17" s="7682"/>
      <c r="J17" s="7682"/>
      <c r="K17" s="7682"/>
      <c r="L17" s="7682"/>
      <c r="M17" s="327"/>
      <c r="N17" s="248"/>
    </row>
    <row r="18" spans="1:16" ht="14.25" customHeight="1">
      <c r="D18" s="300"/>
      <c r="E18" s="286"/>
      <c r="F18" s="318"/>
      <c r="G18" s="318"/>
      <c r="H18" s="318"/>
      <c r="I18" s="318"/>
      <c r="J18" s="318"/>
      <c r="K18" s="318"/>
      <c r="L18" s="667"/>
      <c r="M18" s="110"/>
    </row>
    <row r="19" spans="1:16" ht="21" customHeight="1">
      <c r="D19" s="300"/>
      <c r="E19" s="7649" t="s">
        <v>474</v>
      </c>
      <c r="F19" s="7649"/>
      <c r="G19" s="7649"/>
      <c r="H19" s="7649"/>
      <c r="I19" s="7649"/>
      <c r="J19" s="7649"/>
      <c r="K19" s="7649"/>
      <c r="L19" s="7649"/>
      <c r="M19" s="7832" t="s">
        <v>475</v>
      </c>
    </row>
    <row r="20" spans="1:16" ht="21" customHeight="1">
      <c r="D20" s="300"/>
      <c r="E20" s="7701" t="s">
        <v>86</v>
      </c>
      <c r="F20" s="7662" t="s">
        <v>236</v>
      </c>
      <c r="G20" s="7662" t="s">
        <v>237</v>
      </c>
      <c r="H20" s="7811" t="s">
        <v>1374</v>
      </c>
      <c r="I20" s="7812"/>
      <c r="J20" s="7813"/>
      <c r="K20" s="7662" t="s">
        <v>477</v>
      </c>
      <c r="L20" s="7662" t="s">
        <v>566</v>
      </c>
      <c r="M20" s="7832"/>
    </row>
    <row r="21" spans="1:16" ht="21" customHeight="1">
      <c r="D21" s="300"/>
      <c r="E21" s="7703"/>
      <c r="F21" s="7663"/>
      <c r="G21" s="7663"/>
      <c r="H21" s="7657" t="s">
        <v>1375</v>
      </c>
      <c r="I21" s="7659"/>
      <c r="J21" s="35" t="s">
        <v>1376</v>
      </c>
      <c r="K21" s="7663"/>
      <c r="L21" s="7663"/>
      <c r="M21" s="7832"/>
    </row>
    <row r="22" spans="1:16" ht="12" customHeight="1">
      <c r="D22" s="300"/>
      <c r="E22" s="197"/>
      <c r="F22" s="197"/>
      <c r="G22" s="197"/>
      <c r="H22" s="7842"/>
      <c r="I22" s="7842"/>
      <c r="J22" s="197"/>
      <c r="K22" s="197"/>
      <c r="L22" s="197"/>
      <c r="M22" s="197"/>
    </row>
    <row r="23" spans="1:16" ht="18.75" customHeight="1">
      <c r="A23" s="1700"/>
      <c r="B23" s="1700"/>
      <c r="D23" s="300"/>
      <c r="E23" s="1785" t="s">
        <v>97</v>
      </c>
      <c r="F23" s="7843" t="str">
        <f>"Предлагаемый метод регулирования"&amp;IF(TEMPLATE_SPHERE="HEAT"," в сфере "&amp;TEMPLATE_SPHERE_RUS,"")</f>
        <v>Предлагаемый метод регулирования</v>
      </c>
      <c r="G23" s="7843"/>
      <c r="H23" s="7834"/>
      <c r="I23" s="7834"/>
      <c r="J23" s="7834"/>
      <c r="K23" s="7843" t="s">
        <v>480</v>
      </c>
      <c r="L23" s="7834"/>
      <c r="M23" s="1689"/>
      <c r="N23" s="256"/>
    </row>
    <row r="24" spans="1:16" ht="60.75" hidden="1" customHeight="1">
      <c r="A24" s="1700" t="s">
        <v>263</v>
      </c>
      <c r="B24" s="1700" t="s">
        <v>264</v>
      </c>
      <c r="D24" s="7841"/>
      <c r="E24" s="7643"/>
      <c r="F24" s="784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7806" t="str">
        <f>INDEX(PT_DIFFERENTIATION_NTAR,MATCH(B24,PT_DIFFERENTIATION_NTAR_ID,0))</f>
        <v/>
      </c>
      <c r="H24" s="1781"/>
      <c r="I24" s="1658"/>
      <c r="J24" s="1693"/>
      <c r="K24" s="1784"/>
      <c r="L24" s="1688" t="s">
        <v>480</v>
      </c>
      <c r="M24" s="76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6"/>
    </row>
    <row r="25" spans="1:16" s="1555" customFormat="1" ht="18.75" hidden="1" customHeight="1">
      <c r="A25" s="1700"/>
      <c r="B25" s="1700"/>
      <c r="C25" s="293" t="s">
        <v>1371</v>
      </c>
      <c r="D25" s="7841"/>
      <c r="E25" s="7643"/>
      <c r="F25" s="7844"/>
      <c r="G25" s="7806"/>
      <c r="H25" s="1415"/>
      <c r="I25" s="569" t="s">
        <v>1372</v>
      </c>
      <c r="J25" s="494"/>
      <c r="K25" s="1415"/>
      <c r="L25" s="131"/>
      <c r="M25" s="7605"/>
      <c r="N25" s="256"/>
      <c r="O25" s="1544"/>
      <c r="P25" s="1544"/>
    </row>
    <row r="26" spans="1:16" ht="0.75" hidden="1" customHeight="1">
      <c r="A26" s="1700"/>
      <c r="B26" s="1700"/>
      <c r="C26" s="293" t="s">
        <v>1377</v>
      </c>
      <c r="D26" s="7841"/>
      <c r="E26" s="7643"/>
      <c r="F26" s="7778"/>
      <c r="G26" s="329"/>
      <c r="H26" s="1415"/>
      <c r="I26" s="324"/>
      <c r="J26" s="270"/>
      <c r="K26" s="1415"/>
      <c r="L26" s="118"/>
      <c r="M26" s="7605"/>
      <c r="N26" s="256"/>
    </row>
    <row r="27" spans="1:16" s="1555" customFormat="1" ht="45" hidden="1" customHeight="1">
      <c r="A27" s="1700" t="s">
        <v>269</v>
      </c>
      <c r="B27" s="1700" t="s">
        <v>270</v>
      </c>
      <c r="C27" s="293"/>
      <c r="D27" s="7835"/>
      <c r="E27" s="7838"/>
      <c r="F27" s="783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7806" t="str">
        <f>INDEX(PT_DIFFERENTIATION_NTAR,MATCH(B27,PT_DIFFERENTIATION_NTAR_ID,0))</f>
        <v/>
      </c>
      <c r="H27" s="1781"/>
      <c r="I27" s="1658"/>
      <c r="J27" s="1693"/>
      <c r="K27" s="1784"/>
      <c r="L27" s="1781" t="s">
        <v>480</v>
      </c>
      <c r="M27" s="7605"/>
      <c r="N27" s="256"/>
      <c r="O27" s="1544"/>
      <c r="P27" s="1544"/>
    </row>
    <row r="28" spans="1:16" s="1555" customFormat="1" ht="18.75" hidden="1" customHeight="1">
      <c r="A28" s="1700"/>
      <c r="B28" s="1700"/>
      <c r="C28" s="293" t="s">
        <v>1371</v>
      </c>
      <c r="D28" s="7835"/>
      <c r="E28" s="7838"/>
      <c r="F28" s="7839"/>
      <c r="G28" s="7806"/>
      <c r="H28" s="1415"/>
      <c r="I28" s="569" t="s">
        <v>1372</v>
      </c>
      <c r="J28" s="494"/>
      <c r="K28" s="1415"/>
      <c r="L28" s="131"/>
      <c r="M28" s="7605"/>
      <c r="N28" s="256"/>
      <c r="O28" s="1544"/>
      <c r="P28" s="1544"/>
    </row>
    <row r="29" spans="1:16" s="1555" customFormat="1" ht="0.75" hidden="1" customHeight="1">
      <c r="A29" s="1700"/>
      <c r="B29" s="1700"/>
      <c r="C29" s="293" t="s">
        <v>1377</v>
      </c>
      <c r="D29" s="7835"/>
      <c r="E29" s="7643"/>
      <c r="F29" s="7778"/>
      <c r="G29" s="329"/>
      <c r="H29" s="1415"/>
      <c r="I29" s="569"/>
      <c r="J29" s="494"/>
      <c r="K29" s="1415"/>
      <c r="L29" s="131"/>
      <c r="M29" s="7605"/>
      <c r="N29" s="256"/>
      <c r="O29" s="1544"/>
      <c r="P29" s="1544"/>
    </row>
    <row r="30" spans="1:16" s="1555" customFormat="1" ht="45" hidden="1" customHeight="1">
      <c r="A30" s="1700" t="s">
        <v>275</v>
      </c>
      <c r="B30" s="1700" t="s">
        <v>276</v>
      </c>
      <c r="C30" s="293"/>
      <c r="D30" s="7835"/>
      <c r="E30" s="7643"/>
      <c r="F30" s="77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7806" t="str">
        <f>INDEX(PT_DIFFERENTIATION_NTAR,MATCH(B30,PT_DIFFERENTIATION_NTAR_ID,0))</f>
        <v/>
      </c>
      <c r="H30" s="1781"/>
      <c r="I30" s="1658"/>
      <c r="J30" s="1693"/>
      <c r="K30" s="1784"/>
      <c r="L30" s="1781" t="s">
        <v>480</v>
      </c>
      <c r="M30" s="7605"/>
      <c r="N30" s="256"/>
      <c r="O30" s="1544"/>
      <c r="P30" s="1544"/>
    </row>
    <row r="31" spans="1:16" s="1555" customFormat="1" ht="18.75" hidden="1" customHeight="1">
      <c r="A31" s="1700"/>
      <c r="B31" s="1700"/>
      <c r="C31" s="293" t="s">
        <v>1371</v>
      </c>
      <c r="D31" s="7835"/>
      <c r="E31" s="7643"/>
      <c r="F31" s="7778"/>
      <c r="G31" s="7806"/>
      <c r="H31" s="1415"/>
      <c r="I31" s="569" t="s">
        <v>1372</v>
      </c>
      <c r="J31" s="494"/>
      <c r="K31" s="1415"/>
      <c r="L31" s="131"/>
      <c r="M31" s="7605"/>
      <c r="N31" s="256"/>
      <c r="O31" s="1544"/>
      <c r="P31" s="1544"/>
    </row>
    <row r="32" spans="1:16" s="1555" customFormat="1" ht="0.75" hidden="1" customHeight="1">
      <c r="A32" s="1700"/>
      <c r="B32" s="1700"/>
      <c r="C32" s="293" t="s">
        <v>1377</v>
      </c>
      <c r="D32" s="7835"/>
      <c r="E32" s="7643"/>
      <c r="F32" s="7778"/>
      <c r="G32" s="329"/>
      <c r="H32" s="1415"/>
      <c r="I32" s="569"/>
      <c r="J32" s="494"/>
      <c r="K32" s="1415"/>
      <c r="L32" s="131"/>
      <c r="M32" s="7605"/>
      <c r="N32" s="256"/>
      <c r="O32" s="1544"/>
      <c r="P32" s="1544"/>
    </row>
    <row r="33" spans="1:16" s="1555" customFormat="1" ht="45" hidden="1" customHeight="1">
      <c r="A33" s="1700" t="s">
        <v>281</v>
      </c>
      <c r="B33" s="1700" t="s">
        <v>282</v>
      </c>
      <c r="C33" s="293"/>
      <c r="D33" s="7835"/>
      <c r="E33" s="7643"/>
      <c r="F33" s="77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7806" t="str">
        <f>INDEX(PT_DIFFERENTIATION_NTAR,MATCH(B33,PT_DIFFERENTIATION_NTAR_ID,0))</f>
        <v/>
      </c>
      <c r="H33" s="1781"/>
      <c r="I33" s="1658"/>
      <c r="J33" s="1693"/>
      <c r="K33" s="1784"/>
      <c r="L33" s="1781" t="s">
        <v>480</v>
      </c>
      <c r="M33" s="7605"/>
      <c r="N33" s="256"/>
      <c r="O33" s="1544"/>
      <c r="P33" s="1544"/>
    </row>
    <row r="34" spans="1:16" s="1555" customFormat="1" ht="18.75" hidden="1" customHeight="1">
      <c r="A34" s="1700"/>
      <c r="B34" s="1700"/>
      <c r="C34" s="293" t="s">
        <v>1371</v>
      </c>
      <c r="D34" s="7835"/>
      <c r="E34" s="7643"/>
      <c r="F34" s="7778"/>
      <c r="G34" s="7806"/>
      <c r="H34" s="1415"/>
      <c r="I34" s="569" t="s">
        <v>1372</v>
      </c>
      <c r="J34" s="494"/>
      <c r="K34" s="1415"/>
      <c r="L34" s="131"/>
      <c r="M34" s="7605"/>
      <c r="N34" s="256"/>
      <c r="O34" s="1544"/>
      <c r="P34" s="1544"/>
    </row>
    <row r="35" spans="1:16" s="1555" customFormat="1" ht="0.75" hidden="1" customHeight="1">
      <c r="A35" s="1700"/>
      <c r="B35" s="1700"/>
      <c r="C35" s="293" t="s">
        <v>1377</v>
      </c>
      <c r="D35" s="7835"/>
      <c r="E35" s="7643"/>
      <c r="F35" s="7778"/>
      <c r="G35" s="329"/>
      <c r="H35" s="1415"/>
      <c r="I35" s="569"/>
      <c r="J35" s="494"/>
      <c r="K35" s="1415"/>
      <c r="L35" s="131"/>
      <c r="M35" s="7605"/>
      <c r="N35" s="256"/>
      <c r="O35" s="1544"/>
      <c r="P35" s="1544"/>
    </row>
    <row r="36" spans="1:16" s="1555" customFormat="1" ht="18.75" hidden="1" customHeight="1">
      <c r="A36" s="1700" t="s">
        <v>287</v>
      </c>
      <c r="B36" s="1700" t="s">
        <v>288</v>
      </c>
      <c r="C36" s="293"/>
      <c r="D36" s="7835"/>
      <c r="E36" s="7643"/>
      <c r="F36" s="7778" t="str">
        <f>INDEX(PT_DIFFERENTIATION_VTAR,MATCH(A36,PT_DIFFERENTIATION_VTAR_ID,0))</f>
        <v>Тарифы на услуги по передаче тепловой энергии</v>
      </c>
      <c r="G36" s="7806" t="str">
        <f>INDEX(PT_DIFFERENTIATION_NTAR,MATCH(B36,PT_DIFFERENTIATION_NTAR_ID,0))</f>
        <v/>
      </c>
      <c r="H36" s="1781"/>
      <c r="I36" s="1658"/>
      <c r="J36" s="1693"/>
      <c r="K36" s="1784"/>
      <c r="L36" s="1781" t="s">
        <v>480</v>
      </c>
      <c r="M36" s="7605"/>
      <c r="N36" s="256"/>
      <c r="O36" s="1544"/>
      <c r="P36" s="1544"/>
    </row>
    <row r="37" spans="1:16" s="1555" customFormat="1" ht="18.75" hidden="1" customHeight="1">
      <c r="A37" s="1700"/>
      <c r="B37" s="1700"/>
      <c r="C37" s="293" t="s">
        <v>1371</v>
      </c>
      <c r="D37" s="7835"/>
      <c r="E37" s="7643"/>
      <c r="F37" s="7778"/>
      <c r="G37" s="7806"/>
      <c r="H37" s="1415"/>
      <c r="I37" s="569" t="s">
        <v>1372</v>
      </c>
      <c r="J37" s="494"/>
      <c r="K37" s="1415"/>
      <c r="L37" s="131"/>
      <c r="M37" s="7605"/>
      <c r="N37" s="256"/>
      <c r="O37" s="1544"/>
      <c r="P37" s="1544"/>
    </row>
    <row r="38" spans="1:16" s="1555" customFormat="1" ht="0.75" hidden="1" customHeight="1">
      <c r="A38" s="1700"/>
      <c r="B38" s="1700"/>
      <c r="C38" s="293" t="s">
        <v>1377</v>
      </c>
      <c r="D38" s="7835"/>
      <c r="E38" s="7643"/>
      <c r="F38" s="7778"/>
      <c r="G38" s="329"/>
      <c r="H38" s="1415"/>
      <c r="I38" s="569"/>
      <c r="J38" s="494"/>
      <c r="K38" s="1415"/>
      <c r="L38" s="131"/>
      <c r="M38" s="7605"/>
      <c r="N38" s="256"/>
      <c r="O38" s="1544"/>
      <c r="P38" s="1544"/>
    </row>
    <row r="39" spans="1:16" s="1555" customFormat="1" ht="18.75" hidden="1" customHeight="1">
      <c r="A39" s="1700" t="s">
        <v>293</v>
      </c>
      <c r="B39" s="1700" t="s">
        <v>294</v>
      </c>
      <c r="C39" s="293"/>
      <c r="D39" s="7835"/>
      <c r="E39" s="7643"/>
      <c r="F39" s="7778" t="str">
        <f>INDEX(PT_DIFFERENTIATION_VTAR,MATCH(A39,PT_DIFFERENTIATION_VTAR_ID,0))</f>
        <v>Тарифы на услуги по передаче теплоносителя</v>
      </c>
      <c r="G39" s="7806" t="str">
        <f>INDEX(PT_DIFFERENTIATION_NTAR,MATCH(B39,PT_DIFFERENTIATION_NTAR_ID,0))</f>
        <v/>
      </c>
      <c r="H39" s="1781"/>
      <c r="I39" s="1658"/>
      <c r="J39" s="1693"/>
      <c r="K39" s="1784"/>
      <c r="L39" s="1781" t="s">
        <v>480</v>
      </c>
      <c r="M39" s="7605"/>
      <c r="N39" s="256"/>
      <c r="O39" s="1544"/>
      <c r="P39" s="1544"/>
    </row>
    <row r="40" spans="1:16" s="1555" customFormat="1" ht="18.75" hidden="1" customHeight="1">
      <c r="A40" s="1700"/>
      <c r="B40" s="1700"/>
      <c r="C40" s="293" t="s">
        <v>1371</v>
      </c>
      <c r="D40" s="7835"/>
      <c r="E40" s="7643"/>
      <c r="F40" s="7778"/>
      <c r="G40" s="7806"/>
      <c r="H40" s="1415"/>
      <c r="I40" s="569" t="s">
        <v>1372</v>
      </c>
      <c r="J40" s="494"/>
      <c r="K40" s="1415"/>
      <c r="L40" s="131"/>
      <c r="M40" s="7605"/>
      <c r="N40" s="256"/>
      <c r="O40" s="1544"/>
      <c r="P40" s="1544"/>
    </row>
    <row r="41" spans="1:16" s="1555" customFormat="1" ht="0.75" hidden="1" customHeight="1">
      <c r="A41" s="1700"/>
      <c r="B41" s="1700"/>
      <c r="C41" s="293" t="s">
        <v>1377</v>
      </c>
      <c r="D41" s="7835"/>
      <c r="E41" s="7643"/>
      <c r="F41" s="7778"/>
      <c r="G41" s="329"/>
      <c r="H41" s="1415"/>
      <c r="I41" s="569"/>
      <c r="J41" s="494"/>
      <c r="K41" s="1415"/>
      <c r="L41" s="131"/>
      <c r="M41" s="7605"/>
      <c r="N41" s="256"/>
      <c r="O41" s="1544"/>
      <c r="P41" s="1544"/>
    </row>
    <row r="42" spans="1:16" s="1555" customFormat="1" ht="18.75" hidden="1" customHeight="1">
      <c r="A42" s="1700" t="s">
        <v>299</v>
      </c>
      <c r="B42" s="1700" t="s">
        <v>300</v>
      </c>
      <c r="C42" s="293"/>
      <c r="D42" s="7835"/>
      <c r="E42" s="7643"/>
      <c r="F42" s="7778" t="str">
        <f>INDEX(PT_DIFFERENTIATION_VTAR,MATCH(A42,PT_DIFFERENTIATION_VTAR_ID,0))</f>
        <v>Плата за услуги по поддержанию резервной тепловой мощности при отсутствии потребления тепловой энергии</v>
      </c>
      <c r="G42" s="7806" t="str">
        <f>INDEX(PT_DIFFERENTIATION_NTAR,MATCH(B42,PT_DIFFERENTIATION_NTAR_ID,0))</f>
        <v/>
      </c>
      <c r="H42" s="1781"/>
      <c r="I42" s="1658"/>
      <c r="J42" s="1693"/>
      <c r="K42" s="1784"/>
      <c r="L42" s="1781" t="s">
        <v>480</v>
      </c>
      <c r="M42" s="7605"/>
      <c r="N42" s="256"/>
      <c r="O42" s="1544"/>
      <c r="P42" s="1544"/>
    </row>
    <row r="43" spans="1:16" s="1555" customFormat="1" ht="18.75" hidden="1" customHeight="1">
      <c r="A43" s="1700"/>
      <c r="B43" s="1700"/>
      <c r="C43" s="293" t="s">
        <v>1371</v>
      </c>
      <c r="D43" s="7835"/>
      <c r="E43" s="7643"/>
      <c r="F43" s="7778"/>
      <c r="G43" s="7806"/>
      <c r="H43" s="1415"/>
      <c r="I43" s="569" t="s">
        <v>1372</v>
      </c>
      <c r="J43" s="494"/>
      <c r="K43" s="1415"/>
      <c r="L43" s="131"/>
      <c r="M43" s="7605"/>
      <c r="N43" s="256"/>
      <c r="O43" s="1544"/>
      <c r="P43" s="1544"/>
    </row>
    <row r="44" spans="1:16" s="1555" customFormat="1" ht="0.75" hidden="1" customHeight="1">
      <c r="A44" s="1700"/>
      <c r="B44" s="1700"/>
      <c r="C44" s="293" t="s">
        <v>1377</v>
      </c>
      <c r="D44" s="7835"/>
      <c r="E44" s="7643"/>
      <c r="F44" s="7778"/>
      <c r="G44" s="329"/>
      <c r="H44" s="1415"/>
      <c r="I44" s="569"/>
      <c r="J44" s="494"/>
      <c r="K44" s="1415"/>
      <c r="L44" s="131"/>
      <c r="M44" s="7605"/>
      <c r="N44" s="256"/>
      <c r="O44" s="1544"/>
      <c r="P44" s="1544"/>
    </row>
    <row r="45" spans="1:16" s="1555" customFormat="1" ht="18.75" hidden="1" customHeight="1">
      <c r="A45" s="1700" t="s">
        <v>305</v>
      </c>
      <c r="B45" s="1700" t="s">
        <v>306</v>
      </c>
      <c r="C45" s="293"/>
      <c r="D45" s="7835"/>
      <c r="E45" s="7643"/>
      <c r="F45" s="7778" t="str">
        <f>INDEX(PT_DIFFERENTIATION_VTAR,MATCH(A45,PT_DIFFERENTIATION_VTAR_ID,0))</f>
        <v>Плата за подключение (технологическое присоединение) к системе теплоснабжения</v>
      </c>
      <c r="G45" s="7806" t="str">
        <f>INDEX(PT_DIFFERENTIATION_NTAR,MATCH(B45,PT_DIFFERENTIATION_NTAR_ID,0))</f>
        <v/>
      </c>
      <c r="H45" s="1781"/>
      <c r="I45" s="1658"/>
      <c r="J45" s="1693"/>
      <c r="K45" s="1784"/>
      <c r="L45" s="1781" t="s">
        <v>480</v>
      </c>
      <c r="M45" s="7605"/>
      <c r="N45" s="256"/>
      <c r="O45" s="1544"/>
      <c r="P45" s="1544"/>
    </row>
    <row r="46" spans="1:16" s="1555" customFormat="1" ht="18.75" hidden="1" customHeight="1">
      <c r="A46" s="1700"/>
      <c r="B46" s="1700"/>
      <c r="C46" s="293" t="s">
        <v>1371</v>
      </c>
      <c r="D46" s="7835"/>
      <c r="E46" s="7643"/>
      <c r="F46" s="7778"/>
      <c r="G46" s="7806"/>
      <c r="H46" s="1415"/>
      <c r="I46" s="569" t="s">
        <v>1372</v>
      </c>
      <c r="J46" s="494"/>
      <c r="K46" s="1415"/>
      <c r="L46" s="131"/>
      <c r="M46" s="7605"/>
      <c r="N46" s="256"/>
      <c r="O46" s="1544"/>
      <c r="P46" s="1544"/>
    </row>
    <row r="47" spans="1:16" s="1555" customFormat="1" ht="0.75" hidden="1" customHeight="1">
      <c r="A47" s="1700"/>
      <c r="B47" s="1700"/>
      <c r="C47" s="293" t="s">
        <v>1377</v>
      </c>
      <c r="D47" s="7835"/>
      <c r="E47" s="7643"/>
      <c r="F47" s="7778"/>
      <c r="G47" s="329"/>
      <c r="H47" s="1415"/>
      <c r="I47" s="569"/>
      <c r="J47" s="494"/>
      <c r="K47" s="1415"/>
      <c r="L47" s="131"/>
      <c r="M47" s="7605"/>
      <c r="N47" s="256"/>
      <c r="O47" s="1544"/>
      <c r="P47" s="1544"/>
    </row>
    <row r="48" spans="1:16" s="1555" customFormat="1" ht="18.75" hidden="1" customHeight="1">
      <c r="A48" s="1700" t="s">
        <v>321</v>
      </c>
      <c r="B48" s="1700" t="s">
        <v>322</v>
      </c>
      <c r="C48" s="293"/>
      <c r="D48" s="7835"/>
      <c r="E48" s="7643"/>
      <c r="F48" s="7778" t="str">
        <f>INDEX(PT_DIFFERENTIATION_VTAR,MATCH(A48,PT_DIFFERENTIATION_VTAR_ID,0))</f>
        <v>Тариф на питьевую воду (питьевое водоснабжение)</v>
      </c>
      <c r="G48" s="7806" t="str">
        <f>INDEX(PT_DIFFERENTIATION_NTAR,MATCH(B48,PT_DIFFERENTIATION_NTAR_ID,0))</f>
        <v>Тарифы на питьевую воду для потребителей, осуществляющих деятельность в сфере теплоснабжения и электроснабжения на территории города Лермонтова</v>
      </c>
      <c r="H48" s="1781"/>
      <c r="I48" s="1658"/>
      <c r="J48" s="1693"/>
      <c r="K48" s="1784"/>
      <c r="L48" s="1781" t="s">
        <v>480</v>
      </c>
      <c r="M48" s="7605"/>
      <c r="N48" s="256"/>
      <c r="O48" s="1544"/>
      <c r="P48" s="1544"/>
    </row>
    <row r="49" spans="1:16" s="1555" customFormat="1" ht="18.75" hidden="1" customHeight="1">
      <c r="A49" s="1700"/>
      <c r="B49" s="1700"/>
      <c r="C49" s="293" t="s">
        <v>1371</v>
      </c>
      <c r="D49" s="7835"/>
      <c r="E49" s="7643"/>
      <c r="F49" s="7778"/>
      <c r="G49" s="7806"/>
      <c r="H49" s="1415"/>
      <c r="I49" s="569" t="s">
        <v>1372</v>
      </c>
      <c r="J49" s="494"/>
      <c r="K49" s="1415"/>
      <c r="L49" s="131"/>
      <c r="M49" s="7605"/>
      <c r="N49" s="256"/>
      <c r="O49" s="1544"/>
      <c r="P49" s="1544"/>
    </row>
    <row r="50" spans="1:16" s="1555" customFormat="1" ht="18.75" customHeight="1">
      <c r="A50" s="1742" t="s">
        <v>321</v>
      </c>
      <c r="B50" s="1742" t="s">
        <v>328</v>
      </c>
      <c r="C50" s="1607"/>
      <c r="D50" s="7836"/>
      <c r="E50" s="7837"/>
      <c r="F50" s="7837"/>
      <c r="G50" s="7806" t="str">
        <f>INDEX(PT_DIFFERENTIATION_NTAR,MATCH(B50,PT_DIFFERENTIATION_NTAR_ID,0))</f>
        <v>Тарифы на питьевую воду для потребителей Ставропольского края</v>
      </c>
      <c r="H50" s="1811"/>
      <c r="I50" s="1658"/>
      <c r="J50" s="1693"/>
      <c r="K50" s="1784"/>
      <c r="L50" s="1811" t="s">
        <v>480</v>
      </c>
      <c r="M50" s="7724"/>
      <c r="N50" s="537"/>
      <c r="O50" s="1544"/>
      <c r="P50" s="1544"/>
    </row>
    <row r="51" spans="1:16" s="1555" customFormat="1" ht="18.75" customHeight="1">
      <c r="A51" s="1742"/>
      <c r="B51" s="1742"/>
      <c r="C51" s="1607" t="s">
        <v>1371</v>
      </c>
      <c r="D51" s="7836"/>
      <c r="E51" s="7837"/>
      <c r="F51" s="7837"/>
      <c r="G51" s="7806"/>
      <c r="H51" s="7135"/>
      <c r="I51" s="7136" t="s">
        <v>1372</v>
      </c>
      <c r="J51" s="7137"/>
      <c r="K51" s="7138"/>
      <c r="L51" s="7139"/>
      <c r="M51" s="7724"/>
      <c r="N51" s="537"/>
      <c r="O51" s="1544"/>
      <c r="P51" s="1544"/>
    </row>
    <row r="52" spans="1:16" s="1555" customFormat="1" ht="18.75" customHeight="1">
      <c r="A52" s="1742" t="s">
        <v>321</v>
      </c>
      <c r="B52" s="1742" t="s">
        <v>333</v>
      </c>
      <c r="C52" s="1607"/>
      <c r="D52" s="7836"/>
      <c r="E52" s="7837"/>
      <c r="F52" s="7837"/>
      <c r="G52" s="7806" t="str">
        <f>INDEX(PT_DIFFERENTIATION_NTAR,MATCH(B52,PT_DIFFERENTIATION_NTAR_ID,0))</f>
        <v>Тарифы на питьевую воду для потребителей, присоединенных к централизованным системам водоснабжения села Калиновского Александровского муниципального округа</v>
      </c>
      <c r="H52" s="1811"/>
      <c r="I52" s="1658"/>
      <c r="J52" s="1693"/>
      <c r="K52" s="1784"/>
      <c r="L52" s="1811" t="s">
        <v>480</v>
      </c>
      <c r="M52" s="7724"/>
      <c r="N52" s="537"/>
      <c r="O52" s="1544"/>
      <c r="P52" s="1544"/>
    </row>
    <row r="53" spans="1:16" s="1555" customFormat="1" ht="18.75" customHeight="1">
      <c r="A53" s="1742"/>
      <c r="B53" s="1742"/>
      <c r="C53" s="1607" t="s">
        <v>1371</v>
      </c>
      <c r="D53" s="7836"/>
      <c r="E53" s="7837"/>
      <c r="F53" s="7837"/>
      <c r="G53" s="7806"/>
      <c r="H53" s="7140"/>
      <c r="I53" s="7141" t="s">
        <v>1372</v>
      </c>
      <c r="J53" s="7142"/>
      <c r="K53" s="7143"/>
      <c r="L53" s="7144"/>
      <c r="M53" s="7724"/>
      <c r="N53" s="537"/>
      <c r="O53" s="1544"/>
      <c r="P53" s="1544"/>
    </row>
    <row r="54" spans="1:16" s="1555" customFormat="1" ht="18.75" customHeight="1">
      <c r="A54" s="1742" t="s">
        <v>321</v>
      </c>
      <c r="B54" s="1742" t="s">
        <v>338</v>
      </c>
      <c r="C54" s="1607"/>
      <c r="D54" s="7836"/>
      <c r="E54" s="7837"/>
      <c r="F54" s="7837"/>
      <c r="G54" s="7806" t="str">
        <f>INDEX(PT_DIFFERENTIATION_NTAR,MATCH(B54,PT_DIFFERENTIATION_NTAR_ID,0))</f>
        <v>Тарифы на питьевую воду для потребителей, присоединенных к централизованным системам водоснабжения  поселка Малосадового, села Бургун-Маджары, поселка Кумская Долина и поселка Правокумского Левокумского муниципального округа</v>
      </c>
      <c r="H54" s="1811"/>
      <c r="I54" s="1658"/>
      <c r="J54" s="1693"/>
      <c r="K54" s="1784"/>
      <c r="L54" s="1811" t="s">
        <v>480</v>
      </c>
      <c r="M54" s="7724"/>
      <c r="N54" s="537"/>
      <c r="O54" s="1544"/>
      <c r="P54" s="1544"/>
    </row>
    <row r="55" spans="1:16" s="1555" customFormat="1" ht="18.75" customHeight="1">
      <c r="A55" s="1742"/>
      <c r="B55" s="1742"/>
      <c r="C55" s="1607" t="s">
        <v>1371</v>
      </c>
      <c r="D55" s="7836"/>
      <c r="E55" s="7837"/>
      <c r="F55" s="7837"/>
      <c r="G55" s="7806"/>
      <c r="H55" s="7145"/>
      <c r="I55" s="7146" t="s">
        <v>1372</v>
      </c>
      <c r="J55" s="7147"/>
      <c r="K55" s="7148"/>
      <c r="L55" s="7149"/>
      <c r="M55" s="7724"/>
      <c r="N55" s="537"/>
      <c r="O55" s="1544"/>
      <c r="P55" s="1544"/>
    </row>
    <row r="56" spans="1:16" s="1555" customFormat="1" ht="18.75" customHeight="1">
      <c r="A56" s="1742" t="s">
        <v>321</v>
      </c>
      <c r="B56" s="1742" t="s">
        <v>343</v>
      </c>
      <c r="C56" s="1607"/>
      <c r="D56" s="7836"/>
      <c r="E56" s="7837"/>
      <c r="F56" s="7837"/>
      <c r="G56" s="7806" t="str">
        <f>INDEX(PT_DIFFERENTIATION_NTAR,MATCH(B56,PT_DIFFERENTIATION_NTAR_ID,0))</f>
        <v xml:space="preserve">Тарифы на питьевую воду для потребителей, присоединенных к централизованным системам водоснабжения  села Николо-Александровского и поселка Ленинского Левокумского муниципального округа </v>
      </c>
      <c r="H56" s="1811"/>
      <c r="I56" s="1658"/>
      <c r="J56" s="1693"/>
      <c r="K56" s="1784"/>
      <c r="L56" s="1811" t="s">
        <v>480</v>
      </c>
      <c r="M56" s="7724"/>
      <c r="N56" s="537"/>
      <c r="O56" s="1544"/>
      <c r="P56" s="1544"/>
    </row>
    <row r="57" spans="1:16" s="1555" customFormat="1" ht="18.75" customHeight="1">
      <c r="A57" s="1742"/>
      <c r="B57" s="1742"/>
      <c r="C57" s="1607" t="s">
        <v>1371</v>
      </c>
      <c r="D57" s="7836"/>
      <c r="E57" s="7837"/>
      <c r="F57" s="7837"/>
      <c r="G57" s="7806"/>
      <c r="H57" s="7150"/>
      <c r="I57" s="7151" t="s">
        <v>1372</v>
      </c>
      <c r="J57" s="7152"/>
      <c r="K57" s="7153"/>
      <c r="L57" s="7154"/>
      <c r="M57" s="7724"/>
      <c r="N57" s="537"/>
      <c r="O57" s="1544"/>
      <c r="P57" s="1544"/>
    </row>
    <row r="58" spans="1:16" s="1555" customFormat="1" ht="18.75" customHeight="1">
      <c r="A58" s="1742" t="s">
        <v>321</v>
      </c>
      <c r="B58" s="1742" t="s">
        <v>348</v>
      </c>
      <c r="C58" s="1607"/>
      <c r="D58" s="7836"/>
      <c r="E58" s="7837"/>
      <c r="F58" s="7837"/>
      <c r="G58" s="7806" t="str">
        <f>INDEX(PT_DIFFERENTIATION_NTAR,MATCH(B58,PT_DIFFERENTIATION_NTAR_ID,0))</f>
        <v xml:space="preserve">Тарифы на питьевую воду для потребителей, присоединенных к централизованным системам водоснабжения хутора Андрей-Курган и поселка Левобалковского Нефтекумского муниципального округа </v>
      </c>
      <c r="H58" s="1811"/>
      <c r="I58" s="1658"/>
      <c r="J58" s="1693"/>
      <c r="K58" s="1784"/>
      <c r="L58" s="1811" t="s">
        <v>480</v>
      </c>
      <c r="M58" s="7724"/>
      <c r="N58" s="537"/>
      <c r="O58" s="1544"/>
      <c r="P58" s="1544"/>
    </row>
    <row r="59" spans="1:16" s="1555" customFormat="1" ht="18.75" customHeight="1">
      <c r="A59" s="1742"/>
      <c r="B59" s="1742"/>
      <c r="C59" s="1607" t="s">
        <v>1371</v>
      </c>
      <c r="D59" s="7836"/>
      <c r="E59" s="7837"/>
      <c r="F59" s="7837"/>
      <c r="G59" s="7806"/>
      <c r="H59" s="7155"/>
      <c r="I59" s="7156" t="s">
        <v>1372</v>
      </c>
      <c r="J59" s="7157"/>
      <c r="K59" s="7158"/>
      <c r="L59" s="7159"/>
      <c r="M59" s="7724"/>
      <c r="N59" s="537"/>
      <c r="O59" s="1544"/>
      <c r="P59" s="1544"/>
    </row>
    <row r="60" spans="1:16" s="1555" customFormat="1" ht="18.75" customHeight="1">
      <c r="A60" s="1742" t="s">
        <v>321</v>
      </c>
      <c r="B60" s="1742" t="s">
        <v>353</v>
      </c>
      <c r="C60" s="1607"/>
      <c r="D60" s="7836"/>
      <c r="E60" s="7837"/>
      <c r="F60" s="7837"/>
      <c r="G60" s="7806" t="str">
        <f>INDEX(PT_DIFFERENTIATION_NTAR,MATCH(B60,PT_DIFFERENTIATION_NTAR_ID,0))</f>
        <v xml:space="preserve">Тарифы на питьевую воду для потребителей, присоединенных к централизованным системам водоснабжения поселка Зункарь и аула Бейсей Нефтекумского муниципального округа </v>
      </c>
      <c r="H60" s="1811"/>
      <c r="I60" s="1658"/>
      <c r="J60" s="1693"/>
      <c r="K60" s="1784"/>
      <c r="L60" s="1811" t="s">
        <v>480</v>
      </c>
      <c r="M60" s="7724"/>
      <c r="N60" s="537"/>
      <c r="O60" s="1544"/>
      <c r="P60" s="1544"/>
    </row>
    <row r="61" spans="1:16" s="1555" customFormat="1" ht="18.75" customHeight="1">
      <c r="A61" s="1742"/>
      <c r="B61" s="1742"/>
      <c r="C61" s="1607" t="s">
        <v>1371</v>
      </c>
      <c r="D61" s="7836"/>
      <c r="E61" s="7837"/>
      <c r="F61" s="7837"/>
      <c r="G61" s="7806"/>
      <c r="H61" s="7160"/>
      <c r="I61" s="7161" t="s">
        <v>1372</v>
      </c>
      <c r="J61" s="7162"/>
      <c r="K61" s="7163"/>
      <c r="L61" s="7164"/>
      <c r="M61" s="7724"/>
      <c r="N61" s="537"/>
      <c r="O61" s="1544"/>
      <c r="P61" s="1544"/>
    </row>
    <row r="62" spans="1:16" s="1555" customFormat="1" ht="18.75" customHeight="1">
      <c r="A62" s="1742" t="s">
        <v>321</v>
      </c>
      <c r="B62" s="1742" t="s">
        <v>358</v>
      </c>
      <c r="C62" s="1607"/>
      <c r="D62" s="7836"/>
      <c r="E62" s="7837"/>
      <c r="F62" s="7837"/>
      <c r="G62" s="7806" t="str">
        <f>INDEX(PT_DIFFERENTIATION_NTAR,MATCH(B62,PT_DIFFERENTIATION_NTAR_ID,0))</f>
        <v xml:space="preserve">Тарифы на питьевую воду для потребителей, присоединенных к централизованным системам водоснабжения села Кара-Тюбе и аула Бияш Нефтекумского муниципального округа </v>
      </c>
      <c r="H62" s="1811"/>
      <c r="I62" s="1658"/>
      <c r="J62" s="1693"/>
      <c r="K62" s="1784"/>
      <c r="L62" s="1811" t="s">
        <v>480</v>
      </c>
      <c r="M62" s="7724"/>
      <c r="N62" s="537"/>
      <c r="O62" s="1544"/>
      <c r="P62" s="1544"/>
    </row>
    <row r="63" spans="1:16" s="1555" customFormat="1" ht="18.75" customHeight="1">
      <c r="A63" s="1742"/>
      <c r="B63" s="1742"/>
      <c r="C63" s="1607" t="s">
        <v>1371</v>
      </c>
      <c r="D63" s="7836"/>
      <c r="E63" s="7837"/>
      <c r="F63" s="7837"/>
      <c r="G63" s="7806"/>
      <c r="H63" s="7165"/>
      <c r="I63" s="7166" t="s">
        <v>1372</v>
      </c>
      <c r="J63" s="7167"/>
      <c r="K63" s="7168"/>
      <c r="L63" s="7169"/>
      <c r="M63" s="7724"/>
      <c r="N63" s="537"/>
      <c r="O63" s="1544"/>
      <c r="P63" s="1544"/>
    </row>
    <row r="64" spans="1:16" s="1555" customFormat="1" ht="18.75" customHeight="1">
      <c r="A64" s="1742" t="s">
        <v>321</v>
      </c>
      <c r="B64" s="1742" t="s">
        <v>363</v>
      </c>
      <c r="C64" s="1607"/>
      <c r="D64" s="7836"/>
      <c r="E64" s="7837"/>
      <c r="F64" s="7837"/>
      <c r="G64" s="7806" t="str">
        <f>INDEX(PT_DIFFERENTIATION_NTAR,MATCH(B64,PT_DIFFERENTIATION_NTAR_ID,0))</f>
        <v>Тарифы на питьевую воду для потребителей, присоединенных к централизованным системам водоснабжения поселка Горьковского, поселка Дружба, поселка Заречного и поселка Рассвет Новоалександровского муниципального округа</v>
      </c>
      <c r="H64" s="1811"/>
      <c r="I64" s="1658"/>
      <c r="J64" s="1693"/>
      <c r="K64" s="1784"/>
      <c r="L64" s="1811" t="s">
        <v>480</v>
      </c>
      <c r="M64" s="7724"/>
      <c r="N64" s="537"/>
      <c r="O64" s="1544"/>
      <c r="P64" s="1544"/>
    </row>
    <row r="65" spans="1:16" s="1555" customFormat="1" ht="18.75" customHeight="1">
      <c r="A65" s="1742"/>
      <c r="B65" s="1742"/>
      <c r="C65" s="1607" t="s">
        <v>1371</v>
      </c>
      <c r="D65" s="7836"/>
      <c r="E65" s="7837"/>
      <c r="F65" s="7837"/>
      <c r="G65" s="7806"/>
      <c r="H65" s="7170"/>
      <c r="I65" s="7171" t="s">
        <v>1372</v>
      </c>
      <c r="J65" s="7172"/>
      <c r="K65" s="7173"/>
      <c r="L65" s="7174"/>
      <c r="M65" s="7724"/>
      <c r="N65" s="537"/>
      <c r="O65" s="1544"/>
      <c r="P65" s="1544"/>
    </row>
    <row r="66" spans="1:16" s="1555" customFormat="1" ht="18.75" customHeight="1">
      <c r="A66" s="1742" t="s">
        <v>321</v>
      </c>
      <c r="B66" s="1742" t="s">
        <v>368</v>
      </c>
      <c r="C66" s="1607"/>
      <c r="D66" s="7836"/>
      <c r="E66" s="7837"/>
      <c r="F66" s="7837"/>
      <c r="G66" s="7806" t="str">
        <f>INDEX(PT_DIFFERENTIATION_NTAR,MATCH(B66,PT_DIFFERENTIATION_NTAR_ID,0))</f>
        <v>Тарифы на питьевую воду для потребителей, присоединенных к централизованным системам водоснабжения села Высоцкого, села Ореховки и хутора Казинки Петровского муниципального округа</v>
      </c>
      <c r="H66" s="1811"/>
      <c r="I66" s="1658"/>
      <c r="J66" s="1693"/>
      <c r="K66" s="1784"/>
      <c r="L66" s="1811" t="s">
        <v>480</v>
      </c>
      <c r="M66" s="7724"/>
      <c r="N66" s="537"/>
      <c r="O66" s="1544"/>
      <c r="P66" s="1544"/>
    </row>
    <row r="67" spans="1:16" s="1555" customFormat="1" ht="18.75" customHeight="1">
      <c r="A67" s="1742"/>
      <c r="B67" s="1742"/>
      <c r="C67" s="1607" t="s">
        <v>1371</v>
      </c>
      <c r="D67" s="7836"/>
      <c r="E67" s="7837"/>
      <c r="F67" s="7837"/>
      <c r="G67" s="7806"/>
      <c r="H67" s="7175"/>
      <c r="I67" s="7176" t="s">
        <v>1372</v>
      </c>
      <c r="J67" s="7177"/>
      <c r="K67" s="7178"/>
      <c r="L67" s="7179"/>
      <c r="M67" s="7724"/>
      <c r="N67" s="537"/>
      <c r="O67" s="1544"/>
      <c r="P67" s="1544"/>
    </row>
    <row r="68" spans="1:16" s="1555" customFormat="1" ht="18.75" customHeight="1">
      <c r="A68" s="1742" t="s">
        <v>321</v>
      </c>
      <c r="B68" s="1742" t="s">
        <v>373</v>
      </c>
      <c r="C68" s="1607"/>
      <c r="D68" s="7836"/>
      <c r="E68" s="7837"/>
      <c r="F68" s="7837"/>
      <c r="G68" s="7806" t="str">
        <f>INDEX(PT_DIFFERENTIATION_NTAR,MATCH(B68,PT_DIFFERENTIATION_NTAR_ID,0))</f>
        <v>Тарифы на питьевую воду для потребителей, присоединенных к централизованным системам водоснабжения села Гофицкого Петровского муниципального округа</v>
      </c>
      <c r="H68" s="1811"/>
      <c r="I68" s="1658"/>
      <c r="J68" s="1693"/>
      <c r="K68" s="1784"/>
      <c r="L68" s="1811" t="s">
        <v>480</v>
      </c>
      <c r="M68" s="7724"/>
      <c r="N68" s="537"/>
      <c r="O68" s="1544"/>
      <c r="P68" s="1544"/>
    </row>
    <row r="69" spans="1:16" s="1555" customFormat="1" ht="18.75" customHeight="1">
      <c r="A69" s="1742"/>
      <c r="B69" s="1742"/>
      <c r="C69" s="1607" t="s">
        <v>1371</v>
      </c>
      <c r="D69" s="7836"/>
      <c r="E69" s="7837"/>
      <c r="F69" s="7837"/>
      <c r="G69" s="7806"/>
      <c r="H69" s="7180"/>
      <c r="I69" s="7181" t="s">
        <v>1372</v>
      </c>
      <c r="J69" s="7182"/>
      <c r="K69" s="7183"/>
      <c r="L69" s="7184"/>
      <c r="M69" s="7724"/>
      <c r="N69" s="537"/>
      <c r="O69" s="1544"/>
      <c r="P69" s="1544"/>
    </row>
    <row r="70" spans="1:16" s="1555" customFormat="1" ht="18.75" customHeight="1">
      <c r="A70" s="1742" t="s">
        <v>321</v>
      </c>
      <c r="B70" s="1742" t="s">
        <v>378</v>
      </c>
      <c r="C70" s="1607"/>
      <c r="D70" s="7836"/>
      <c r="E70" s="7837"/>
      <c r="F70" s="7837"/>
      <c r="G70" s="7806" t="str">
        <f>INDEX(PT_DIFFERENTIATION_NTAR,MATCH(B70,PT_DIFFERENTIATION_NTAR_ID,0))</f>
        <v>Тарифы на питьевую воду для потребителей, присоединенных к централизованным системам водоснабжения села Донская Балка Петровского муниципального округа</v>
      </c>
      <c r="H70" s="1811"/>
      <c r="I70" s="1658"/>
      <c r="J70" s="1693"/>
      <c r="K70" s="1784"/>
      <c r="L70" s="1811" t="s">
        <v>480</v>
      </c>
      <c r="M70" s="7724"/>
      <c r="N70" s="537"/>
      <c r="O70" s="1544"/>
      <c r="P70" s="1544"/>
    </row>
    <row r="71" spans="1:16" s="1555" customFormat="1" ht="18.75" customHeight="1">
      <c r="A71" s="1742"/>
      <c r="B71" s="1742"/>
      <c r="C71" s="1607" t="s">
        <v>1371</v>
      </c>
      <c r="D71" s="7836"/>
      <c r="E71" s="7837"/>
      <c r="F71" s="7837"/>
      <c r="G71" s="7806"/>
      <c r="H71" s="7185"/>
      <c r="I71" s="7186" t="s">
        <v>1372</v>
      </c>
      <c r="J71" s="7187"/>
      <c r="K71" s="7188"/>
      <c r="L71" s="7189"/>
      <c r="M71" s="7724"/>
      <c r="N71" s="537"/>
      <c r="O71" s="1544"/>
      <c r="P71" s="1544"/>
    </row>
    <row r="72" spans="1:16" s="1555" customFormat="1" ht="18.75" customHeight="1">
      <c r="A72" s="1742" t="s">
        <v>321</v>
      </c>
      <c r="B72" s="1742" t="s">
        <v>383</v>
      </c>
      <c r="C72" s="1607"/>
      <c r="D72" s="7836"/>
      <c r="E72" s="7837"/>
      <c r="F72" s="7837"/>
      <c r="G72" s="7806" t="str">
        <f>INDEX(PT_DIFFERENTIATION_NTAR,MATCH(B72,PT_DIFFERENTIATION_NTAR_ID,0))</f>
        <v>Тарифы на питьевую воду для потребителей, присоединенных к централизованным системам водоснабжения села Константиновского и села Кугуты Петровского муниципального округа, ранее эксплуатируемым ГУП СК "Пчелка"</v>
      </c>
      <c r="H72" s="1811"/>
      <c r="I72" s="1658"/>
      <c r="J72" s="1693"/>
      <c r="K72" s="1784"/>
      <c r="L72" s="1811" t="s">
        <v>480</v>
      </c>
      <c r="M72" s="7724"/>
      <c r="N72" s="537"/>
      <c r="O72" s="1544"/>
      <c r="P72" s="1544"/>
    </row>
    <row r="73" spans="1:16" s="1555" customFormat="1" ht="18.75" customHeight="1">
      <c r="A73" s="1742"/>
      <c r="B73" s="1742"/>
      <c r="C73" s="1607" t="s">
        <v>1371</v>
      </c>
      <c r="D73" s="7836"/>
      <c r="E73" s="7837"/>
      <c r="F73" s="7837"/>
      <c r="G73" s="7806"/>
      <c r="H73" s="7190"/>
      <c r="I73" s="7191" t="s">
        <v>1372</v>
      </c>
      <c r="J73" s="7192"/>
      <c r="K73" s="7193"/>
      <c r="L73" s="7194"/>
      <c r="M73" s="7724"/>
      <c r="N73" s="537"/>
      <c r="O73" s="1544"/>
      <c r="P73" s="1544"/>
    </row>
    <row r="74" spans="1:16" s="1555" customFormat="1" ht="18.75" customHeight="1">
      <c r="A74" s="1742" t="s">
        <v>321</v>
      </c>
      <c r="B74" s="1742" t="s">
        <v>388</v>
      </c>
      <c r="C74" s="1607"/>
      <c r="D74" s="7836"/>
      <c r="E74" s="7837"/>
      <c r="F74" s="7837"/>
      <c r="G74" s="7806" t="str">
        <f>INDEX(PT_DIFFERENTIATION_NTAR,MATCH(B74,PT_DIFFERENTIATION_NTAR_ID,0))</f>
        <v>Тарифы на питьевую воду для потребителей, присоединенных к централизованным системам водоснабжения села Просянки Петровского муниципального округа</v>
      </c>
      <c r="H74" s="1811"/>
      <c r="I74" s="1658"/>
      <c r="J74" s="1693"/>
      <c r="K74" s="1784"/>
      <c r="L74" s="1811" t="s">
        <v>480</v>
      </c>
      <c r="M74" s="7724"/>
      <c r="N74" s="537"/>
      <c r="O74" s="1544"/>
      <c r="P74" s="1544"/>
    </row>
    <row r="75" spans="1:16" s="1555" customFormat="1" ht="18.75" customHeight="1">
      <c r="A75" s="1742"/>
      <c r="B75" s="1742"/>
      <c r="C75" s="1607" t="s">
        <v>1371</v>
      </c>
      <c r="D75" s="7836"/>
      <c r="E75" s="7837"/>
      <c r="F75" s="7837"/>
      <c r="G75" s="7806"/>
      <c r="H75" s="7195"/>
      <c r="I75" s="7196" t="s">
        <v>1372</v>
      </c>
      <c r="J75" s="7197"/>
      <c r="K75" s="7198"/>
      <c r="L75" s="7199"/>
      <c r="M75" s="7724"/>
      <c r="N75" s="537"/>
      <c r="O75" s="1544"/>
      <c r="P75" s="1544"/>
    </row>
    <row r="76" spans="1:16" s="1555" customFormat="1" ht="18.75" customHeight="1">
      <c r="A76" s="1742" t="s">
        <v>321</v>
      </c>
      <c r="B76" s="1742" t="s">
        <v>393</v>
      </c>
      <c r="C76" s="1607"/>
      <c r="D76" s="7836"/>
      <c r="E76" s="7837"/>
      <c r="F76" s="7837"/>
      <c r="G76" s="7806" t="str">
        <f>INDEX(PT_DIFFERENTIATION_NTAR,MATCH(B76,PT_DIFFERENTIATION_NTAR_ID,0))</f>
        <v>Тарифы на питьевую воду для потребителей, присоединенных к централизованным системам водоснабжения села Сухая Буйвола Петровского муниципального округа</v>
      </c>
      <c r="H76" s="1811"/>
      <c r="I76" s="1658"/>
      <c r="J76" s="1693"/>
      <c r="K76" s="1784"/>
      <c r="L76" s="1811" t="s">
        <v>480</v>
      </c>
      <c r="M76" s="7724"/>
      <c r="N76" s="537"/>
      <c r="O76" s="1544"/>
      <c r="P76" s="1544"/>
    </row>
    <row r="77" spans="1:16" s="1555" customFormat="1" ht="18.75" customHeight="1">
      <c r="A77" s="1742"/>
      <c r="B77" s="1742"/>
      <c r="C77" s="1607" t="s">
        <v>1371</v>
      </c>
      <c r="D77" s="7836"/>
      <c r="E77" s="7837"/>
      <c r="F77" s="7837"/>
      <c r="G77" s="7806"/>
      <c r="H77" s="7200"/>
      <c r="I77" s="7201" t="s">
        <v>1372</v>
      </c>
      <c r="J77" s="7202"/>
      <c r="K77" s="7203"/>
      <c r="L77" s="7204"/>
      <c r="M77" s="7724"/>
      <c r="N77" s="537"/>
      <c r="O77" s="1544"/>
      <c r="P77" s="1544"/>
    </row>
    <row r="78" spans="1:16" s="1555" customFormat="1" ht="18.75" customHeight="1">
      <c r="A78" s="1742" t="s">
        <v>321</v>
      </c>
      <c r="B78" s="1742" t="s">
        <v>398</v>
      </c>
      <c r="C78" s="1607"/>
      <c r="D78" s="7836"/>
      <c r="E78" s="7837"/>
      <c r="F78" s="7837"/>
      <c r="G78" s="7806" t="str">
        <f>INDEX(PT_DIFFERENTIATION_NTAR,MATCH(B78,PT_DIFFERENTIATION_NTAR_ID,0))</f>
        <v>Тарифы на питьевую воду для потребителей, присоединенных к централизованным системам водоснабжения "водозабор Юца", "станция Расшеватка", города Светлограда Петровского муниципального округа, города Георгиевска и села Краснокумского Георгиевского муниципального округа, ранее эксплуатируемым ОАО "РЖД"</v>
      </c>
      <c r="H78" s="1811"/>
      <c r="I78" s="1658"/>
      <c r="J78" s="1693"/>
      <c r="K78" s="1784"/>
      <c r="L78" s="1811" t="s">
        <v>480</v>
      </c>
      <c r="M78" s="7724"/>
      <c r="N78" s="537"/>
      <c r="O78" s="1544"/>
      <c r="P78" s="1544"/>
    </row>
    <row r="79" spans="1:16" s="1555" customFormat="1" ht="18.75" customHeight="1">
      <c r="A79" s="1742"/>
      <c r="B79" s="1742"/>
      <c r="C79" s="1607" t="s">
        <v>1371</v>
      </c>
      <c r="D79" s="7836"/>
      <c r="E79" s="7837"/>
      <c r="F79" s="7837"/>
      <c r="G79" s="7806"/>
      <c r="H79" s="7205"/>
      <c r="I79" s="7206" t="s">
        <v>1372</v>
      </c>
      <c r="J79" s="7207"/>
      <c r="K79" s="7208"/>
      <c r="L79" s="7209"/>
      <c r="M79" s="7724"/>
      <c r="N79" s="537"/>
      <c r="O79" s="1544"/>
      <c r="P79" s="1544"/>
    </row>
    <row r="80" spans="1:16" s="1555" customFormat="1" ht="0.75" hidden="1" customHeight="1">
      <c r="A80" s="1700"/>
      <c r="B80" s="1700"/>
      <c r="C80" s="293" t="s">
        <v>1377</v>
      </c>
      <c r="D80" s="7835"/>
      <c r="E80" s="7643"/>
      <c r="F80" s="7778"/>
      <c r="G80" s="329"/>
      <c r="H80" s="1415"/>
      <c r="I80" s="569"/>
      <c r="J80" s="494"/>
      <c r="K80" s="1415"/>
      <c r="L80" s="131"/>
      <c r="M80" s="7605"/>
      <c r="N80" s="256"/>
      <c r="O80" s="1544"/>
      <c r="P80" s="1544"/>
    </row>
    <row r="81" spans="1:16" s="1555" customFormat="1" ht="18.75" hidden="1" customHeight="1">
      <c r="A81" s="1700" t="s">
        <v>404</v>
      </c>
      <c r="B81" s="1700" t="s">
        <v>405</v>
      </c>
      <c r="C81" s="293"/>
      <c r="D81" s="7835"/>
      <c r="E81" s="7643"/>
      <c r="F81" s="7778" t="str">
        <f>INDEX(PT_DIFFERENTIATION_VTAR,MATCH(A81,PT_DIFFERENTIATION_VTAR_ID,0))</f>
        <v>Тариф на техническую воду</v>
      </c>
      <c r="G81" s="7806" t="str">
        <f>INDEX(PT_DIFFERENTIATION_NTAR,MATCH(B81,PT_DIFFERENTIATION_NTAR_ID,0))</f>
        <v/>
      </c>
      <c r="H81" s="1781"/>
      <c r="I81" s="1658"/>
      <c r="J81" s="1693"/>
      <c r="K81" s="1784"/>
      <c r="L81" s="1781" t="s">
        <v>480</v>
      </c>
      <c r="M81" s="7605"/>
      <c r="N81" s="256"/>
      <c r="O81" s="1544"/>
      <c r="P81" s="1544"/>
    </row>
    <row r="82" spans="1:16" s="1555" customFormat="1" ht="18.75" hidden="1" customHeight="1">
      <c r="A82" s="1700"/>
      <c r="B82" s="1700"/>
      <c r="C82" s="293" t="s">
        <v>1371</v>
      </c>
      <c r="D82" s="7835"/>
      <c r="E82" s="7643"/>
      <c r="F82" s="7778"/>
      <c r="G82" s="7806"/>
      <c r="H82" s="1415"/>
      <c r="I82" s="569" t="s">
        <v>1372</v>
      </c>
      <c r="J82" s="494"/>
      <c r="K82" s="1415"/>
      <c r="L82" s="131"/>
      <c r="M82" s="7605"/>
      <c r="N82" s="256"/>
      <c r="O82" s="1544"/>
      <c r="P82" s="1544"/>
    </row>
    <row r="83" spans="1:16" s="1555" customFormat="1" ht="0.75" hidden="1" customHeight="1">
      <c r="A83" s="1700"/>
      <c r="B83" s="1700"/>
      <c r="C83" s="293" t="s">
        <v>1377</v>
      </c>
      <c r="D83" s="7835"/>
      <c r="E83" s="7643"/>
      <c r="F83" s="7778"/>
      <c r="G83" s="329"/>
      <c r="H83" s="1415"/>
      <c r="I83" s="569"/>
      <c r="J83" s="494"/>
      <c r="K83" s="1415"/>
      <c r="L83" s="131"/>
      <c r="M83" s="7605"/>
      <c r="N83" s="256"/>
      <c r="O83" s="1544"/>
      <c r="P83" s="1544"/>
    </row>
    <row r="84" spans="1:16" s="1555" customFormat="1" ht="18.75" hidden="1" customHeight="1">
      <c r="A84" s="1700" t="s">
        <v>409</v>
      </c>
      <c r="B84" s="1700" t="s">
        <v>410</v>
      </c>
      <c r="C84" s="293"/>
      <c r="D84" s="7835"/>
      <c r="E84" s="7643"/>
      <c r="F84" s="7778" t="str">
        <f>INDEX(PT_DIFFERENTIATION_VTAR,MATCH(A84,PT_DIFFERENTIATION_VTAR_ID,0))</f>
        <v>Тариф на транспортировку воды</v>
      </c>
      <c r="G84" s="7806" t="str">
        <f>INDEX(PT_DIFFERENTIATION_NTAR,MATCH(B84,PT_DIFFERENTIATION_NTAR_ID,0))</f>
        <v/>
      </c>
      <c r="H84" s="1781"/>
      <c r="I84" s="1658"/>
      <c r="J84" s="1693"/>
      <c r="K84" s="1784"/>
      <c r="L84" s="1781" t="s">
        <v>480</v>
      </c>
      <c r="M84" s="7605"/>
      <c r="N84" s="256"/>
      <c r="O84" s="1544"/>
      <c r="P84" s="1544"/>
    </row>
    <row r="85" spans="1:16" s="1555" customFormat="1" ht="18.75" hidden="1" customHeight="1">
      <c r="A85" s="1700"/>
      <c r="B85" s="1700"/>
      <c r="C85" s="293" t="s">
        <v>1371</v>
      </c>
      <c r="D85" s="7835"/>
      <c r="E85" s="7643"/>
      <c r="F85" s="7778"/>
      <c r="G85" s="7806"/>
      <c r="H85" s="1415"/>
      <c r="I85" s="569" t="s">
        <v>1372</v>
      </c>
      <c r="J85" s="494"/>
      <c r="K85" s="1415"/>
      <c r="L85" s="131"/>
      <c r="M85" s="7605"/>
      <c r="N85" s="256"/>
      <c r="O85" s="1544"/>
      <c r="P85" s="1544"/>
    </row>
    <row r="86" spans="1:16" s="1555" customFormat="1" ht="0.75" hidden="1" customHeight="1">
      <c r="A86" s="1700"/>
      <c r="B86" s="1700"/>
      <c r="C86" s="293" t="s">
        <v>1377</v>
      </c>
      <c r="D86" s="7835"/>
      <c r="E86" s="7643"/>
      <c r="F86" s="7778"/>
      <c r="G86" s="329"/>
      <c r="H86" s="1415"/>
      <c r="I86" s="569"/>
      <c r="J86" s="494"/>
      <c r="K86" s="1415"/>
      <c r="L86" s="131"/>
      <c r="M86" s="7605"/>
      <c r="N86" s="256"/>
      <c r="O86" s="1544"/>
      <c r="P86" s="1544"/>
    </row>
    <row r="87" spans="1:16" s="1555" customFormat="1" ht="18.75" hidden="1" customHeight="1">
      <c r="A87" s="1700" t="s">
        <v>414</v>
      </c>
      <c r="B87" s="1700" t="s">
        <v>415</v>
      </c>
      <c r="C87" s="293"/>
      <c r="D87" s="7835"/>
      <c r="E87" s="7643"/>
      <c r="F87" s="7778" t="str">
        <f>INDEX(PT_DIFFERENTIATION_VTAR,MATCH(A87,PT_DIFFERENTIATION_VTAR_ID,0))</f>
        <v>Тариф на подвоз воды</v>
      </c>
      <c r="G87" s="7806" t="str">
        <f>INDEX(PT_DIFFERENTIATION_NTAR,MATCH(B87,PT_DIFFERENTIATION_NTAR_ID,0))</f>
        <v/>
      </c>
      <c r="H87" s="1781"/>
      <c r="I87" s="1658"/>
      <c r="J87" s="1693"/>
      <c r="K87" s="1784"/>
      <c r="L87" s="1781" t="s">
        <v>480</v>
      </c>
      <c r="M87" s="7605"/>
      <c r="N87" s="256"/>
      <c r="O87" s="1544"/>
      <c r="P87" s="1544"/>
    </row>
    <row r="88" spans="1:16" s="1555" customFormat="1" ht="18.75" hidden="1" customHeight="1">
      <c r="A88" s="1700"/>
      <c r="B88" s="1700"/>
      <c r="C88" s="293" t="s">
        <v>1371</v>
      </c>
      <c r="D88" s="7835"/>
      <c r="E88" s="7643"/>
      <c r="F88" s="7778"/>
      <c r="G88" s="7806"/>
      <c r="H88" s="1415"/>
      <c r="I88" s="569" t="s">
        <v>1372</v>
      </c>
      <c r="J88" s="494"/>
      <c r="K88" s="1415"/>
      <c r="L88" s="131"/>
      <c r="M88" s="7605"/>
      <c r="N88" s="256"/>
      <c r="O88" s="1544"/>
      <c r="P88" s="1544"/>
    </row>
    <row r="89" spans="1:16" s="1555" customFormat="1" ht="0.75" hidden="1" customHeight="1">
      <c r="A89" s="1700"/>
      <c r="B89" s="1700"/>
      <c r="C89" s="293" t="s">
        <v>1377</v>
      </c>
      <c r="D89" s="7835"/>
      <c r="E89" s="7643"/>
      <c r="F89" s="7778"/>
      <c r="G89" s="329"/>
      <c r="H89" s="1415"/>
      <c r="I89" s="569"/>
      <c r="J89" s="494"/>
      <c r="K89" s="1415"/>
      <c r="L89" s="131"/>
      <c r="M89" s="7605"/>
      <c r="N89" s="256"/>
      <c r="O89" s="1544"/>
      <c r="P89" s="1544"/>
    </row>
    <row r="90" spans="1:16" s="1555" customFormat="1" ht="18.75" hidden="1" customHeight="1">
      <c r="A90" s="1700" t="s">
        <v>419</v>
      </c>
      <c r="B90" s="1700" t="s">
        <v>420</v>
      </c>
      <c r="C90" s="293"/>
      <c r="D90" s="7835"/>
      <c r="E90" s="7643"/>
      <c r="F90" s="7778" t="str">
        <f>INDEX(PT_DIFFERENTIATION_VTAR,MATCH(A90,PT_DIFFERENTIATION_VTAR_ID,0))</f>
        <v>Тариф на подключение (технологическое присоединение) к централизованной системе холодного водоснабжения</v>
      </c>
      <c r="G90" s="7806" t="str">
        <f>INDEX(PT_DIFFERENTIATION_NTAR,MATCH(B90,PT_DIFFERENTIATION_NTAR_ID,0))</f>
        <v/>
      </c>
      <c r="H90" s="1781"/>
      <c r="I90" s="1658"/>
      <c r="J90" s="1693"/>
      <c r="K90" s="1784"/>
      <c r="L90" s="1781" t="s">
        <v>480</v>
      </c>
      <c r="M90" s="7605"/>
      <c r="N90" s="256"/>
      <c r="O90" s="1544"/>
      <c r="P90" s="1544"/>
    </row>
    <row r="91" spans="1:16" s="1555" customFormat="1" ht="18.75" hidden="1" customHeight="1">
      <c r="A91" s="1700"/>
      <c r="B91" s="1700"/>
      <c r="C91" s="293" t="s">
        <v>1371</v>
      </c>
      <c r="D91" s="7835"/>
      <c r="E91" s="7643"/>
      <c r="F91" s="7778"/>
      <c r="G91" s="7806"/>
      <c r="H91" s="1415"/>
      <c r="I91" s="569" t="s">
        <v>1372</v>
      </c>
      <c r="J91" s="494"/>
      <c r="K91" s="1415"/>
      <c r="L91" s="131"/>
      <c r="M91" s="7605"/>
      <c r="N91" s="256"/>
      <c r="O91" s="1544"/>
      <c r="P91" s="1544"/>
    </row>
    <row r="92" spans="1:16" s="1555" customFormat="1" ht="0.75" hidden="1" customHeight="1">
      <c r="A92" s="1700"/>
      <c r="B92" s="1700"/>
      <c r="C92" s="293" t="s">
        <v>1377</v>
      </c>
      <c r="D92" s="7835"/>
      <c r="E92" s="7643"/>
      <c r="F92" s="7778"/>
      <c r="G92" s="329"/>
      <c r="H92" s="1415"/>
      <c r="I92" s="569"/>
      <c r="J92" s="494"/>
      <c r="K92" s="1415"/>
      <c r="L92" s="131"/>
      <c r="M92" s="7605"/>
      <c r="N92" s="256"/>
      <c r="O92" s="1544"/>
      <c r="P92" s="1544"/>
    </row>
    <row r="93" spans="1:16" s="1555" customFormat="1" ht="18.75" hidden="1" customHeight="1">
      <c r="A93" s="1700" t="s">
        <v>424</v>
      </c>
      <c r="B93" s="1700" t="s">
        <v>425</v>
      </c>
      <c r="C93" s="293"/>
      <c r="D93" s="7835"/>
      <c r="E93" s="7643"/>
      <c r="F93" s="7778" t="str">
        <f>INDEX(PT_DIFFERENTIATION_VTAR,MATCH(A93,PT_DIFFERENTIATION_VTAR_ID,0))</f>
        <v>Тариф на горячую воду (горячее водоснабжение)</v>
      </c>
      <c r="G93" s="7806" t="str">
        <f>INDEX(PT_DIFFERENTIATION_NTAR,MATCH(B93,PT_DIFFERENTIATION_NTAR_ID,0))</f>
        <v/>
      </c>
      <c r="H93" s="1781"/>
      <c r="I93" s="1658"/>
      <c r="J93" s="1693"/>
      <c r="K93" s="1784"/>
      <c r="L93" s="1781" t="s">
        <v>480</v>
      </c>
      <c r="M93" s="7605"/>
      <c r="N93" s="256"/>
      <c r="O93" s="1544"/>
      <c r="P93" s="1544"/>
    </row>
    <row r="94" spans="1:16" s="1555" customFormat="1" ht="18.75" hidden="1" customHeight="1">
      <c r="A94" s="1700"/>
      <c r="B94" s="1700"/>
      <c r="C94" s="293" t="s">
        <v>1371</v>
      </c>
      <c r="D94" s="7835"/>
      <c r="E94" s="7643"/>
      <c r="F94" s="7778"/>
      <c r="G94" s="7806"/>
      <c r="H94" s="1415"/>
      <c r="I94" s="569" t="s">
        <v>1372</v>
      </c>
      <c r="J94" s="494"/>
      <c r="K94" s="1415"/>
      <c r="L94" s="131"/>
      <c r="M94" s="7605"/>
      <c r="N94" s="256"/>
      <c r="O94" s="1544"/>
      <c r="P94" s="1544"/>
    </row>
    <row r="95" spans="1:16" s="1555" customFormat="1" ht="0.75" hidden="1" customHeight="1">
      <c r="A95" s="1700"/>
      <c r="B95" s="1700"/>
      <c r="C95" s="293" t="s">
        <v>1377</v>
      </c>
      <c r="D95" s="7835"/>
      <c r="E95" s="7643"/>
      <c r="F95" s="7778"/>
      <c r="G95" s="329"/>
      <c r="H95" s="1415"/>
      <c r="I95" s="569"/>
      <c r="J95" s="494"/>
      <c r="K95" s="1415"/>
      <c r="L95" s="131"/>
      <c r="M95" s="7605"/>
      <c r="N95" s="256"/>
      <c r="O95" s="1544"/>
      <c r="P95" s="1544"/>
    </row>
    <row r="96" spans="1:16" s="1555" customFormat="1" ht="18.75" hidden="1" customHeight="1">
      <c r="A96" s="1700" t="s">
        <v>429</v>
      </c>
      <c r="B96" s="1700" t="s">
        <v>430</v>
      </c>
      <c r="C96" s="293"/>
      <c r="D96" s="7835"/>
      <c r="E96" s="7643"/>
      <c r="F96" s="7778" t="str">
        <f>INDEX(PT_DIFFERENTIATION_VTAR,MATCH(A96,PT_DIFFERENTIATION_VTAR_ID,0))</f>
        <v>Тариф на транспортировку горячей воды</v>
      </c>
      <c r="G96" s="7806" t="str">
        <f>INDEX(PT_DIFFERENTIATION_NTAR,MATCH(B96,PT_DIFFERENTIATION_NTAR_ID,0))</f>
        <v/>
      </c>
      <c r="H96" s="1781"/>
      <c r="I96" s="1658"/>
      <c r="J96" s="1693"/>
      <c r="K96" s="1784"/>
      <c r="L96" s="1781" t="s">
        <v>480</v>
      </c>
      <c r="M96" s="7605"/>
      <c r="N96" s="256"/>
      <c r="O96" s="1544"/>
      <c r="P96" s="1544"/>
    </row>
    <row r="97" spans="1:16" s="1555" customFormat="1" ht="18.75" hidden="1" customHeight="1">
      <c r="A97" s="1700"/>
      <c r="B97" s="1700"/>
      <c r="C97" s="293" t="s">
        <v>1371</v>
      </c>
      <c r="D97" s="7835"/>
      <c r="E97" s="7643"/>
      <c r="F97" s="7778"/>
      <c r="G97" s="7806"/>
      <c r="H97" s="1415"/>
      <c r="I97" s="569" t="s">
        <v>1372</v>
      </c>
      <c r="J97" s="494"/>
      <c r="K97" s="1415"/>
      <c r="L97" s="131"/>
      <c r="M97" s="7605"/>
      <c r="N97" s="256"/>
      <c r="O97" s="1544"/>
      <c r="P97" s="1544"/>
    </row>
    <row r="98" spans="1:16" s="1555" customFormat="1" ht="0.75" hidden="1" customHeight="1">
      <c r="A98" s="1700"/>
      <c r="B98" s="1700"/>
      <c r="C98" s="293" t="s">
        <v>1377</v>
      </c>
      <c r="D98" s="7835"/>
      <c r="E98" s="7643"/>
      <c r="F98" s="7778"/>
      <c r="G98" s="329"/>
      <c r="H98" s="1415"/>
      <c r="I98" s="569"/>
      <c r="J98" s="494"/>
      <c r="K98" s="1415"/>
      <c r="L98" s="131"/>
      <c r="M98" s="7605"/>
      <c r="N98" s="256"/>
      <c r="O98" s="1544"/>
      <c r="P98" s="1544"/>
    </row>
    <row r="99" spans="1:16" s="1555" customFormat="1" ht="18.75" hidden="1" customHeight="1">
      <c r="A99" s="1700" t="s">
        <v>434</v>
      </c>
      <c r="B99" s="1700" t="s">
        <v>435</v>
      </c>
      <c r="C99" s="293"/>
      <c r="D99" s="7835"/>
      <c r="E99" s="7643"/>
      <c r="F99" s="7778" t="str">
        <f>INDEX(PT_DIFFERENTIATION_VTAR,MATCH(A99,PT_DIFFERENTIATION_VTAR_ID,0))</f>
        <v>Тариф на подключение (технологическое присоединение) к централизованной системе горячего водоснабжения</v>
      </c>
      <c r="G99" s="7806" t="str">
        <f>INDEX(PT_DIFFERENTIATION_NTAR,MATCH(B99,PT_DIFFERENTIATION_NTAR_ID,0))</f>
        <v/>
      </c>
      <c r="H99" s="1781"/>
      <c r="I99" s="1658"/>
      <c r="J99" s="1693"/>
      <c r="K99" s="1784"/>
      <c r="L99" s="1781" t="s">
        <v>480</v>
      </c>
      <c r="M99" s="7605"/>
      <c r="N99" s="256"/>
      <c r="O99" s="1544"/>
      <c r="P99" s="1544"/>
    </row>
    <row r="100" spans="1:16" s="1555" customFormat="1" ht="18.75" hidden="1" customHeight="1">
      <c r="A100" s="1700"/>
      <c r="B100" s="1700"/>
      <c r="C100" s="293" t="s">
        <v>1371</v>
      </c>
      <c r="D100" s="7835"/>
      <c r="E100" s="7643"/>
      <c r="F100" s="7778"/>
      <c r="G100" s="7806"/>
      <c r="H100" s="1415"/>
      <c r="I100" s="569" t="s">
        <v>1372</v>
      </c>
      <c r="J100" s="494"/>
      <c r="K100" s="1415"/>
      <c r="L100" s="131"/>
      <c r="M100" s="7605"/>
      <c r="N100" s="256"/>
      <c r="O100" s="1544"/>
      <c r="P100" s="1544"/>
    </row>
    <row r="101" spans="1:16" s="1555" customFormat="1" ht="0.75" hidden="1" customHeight="1">
      <c r="A101" s="1700"/>
      <c r="B101" s="1700"/>
      <c r="C101" s="293" t="s">
        <v>1377</v>
      </c>
      <c r="D101" s="7835"/>
      <c r="E101" s="7643"/>
      <c r="F101" s="7778"/>
      <c r="G101" s="329"/>
      <c r="H101" s="1415"/>
      <c r="I101" s="569"/>
      <c r="J101" s="494"/>
      <c r="K101" s="1415"/>
      <c r="L101" s="131"/>
      <c r="M101" s="7605"/>
      <c r="N101" s="256"/>
      <c r="O101" s="1544"/>
      <c r="P101" s="1544"/>
    </row>
    <row r="102" spans="1:16" s="1555" customFormat="1" ht="18.75" hidden="1" customHeight="1">
      <c r="A102" s="1700" t="s">
        <v>439</v>
      </c>
      <c r="B102" s="1700" t="s">
        <v>440</v>
      </c>
      <c r="C102" s="293"/>
      <c r="D102" s="7835"/>
      <c r="E102" s="7643"/>
      <c r="F102" s="7778" t="str">
        <f>INDEX(PT_DIFFERENTIATION_VTAR,MATCH(A102,PT_DIFFERENTIATION_VTAR_ID,0))</f>
        <v>Тариф на водоотведение</v>
      </c>
      <c r="G102" s="7806" t="str">
        <f>INDEX(PT_DIFFERENTIATION_NTAR,MATCH(B102,PT_DIFFERENTIATION_NTAR_ID,0))</f>
        <v/>
      </c>
      <c r="H102" s="1781"/>
      <c r="I102" s="1658"/>
      <c r="J102" s="1693"/>
      <c r="K102" s="1784"/>
      <c r="L102" s="1781" t="s">
        <v>480</v>
      </c>
      <c r="M102" s="7605"/>
      <c r="N102" s="256"/>
      <c r="O102" s="1544"/>
      <c r="P102" s="1544"/>
    </row>
    <row r="103" spans="1:16" s="1555" customFormat="1" ht="18.75" hidden="1" customHeight="1">
      <c r="A103" s="1700"/>
      <c r="B103" s="1700"/>
      <c r="C103" s="293" t="s">
        <v>1371</v>
      </c>
      <c r="D103" s="7835"/>
      <c r="E103" s="7643"/>
      <c r="F103" s="7778"/>
      <c r="G103" s="7806"/>
      <c r="H103" s="1415"/>
      <c r="I103" s="569" t="s">
        <v>1372</v>
      </c>
      <c r="J103" s="494"/>
      <c r="K103" s="1415"/>
      <c r="L103" s="131"/>
      <c r="M103" s="7605"/>
      <c r="N103" s="256"/>
      <c r="O103" s="1544"/>
      <c r="P103" s="1544"/>
    </row>
    <row r="104" spans="1:16" s="1555" customFormat="1" ht="0.75" hidden="1" customHeight="1">
      <c r="A104" s="1700"/>
      <c r="B104" s="1700"/>
      <c r="C104" s="293" t="s">
        <v>1377</v>
      </c>
      <c r="D104" s="7835"/>
      <c r="E104" s="7643"/>
      <c r="F104" s="7778"/>
      <c r="G104" s="329"/>
      <c r="H104" s="1415"/>
      <c r="I104" s="569"/>
      <c r="J104" s="494"/>
      <c r="K104" s="1415"/>
      <c r="L104" s="131"/>
      <c r="M104" s="7605"/>
      <c r="N104" s="256"/>
      <c r="O104" s="1544"/>
      <c r="P104" s="1544"/>
    </row>
    <row r="105" spans="1:16" s="1555" customFormat="1" ht="18.75" hidden="1" customHeight="1">
      <c r="A105" s="1700" t="s">
        <v>444</v>
      </c>
      <c r="B105" s="1700" t="s">
        <v>445</v>
      </c>
      <c r="C105" s="293"/>
      <c r="D105" s="7835"/>
      <c r="E105" s="7643"/>
      <c r="F105" s="7778" t="str">
        <f>INDEX(PT_DIFFERENTIATION_VTAR,MATCH(A105,PT_DIFFERENTIATION_VTAR_ID,0))</f>
        <v>Тариф на транспортировку сточных вод</v>
      </c>
      <c r="G105" s="7806" t="str">
        <f>INDEX(PT_DIFFERENTIATION_NTAR,MATCH(B105,PT_DIFFERENTIATION_NTAR_ID,0))</f>
        <v/>
      </c>
      <c r="H105" s="1781"/>
      <c r="I105" s="1658"/>
      <c r="J105" s="1693"/>
      <c r="K105" s="1784"/>
      <c r="L105" s="1781" t="s">
        <v>480</v>
      </c>
      <c r="M105" s="7605"/>
      <c r="N105" s="256"/>
      <c r="O105" s="1544"/>
      <c r="P105" s="1544"/>
    </row>
    <row r="106" spans="1:16" s="1555" customFormat="1" ht="18.75" hidden="1" customHeight="1">
      <c r="A106" s="1700"/>
      <c r="B106" s="1700"/>
      <c r="C106" s="293" t="s">
        <v>1371</v>
      </c>
      <c r="D106" s="7835"/>
      <c r="E106" s="7643"/>
      <c r="F106" s="7778"/>
      <c r="G106" s="7806"/>
      <c r="H106" s="1415"/>
      <c r="I106" s="569" t="s">
        <v>1372</v>
      </c>
      <c r="J106" s="494"/>
      <c r="K106" s="1415"/>
      <c r="L106" s="131"/>
      <c r="M106" s="7605"/>
      <c r="N106" s="256"/>
      <c r="O106" s="1544"/>
      <c r="P106" s="1544"/>
    </row>
    <row r="107" spans="1:16" s="1555" customFormat="1" ht="0.75" hidden="1" customHeight="1">
      <c r="A107" s="1700"/>
      <c r="B107" s="1700"/>
      <c r="C107" s="293" t="s">
        <v>1377</v>
      </c>
      <c r="D107" s="7835"/>
      <c r="E107" s="7643"/>
      <c r="F107" s="7778"/>
      <c r="G107" s="329"/>
      <c r="H107" s="1415"/>
      <c r="I107" s="569"/>
      <c r="J107" s="494"/>
      <c r="K107" s="1415"/>
      <c r="L107" s="131"/>
      <c r="M107" s="7605"/>
      <c r="N107" s="256"/>
      <c r="O107" s="1544"/>
      <c r="P107" s="1544"/>
    </row>
    <row r="108" spans="1:16" s="1555" customFormat="1" ht="18.75" hidden="1" customHeight="1">
      <c r="A108" s="1700" t="s">
        <v>449</v>
      </c>
      <c r="B108" s="1700" t="s">
        <v>450</v>
      </c>
      <c r="C108" s="293"/>
      <c r="D108" s="7835"/>
      <c r="E108" s="7643"/>
      <c r="F108" s="7778" t="str">
        <f>INDEX(PT_DIFFERENTIATION_VTAR,MATCH(A108,PT_DIFFERENTIATION_VTAR_ID,0))</f>
        <v>Тариф на подключение (технологическое присоединение) к централизованной системе водоотведения</v>
      </c>
      <c r="G108" s="7806" t="str">
        <f>INDEX(PT_DIFFERENTIATION_NTAR,MATCH(B108,PT_DIFFERENTIATION_NTAR_ID,0))</f>
        <v/>
      </c>
      <c r="H108" s="1781"/>
      <c r="I108" s="1658"/>
      <c r="J108" s="1693"/>
      <c r="K108" s="1784"/>
      <c r="L108" s="1781" t="s">
        <v>480</v>
      </c>
      <c r="M108" s="7605"/>
      <c r="N108" s="256"/>
      <c r="O108" s="1544"/>
      <c r="P108" s="1544"/>
    </row>
    <row r="109" spans="1:16" s="1555" customFormat="1" ht="18.75" hidden="1" customHeight="1">
      <c r="A109" s="1700"/>
      <c r="B109" s="1700"/>
      <c r="C109" s="293" t="s">
        <v>1371</v>
      </c>
      <c r="D109" s="7835"/>
      <c r="E109" s="7643"/>
      <c r="F109" s="7778"/>
      <c r="G109" s="7806"/>
      <c r="H109" s="1415"/>
      <c r="I109" s="569" t="s">
        <v>1372</v>
      </c>
      <c r="J109" s="494"/>
      <c r="K109" s="1415"/>
      <c r="L109" s="131"/>
      <c r="M109" s="7605"/>
      <c r="N109" s="256"/>
      <c r="O109" s="1544"/>
      <c r="P109" s="1544"/>
    </row>
    <row r="110" spans="1:16" s="1555" customFormat="1" ht="0.75" customHeight="1">
      <c r="A110" s="1700"/>
      <c r="B110" s="1700"/>
      <c r="C110" s="293" t="s">
        <v>1377</v>
      </c>
      <c r="D110" s="7835"/>
      <c r="E110" s="7643"/>
      <c r="F110" s="7778"/>
      <c r="G110" s="329"/>
      <c r="H110" s="1415"/>
      <c r="I110" s="569"/>
      <c r="J110" s="494"/>
      <c r="K110" s="1415"/>
      <c r="L110" s="131"/>
      <c r="M110" s="7605"/>
      <c r="N110" s="256"/>
      <c r="O110" s="1544"/>
      <c r="P110" s="1544"/>
    </row>
    <row r="111" spans="1:16" ht="18.75" customHeight="1">
      <c r="A111" s="1700"/>
      <c r="B111" s="1700"/>
      <c r="D111" s="300"/>
      <c r="E111" s="67" t="s">
        <v>100</v>
      </c>
      <c r="F111" s="783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111" s="7834"/>
      <c r="H111" s="7834"/>
      <c r="I111" s="7834"/>
      <c r="J111" s="7834"/>
      <c r="K111" s="7834"/>
      <c r="L111" s="7834"/>
      <c r="M111" s="211"/>
      <c r="N111" s="256"/>
    </row>
    <row r="112" spans="1:16" ht="33.75" customHeight="1">
      <c r="A112" s="1700"/>
      <c r="B112" s="1700"/>
      <c r="D112" s="300"/>
      <c r="E112" s="328"/>
      <c r="F112" s="115" t="s">
        <v>480</v>
      </c>
      <c r="G112" s="115" t="s">
        <v>480</v>
      </c>
      <c r="H112" s="7657" t="s">
        <v>480</v>
      </c>
      <c r="I112" s="7659"/>
      <c r="J112" s="115" t="s">
        <v>480</v>
      </c>
      <c r="K112" s="115" t="s">
        <v>480</v>
      </c>
      <c r="L112" s="330"/>
      <c r="M112" s="266" t="s">
        <v>1378</v>
      </c>
      <c r="N112" s="256"/>
    </row>
    <row r="113" spans="1:16" ht="18.75" customHeight="1">
      <c r="A113" s="1700"/>
      <c r="B113" s="1700"/>
      <c r="D113" s="300"/>
      <c r="E113" s="67" t="s">
        <v>88</v>
      </c>
      <c r="F113" s="7834" t="s">
        <v>1379</v>
      </c>
      <c r="G113" s="7834"/>
      <c r="H113" s="7834"/>
      <c r="I113" s="7834"/>
      <c r="J113" s="7834"/>
      <c r="K113" s="7834"/>
      <c r="L113" s="7834"/>
      <c r="M113" s="211"/>
      <c r="N113" s="256"/>
    </row>
    <row r="114" spans="1:16" s="1555" customFormat="1" ht="60.75" hidden="1" customHeight="1">
      <c r="A114" s="1700" t="s">
        <v>263</v>
      </c>
      <c r="B114" s="1700" t="s">
        <v>264</v>
      </c>
      <c r="C114" s="293"/>
      <c r="D114" s="7835"/>
      <c r="E114" s="7643"/>
      <c r="F114" s="7778" t="str">
        <f>INDEX(PT_DIFFERENTIATION_VTAR,MATCH(A114,PT_DIFFERENTIATION_VTAR_ID,0))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14" s="7806" t="str">
        <f>INDEX(PT_DIFFERENTIATION_NTAR,MATCH(B114,PT_DIFFERENTIATION_NTAR_ID,0))</f>
        <v/>
      </c>
      <c r="H114" s="1781"/>
      <c r="I114" s="1658"/>
      <c r="J114" s="1693"/>
      <c r="K114" s="1698"/>
      <c r="L114" s="1781" t="s">
        <v>480</v>
      </c>
      <c r="M114" s="76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14" s="256"/>
      <c r="O114" s="1544"/>
      <c r="P114" s="1544"/>
    </row>
    <row r="115" spans="1:16" s="1555" customFormat="1" ht="18.75" hidden="1" customHeight="1">
      <c r="A115" s="1700"/>
      <c r="B115" s="1700"/>
      <c r="C115" s="293" t="s">
        <v>1373</v>
      </c>
      <c r="D115" s="7835"/>
      <c r="E115" s="7643"/>
      <c r="F115" s="7778"/>
      <c r="G115" s="7806"/>
      <c r="H115" s="1415"/>
      <c r="I115" s="569" t="s">
        <v>1372</v>
      </c>
      <c r="J115" s="494"/>
      <c r="K115" s="1415"/>
      <c r="L115" s="131"/>
      <c r="M115" s="7605"/>
      <c r="N115" s="256"/>
      <c r="O115" s="1544"/>
      <c r="P115" s="1544"/>
    </row>
    <row r="116" spans="1:16" s="1555" customFormat="1" ht="0.75" hidden="1" customHeight="1">
      <c r="A116" s="1700"/>
      <c r="B116" s="1700"/>
      <c r="C116" s="293" t="s">
        <v>1380</v>
      </c>
      <c r="D116" s="7835"/>
      <c r="E116" s="7643"/>
      <c r="F116" s="7778"/>
      <c r="G116" s="329"/>
      <c r="H116" s="1415"/>
      <c r="I116" s="569"/>
      <c r="J116" s="494"/>
      <c r="K116" s="1415"/>
      <c r="L116" s="131"/>
      <c r="M116" s="7605"/>
      <c r="N116" s="256"/>
      <c r="O116" s="1544"/>
      <c r="P116" s="1544"/>
    </row>
    <row r="117" spans="1:16" s="1555" customFormat="1" ht="45" hidden="1" customHeight="1">
      <c r="A117" s="1700" t="s">
        <v>269</v>
      </c>
      <c r="B117" s="1700" t="s">
        <v>270</v>
      </c>
      <c r="C117" s="293"/>
      <c r="D117" s="7835"/>
      <c r="E117" s="7643"/>
      <c r="F117" s="7778" t="str">
        <f>INDEX(PT_DIFFERENTIATION_VTAR,MATCH(A117,PT_DIFFERENTIATION_VTAR_ID,0))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17" s="7806" t="str">
        <f>INDEX(PT_DIFFERENTIATION_NTAR,MATCH(B117,PT_DIFFERENTIATION_NTAR_ID,0))</f>
        <v/>
      </c>
      <c r="H117" s="1781"/>
      <c r="I117" s="1658"/>
      <c r="J117" s="1693"/>
      <c r="K117" s="1698"/>
      <c r="L117" s="1781" t="s">
        <v>480</v>
      </c>
      <c r="M117" s="7606"/>
      <c r="N117" s="256"/>
      <c r="O117" s="1544"/>
      <c r="P117" s="1544"/>
    </row>
    <row r="118" spans="1:16" s="1555" customFormat="1" ht="18.75" hidden="1" customHeight="1">
      <c r="A118" s="1700"/>
      <c r="B118" s="1700"/>
      <c r="C118" s="293" t="s">
        <v>1373</v>
      </c>
      <c r="D118" s="7835"/>
      <c r="E118" s="7643"/>
      <c r="F118" s="7778"/>
      <c r="G118" s="7806"/>
      <c r="H118" s="1415"/>
      <c r="I118" s="569" t="s">
        <v>1372</v>
      </c>
      <c r="J118" s="494"/>
      <c r="K118" s="1415"/>
      <c r="L118" s="131"/>
      <c r="M118" s="1780"/>
      <c r="N118" s="256"/>
      <c r="O118" s="1544"/>
      <c r="P118" s="1544"/>
    </row>
    <row r="119" spans="1:16" s="1555" customFormat="1" ht="0.75" hidden="1" customHeight="1">
      <c r="A119" s="1700"/>
      <c r="B119" s="1700"/>
      <c r="C119" s="293" t="s">
        <v>1380</v>
      </c>
      <c r="D119" s="7835"/>
      <c r="E119" s="7643"/>
      <c r="F119" s="7778"/>
      <c r="G119" s="329"/>
      <c r="H119" s="1415"/>
      <c r="I119" s="569"/>
      <c r="J119" s="494"/>
      <c r="K119" s="1415"/>
      <c r="L119" s="131"/>
      <c r="M119" s="263"/>
      <c r="N119" s="256"/>
      <c r="O119" s="1544"/>
      <c r="P119" s="1544"/>
    </row>
    <row r="120" spans="1:16" s="1555" customFormat="1" ht="45" hidden="1" customHeight="1">
      <c r="A120" s="1700" t="s">
        <v>275</v>
      </c>
      <c r="B120" s="1700" t="s">
        <v>276</v>
      </c>
      <c r="C120" s="293"/>
      <c r="D120" s="7835"/>
      <c r="E120" s="7643"/>
      <c r="F120" s="7778" t="str">
        <f>INDEX(PT_DIFFERENTIATION_VTAR,MATCH(A120,PT_DIFFERENTIATION_VTAR_ID,0))</f>
        <v>Тарифы на теплоноситель, поставляемый теплоснабжающими организациями потребителям, другим теплоснабжающим организациям</v>
      </c>
      <c r="G120" s="7806" t="str">
        <f>INDEX(PT_DIFFERENTIATION_NTAR,MATCH(B120,PT_DIFFERENTIATION_NTAR_ID,0))</f>
        <v/>
      </c>
      <c r="H120" s="1781"/>
      <c r="I120" s="1658"/>
      <c r="J120" s="1693"/>
      <c r="K120" s="1698"/>
      <c r="L120" s="1781" t="s">
        <v>480</v>
      </c>
      <c r="M120" s="263"/>
      <c r="N120" s="256"/>
      <c r="O120" s="1544"/>
      <c r="P120" s="1544"/>
    </row>
    <row r="121" spans="1:16" s="1555" customFormat="1" ht="18.75" hidden="1" customHeight="1">
      <c r="A121" s="1700"/>
      <c r="B121" s="1700"/>
      <c r="C121" s="293" t="s">
        <v>1373</v>
      </c>
      <c r="D121" s="7835"/>
      <c r="E121" s="7643"/>
      <c r="F121" s="7778"/>
      <c r="G121" s="7806"/>
      <c r="H121" s="1415"/>
      <c r="I121" s="569" t="s">
        <v>1372</v>
      </c>
      <c r="J121" s="494"/>
      <c r="K121" s="1415"/>
      <c r="L121" s="131"/>
      <c r="M121" s="263"/>
      <c r="N121" s="256"/>
      <c r="O121" s="1544"/>
      <c r="P121" s="1544"/>
    </row>
    <row r="122" spans="1:16" s="1555" customFormat="1" ht="0.75" hidden="1" customHeight="1">
      <c r="A122" s="1700"/>
      <c r="B122" s="1700"/>
      <c r="C122" s="293" t="s">
        <v>1380</v>
      </c>
      <c r="D122" s="7835"/>
      <c r="E122" s="7643"/>
      <c r="F122" s="7778"/>
      <c r="G122" s="329"/>
      <c r="H122" s="1415"/>
      <c r="I122" s="569"/>
      <c r="J122" s="494"/>
      <c r="K122" s="1415"/>
      <c r="L122" s="131"/>
      <c r="M122" s="263"/>
      <c r="N122" s="256"/>
      <c r="O122" s="1544"/>
      <c r="P122" s="1544"/>
    </row>
    <row r="123" spans="1:16" s="1555" customFormat="1" ht="45" hidden="1" customHeight="1">
      <c r="A123" s="1700" t="s">
        <v>281</v>
      </c>
      <c r="B123" s="1700" t="s">
        <v>282</v>
      </c>
      <c r="C123" s="293"/>
      <c r="D123" s="7835"/>
      <c r="E123" s="7643"/>
      <c r="F123" s="7778" t="str">
        <f>INDEX(PT_DIFFERENTIATION_VTAR,MATCH(A123,PT_DIFFERENTIATION_VTAR_ID,0))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23" s="7806" t="str">
        <f>INDEX(PT_DIFFERENTIATION_NTAR,MATCH(B123,PT_DIFFERENTIATION_NTAR_ID,0))</f>
        <v/>
      </c>
      <c r="H123" s="1781"/>
      <c r="I123" s="1658"/>
      <c r="J123" s="1693"/>
      <c r="K123" s="1698"/>
      <c r="L123" s="1781" t="s">
        <v>480</v>
      </c>
      <c r="M123" s="263"/>
      <c r="N123" s="256"/>
      <c r="O123" s="1544"/>
      <c r="P123" s="1544"/>
    </row>
    <row r="124" spans="1:16" s="1555" customFormat="1" ht="18.75" hidden="1" customHeight="1">
      <c r="A124" s="1700"/>
      <c r="B124" s="1700"/>
      <c r="C124" s="293" t="s">
        <v>1373</v>
      </c>
      <c r="D124" s="7835"/>
      <c r="E124" s="7643"/>
      <c r="F124" s="7778"/>
      <c r="G124" s="7806"/>
      <c r="H124" s="1415"/>
      <c r="I124" s="569" t="s">
        <v>1372</v>
      </c>
      <c r="J124" s="494"/>
      <c r="K124" s="1415"/>
      <c r="L124" s="131"/>
      <c r="M124" s="263"/>
      <c r="N124" s="256"/>
      <c r="O124" s="1544"/>
      <c r="P124" s="1544"/>
    </row>
    <row r="125" spans="1:16" s="1555" customFormat="1" ht="0.75" hidden="1" customHeight="1">
      <c r="A125" s="1700"/>
      <c r="B125" s="1700"/>
      <c r="C125" s="293" t="s">
        <v>1380</v>
      </c>
      <c r="D125" s="7835"/>
      <c r="E125" s="7643"/>
      <c r="F125" s="7778"/>
      <c r="G125" s="329"/>
      <c r="H125" s="1415"/>
      <c r="I125" s="569"/>
      <c r="J125" s="494"/>
      <c r="K125" s="1415"/>
      <c r="L125" s="131"/>
      <c r="M125" s="263"/>
      <c r="N125" s="256"/>
      <c r="O125" s="1544"/>
      <c r="P125" s="1544"/>
    </row>
    <row r="126" spans="1:16" s="1555" customFormat="1" ht="18.75" hidden="1" customHeight="1">
      <c r="A126" s="1700" t="s">
        <v>287</v>
      </c>
      <c r="B126" s="1700" t="s">
        <v>288</v>
      </c>
      <c r="C126" s="293"/>
      <c r="D126" s="7835"/>
      <c r="E126" s="7643"/>
      <c r="F126" s="7778" t="str">
        <f>INDEX(PT_DIFFERENTIATION_VTAR,MATCH(A126,PT_DIFFERENTIATION_VTAR_ID,0))</f>
        <v>Тарифы на услуги по передаче тепловой энергии</v>
      </c>
      <c r="G126" s="7806" t="str">
        <f>INDEX(PT_DIFFERENTIATION_NTAR,MATCH(B126,PT_DIFFERENTIATION_NTAR_ID,0))</f>
        <v/>
      </c>
      <c r="H126" s="1781"/>
      <c r="I126" s="1658"/>
      <c r="J126" s="1693"/>
      <c r="K126" s="1698"/>
      <c r="L126" s="1781" t="s">
        <v>480</v>
      </c>
      <c r="M126" s="263"/>
      <c r="N126" s="256"/>
      <c r="O126" s="1544"/>
      <c r="P126" s="1544"/>
    </row>
    <row r="127" spans="1:16" s="1555" customFormat="1" ht="18.75" hidden="1" customHeight="1">
      <c r="A127" s="1700"/>
      <c r="B127" s="1700"/>
      <c r="C127" s="293" t="s">
        <v>1373</v>
      </c>
      <c r="D127" s="7835"/>
      <c r="E127" s="7643"/>
      <c r="F127" s="7778"/>
      <c r="G127" s="7806"/>
      <c r="H127" s="1415"/>
      <c r="I127" s="569" t="s">
        <v>1372</v>
      </c>
      <c r="J127" s="494"/>
      <c r="K127" s="1415"/>
      <c r="L127" s="131"/>
      <c r="M127" s="263"/>
      <c r="N127" s="256"/>
      <c r="O127" s="1544"/>
      <c r="P127" s="1544"/>
    </row>
    <row r="128" spans="1:16" s="1555" customFormat="1" ht="0.75" hidden="1" customHeight="1">
      <c r="A128" s="1700"/>
      <c r="B128" s="1700"/>
      <c r="C128" s="293" t="s">
        <v>1380</v>
      </c>
      <c r="D128" s="7835"/>
      <c r="E128" s="7643"/>
      <c r="F128" s="7778"/>
      <c r="G128" s="329"/>
      <c r="H128" s="1415"/>
      <c r="I128" s="569"/>
      <c r="J128" s="494"/>
      <c r="K128" s="1415"/>
      <c r="L128" s="131"/>
      <c r="M128" s="263"/>
      <c r="N128" s="256"/>
      <c r="O128" s="1544"/>
      <c r="P128" s="1544"/>
    </row>
    <row r="129" spans="1:16" s="1555" customFormat="1" ht="18.75" hidden="1" customHeight="1">
      <c r="A129" s="1700" t="s">
        <v>293</v>
      </c>
      <c r="B129" s="1700" t="s">
        <v>294</v>
      </c>
      <c r="C129" s="293"/>
      <c r="D129" s="7835"/>
      <c r="E129" s="7643"/>
      <c r="F129" s="7778" t="str">
        <f>INDEX(PT_DIFFERENTIATION_VTAR,MATCH(A129,PT_DIFFERENTIATION_VTAR_ID,0))</f>
        <v>Тарифы на услуги по передаче теплоносителя</v>
      </c>
      <c r="G129" s="7806" t="str">
        <f>INDEX(PT_DIFFERENTIATION_NTAR,MATCH(B129,PT_DIFFERENTIATION_NTAR_ID,0))</f>
        <v/>
      </c>
      <c r="H129" s="1781"/>
      <c r="I129" s="1658"/>
      <c r="J129" s="1693"/>
      <c r="K129" s="1698"/>
      <c r="L129" s="1781" t="s">
        <v>480</v>
      </c>
      <c r="M129" s="263"/>
      <c r="N129" s="256"/>
      <c r="O129" s="1544"/>
      <c r="P129" s="1544"/>
    </row>
    <row r="130" spans="1:16" s="1555" customFormat="1" ht="18.75" hidden="1" customHeight="1">
      <c r="A130" s="1700"/>
      <c r="B130" s="1700"/>
      <c r="C130" s="293" t="s">
        <v>1373</v>
      </c>
      <c r="D130" s="7835"/>
      <c r="E130" s="7643"/>
      <c r="F130" s="7778"/>
      <c r="G130" s="7806"/>
      <c r="H130" s="1415"/>
      <c r="I130" s="569" t="s">
        <v>1372</v>
      </c>
      <c r="J130" s="494"/>
      <c r="K130" s="1415"/>
      <c r="L130" s="131"/>
      <c r="M130" s="263"/>
      <c r="N130" s="256"/>
      <c r="O130" s="1544"/>
      <c r="P130" s="1544"/>
    </row>
    <row r="131" spans="1:16" s="1555" customFormat="1" ht="0.75" hidden="1" customHeight="1">
      <c r="A131" s="1700"/>
      <c r="B131" s="1700"/>
      <c r="C131" s="293" t="s">
        <v>1380</v>
      </c>
      <c r="D131" s="7835"/>
      <c r="E131" s="7643"/>
      <c r="F131" s="7778"/>
      <c r="G131" s="329"/>
      <c r="H131" s="1415"/>
      <c r="I131" s="569"/>
      <c r="J131" s="494"/>
      <c r="K131" s="1415"/>
      <c r="L131" s="131"/>
      <c r="M131" s="263"/>
      <c r="N131" s="256"/>
      <c r="O131" s="1544"/>
      <c r="P131" s="1544"/>
    </row>
    <row r="132" spans="1:16" s="1555" customFormat="1" ht="18.75" hidden="1" customHeight="1">
      <c r="A132" s="1700" t="s">
        <v>299</v>
      </c>
      <c r="B132" s="1700" t="s">
        <v>300</v>
      </c>
      <c r="C132" s="293"/>
      <c r="D132" s="7835"/>
      <c r="E132" s="7643"/>
      <c r="F132" s="7778" t="str">
        <f>INDEX(PT_DIFFERENTIATION_VTAR,MATCH(A132,PT_DIFFERENTIATION_VTAR_ID,0))</f>
        <v>Плата за услуги по поддержанию резервной тепловой мощности при отсутствии потребления тепловой энергии</v>
      </c>
      <c r="G132" s="7806" t="str">
        <f>INDEX(PT_DIFFERENTIATION_NTAR,MATCH(B132,PT_DIFFERENTIATION_NTAR_ID,0))</f>
        <v/>
      </c>
      <c r="H132" s="1781"/>
      <c r="I132" s="1658"/>
      <c r="J132" s="1693"/>
      <c r="K132" s="1698"/>
      <c r="L132" s="1781" t="s">
        <v>480</v>
      </c>
      <c r="M132" s="263"/>
      <c r="N132" s="256"/>
      <c r="O132" s="1544"/>
      <c r="P132" s="1544"/>
    </row>
    <row r="133" spans="1:16" s="1555" customFormat="1" ht="18.75" hidden="1" customHeight="1">
      <c r="A133" s="1700"/>
      <c r="B133" s="1700"/>
      <c r="C133" s="293" t="s">
        <v>1373</v>
      </c>
      <c r="D133" s="7835"/>
      <c r="E133" s="7643"/>
      <c r="F133" s="7778"/>
      <c r="G133" s="7806"/>
      <c r="H133" s="1415"/>
      <c r="I133" s="569" t="s">
        <v>1372</v>
      </c>
      <c r="J133" s="494"/>
      <c r="K133" s="1415"/>
      <c r="L133" s="131"/>
      <c r="M133" s="263"/>
      <c r="N133" s="256"/>
      <c r="O133" s="1544"/>
      <c r="P133" s="1544"/>
    </row>
    <row r="134" spans="1:16" s="1555" customFormat="1" ht="0.75" hidden="1" customHeight="1">
      <c r="A134" s="1700"/>
      <c r="B134" s="1700"/>
      <c r="C134" s="293" t="s">
        <v>1380</v>
      </c>
      <c r="D134" s="7835"/>
      <c r="E134" s="7643"/>
      <c r="F134" s="7778"/>
      <c r="G134" s="329"/>
      <c r="H134" s="1415"/>
      <c r="I134" s="569"/>
      <c r="J134" s="494"/>
      <c r="K134" s="1415"/>
      <c r="L134" s="131"/>
      <c r="M134" s="263"/>
      <c r="N134" s="256"/>
      <c r="O134" s="1544"/>
      <c r="P134" s="1544"/>
    </row>
    <row r="135" spans="1:16" s="1555" customFormat="1" ht="18.75" hidden="1" customHeight="1">
      <c r="A135" s="1700" t="s">
        <v>305</v>
      </c>
      <c r="B135" s="1700" t="s">
        <v>306</v>
      </c>
      <c r="C135" s="293"/>
      <c r="D135" s="7835"/>
      <c r="E135" s="7643"/>
      <c r="F135" s="7778" t="str">
        <f>INDEX(PT_DIFFERENTIATION_VTAR,MATCH(A135,PT_DIFFERENTIATION_VTAR_ID,0))</f>
        <v>Плата за подключение (технологическое присоединение) к системе теплоснабжения</v>
      </c>
      <c r="G135" s="7806" t="str">
        <f>INDEX(PT_DIFFERENTIATION_NTAR,MATCH(B135,PT_DIFFERENTIATION_NTAR_ID,0))</f>
        <v/>
      </c>
      <c r="H135" s="1781"/>
      <c r="I135" s="1658"/>
      <c r="J135" s="1693"/>
      <c r="K135" s="1698"/>
      <c r="L135" s="1781" t="s">
        <v>480</v>
      </c>
      <c r="M135" s="263"/>
      <c r="N135" s="256"/>
      <c r="O135" s="1544"/>
      <c r="P135" s="1544"/>
    </row>
    <row r="136" spans="1:16" s="1555" customFormat="1" ht="18.75" hidden="1" customHeight="1">
      <c r="A136" s="1700"/>
      <c r="B136" s="1700"/>
      <c r="C136" s="293" t="s">
        <v>1373</v>
      </c>
      <c r="D136" s="7835"/>
      <c r="E136" s="7643"/>
      <c r="F136" s="7778"/>
      <c r="G136" s="7806"/>
      <c r="H136" s="1415"/>
      <c r="I136" s="569" t="s">
        <v>1372</v>
      </c>
      <c r="J136" s="494"/>
      <c r="K136" s="1415"/>
      <c r="L136" s="131"/>
      <c r="M136" s="263"/>
      <c r="N136" s="256"/>
      <c r="O136" s="1544"/>
      <c r="P136" s="1544"/>
    </row>
    <row r="137" spans="1:16" s="1555" customFormat="1" ht="0.75" hidden="1" customHeight="1">
      <c r="A137" s="1700"/>
      <c r="B137" s="1700"/>
      <c r="C137" s="293" t="s">
        <v>1380</v>
      </c>
      <c r="D137" s="7835"/>
      <c r="E137" s="7643"/>
      <c r="F137" s="7778"/>
      <c r="G137" s="329"/>
      <c r="H137" s="1415"/>
      <c r="I137" s="569"/>
      <c r="J137" s="494"/>
      <c r="K137" s="1415"/>
      <c r="L137" s="131"/>
      <c r="M137" s="263"/>
      <c r="N137" s="256"/>
      <c r="O137" s="1544"/>
      <c r="P137" s="1544"/>
    </row>
    <row r="138" spans="1:16" s="1555" customFormat="1" ht="18.75" hidden="1" customHeight="1">
      <c r="A138" s="1700" t="s">
        <v>321</v>
      </c>
      <c r="B138" s="1700" t="s">
        <v>322</v>
      </c>
      <c r="C138" s="293"/>
      <c r="D138" s="7835"/>
      <c r="E138" s="7643"/>
      <c r="F138" s="7778" t="str">
        <f>INDEX(PT_DIFFERENTIATION_VTAR,MATCH(A138,PT_DIFFERENTIATION_VTAR_ID,0))</f>
        <v>Тариф на питьевую воду (питьевое водоснабжение)</v>
      </c>
      <c r="G138" s="7806" t="str">
        <f>INDEX(PT_DIFFERENTIATION_NTAR,MATCH(B138,PT_DIFFERENTIATION_NTAR_ID,0))</f>
        <v>Тарифы на питьевую воду для потребителей, осуществляющих деятельность в сфере теплоснабжения и электроснабжения на территории города Лермонтова</v>
      </c>
      <c r="H138" s="1781"/>
      <c r="I138" s="1658"/>
      <c r="J138" s="1693"/>
      <c r="K138" s="1698"/>
      <c r="L138" s="1781" t="s">
        <v>480</v>
      </c>
      <c r="M138" s="263"/>
      <c r="N138" s="256"/>
      <c r="O138" s="1544"/>
      <c r="P138" s="1544"/>
    </row>
    <row r="139" spans="1:16" s="1555" customFormat="1" ht="18.75" hidden="1" customHeight="1">
      <c r="A139" s="1700"/>
      <c r="B139" s="1700"/>
      <c r="C139" s="293" t="s">
        <v>1373</v>
      </c>
      <c r="D139" s="7835"/>
      <c r="E139" s="7643"/>
      <c r="F139" s="7778"/>
      <c r="G139" s="7806"/>
      <c r="H139" s="1415"/>
      <c r="I139" s="569" t="s">
        <v>1372</v>
      </c>
      <c r="J139" s="494"/>
      <c r="K139" s="1415"/>
      <c r="L139" s="131"/>
      <c r="M139" s="263"/>
      <c r="N139" s="256"/>
      <c r="O139" s="1544"/>
      <c r="P139" s="1544"/>
    </row>
    <row r="140" spans="1:16" s="1555" customFormat="1" ht="18.75" customHeight="1">
      <c r="A140" s="1742" t="s">
        <v>321</v>
      </c>
      <c r="B140" s="1742" t="s">
        <v>328</v>
      </c>
      <c r="C140" s="1607"/>
      <c r="D140" s="7836"/>
      <c r="E140" s="7837"/>
      <c r="F140" s="7837"/>
      <c r="G140" s="7806" t="str">
        <f>INDEX(PT_DIFFERENTIATION_NTAR,MATCH(B140,PT_DIFFERENTIATION_NTAR_ID,0))</f>
        <v>Тарифы на питьевую воду для потребителей Ставропольского края</v>
      </c>
      <c r="H140" s="1811"/>
      <c r="I140" s="1658"/>
      <c r="J140" s="1693"/>
      <c r="K140" s="1698"/>
      <c r="L140" s="1811" t="s">
        <v>480</v>
      </c>
      <c r="M140" s="1794"/>
      <c r="N140" s="537"/>
      <c r="O140" s="1544"/>
      <c r="P140" s="1544"/>
    </row>
    <row r="141" spans="1:16" s="1555" customFormat="1" ht="18.75" customHeight="1">
      <c r="A141" s="1742"/>
      <c r="B141" s="1742"/>
      <c r="C141" s="1607" t="s">
        <v>1373</v>
      </c>
      <c r="D141" s="7836"/>
      <c r="E141" s="7837"/>
      <c r="F141" s="7837"/>
      <c r="G141" s="7806"/>
      <c r="H141" s="7210"/>
      <c r="I141" s="7211" t="s">
        <v>1372</v>
      </c>
      <c r="J141" s="7212"/>
      <c r="K141" s="7213"/>
      <c r="L141" s="7214"/>
      <c r="M141" s="1794"/>
      <c r="N141" s="537"/>
      <c r="O141" s="1544"/>
      <c r="P141" s="1544"/>
    </row>
    <row r="142" spans="1:16" s="1555" customFormat="1" ht="18.75" customHeight="1">
      <c r="A142" s="1742" t="s">
        <v>321</v>
      </c>
      <c r="B142" s="1742" t="s">
        <v>333</v>
      </c>
      <c r="C142" s="1607"/>
      <c r="D142" s="7836"/>
      <c r="E142" s="7837"/>
      <c r="F142" s="7837"/>
      <c r="G142" s="7806" t="str">
        <f>INDEX(PT_DIFFERENTIATION_NTAR,MATCH(B142,PT_DIFFERENTIATION_NTAR_ID,0))</f>
        <v>Тарифы на питьевую воду для потребителей, присоединенных к централизованным системам водоснабжения села Калиновского Александровского муниципального округа</v>
      </c>
      <c r="H142" s="1811"/>
      <c r="I142" s="1658"/>
      <c r="J142" s="1693"/>
      <c r="K142" s="1698"/>
      <c r="L142" s="1811" t="s">
        <v>480</v>
      </c>
      <c r="M142" s="1794"/>
      <c r="N142" s="537"/>
      <c r="O142" s="1544"/>
      <c r="P142" s="1544"/>
    </row>
    <row r="143" spans="1:16" s="1555" customFormat="1" ht="18.75" customHeight="1">
      <c r="A143" s="1742"/>
      <c r="B143" s="1742"/>
      <c r="C143" s="1607" t="s">
        <v>1373</v>
      </c>
      <c r="D143" s="7836"/>
      <c r="E143" s="7837"/>
      <c r="F143" s="7837"/>
      <c r="G143" s="7806"/>
      <c r="H143" s="7215"/>
      <c r="I143" s="7216" t="s">
        <v>1372</v>
      </c>
      <c r="J143" s="7217"/>
      <c r="K143" s="7218"/>
      <c r="L143" s="7219"/>
      <c r="M143" s="1794"/>
      <c r="N143" s="537"/>
      <c r="O143" s="1544"/>
      <c r="P143" s="1544"/>
    </row>
    <row r="144" spans="1:16" s="1555" customFormat="1" ht="18.75" customHeight="1">
      <c r="A144" s="1742" t="s">
        <v>321</v>
      </c>
      <c r="B144" s="1742" t="s">
        <v>338</v>
      </c>
      <c r="C144" s="1607"/>
      <c r="D144" s="7836"/>
      <c r="E144" s="7837"/>
      <c r="F144" s="7837"/>
      <c r="G144" s="7806" t="str">
        <f>INDEX(PT_DIFFERENTIATION_NTAR,MATCH(B144,PT_DIFFERENTIATION_NTAR_ID,0))</f>
        <v>Тарифы на питьевую воду для потребителей, присоединенных к централизованным системам водоснабжения  поселка Малосадового, села Бургун-Маджары, поселка Кумская Долина и поселка Правокумского Левокумского муниципального округа</v>
      </c>
      <c r="H144" s="1811"/>
      <c r="I144" s="1658"/>
      <c r="J144" s="1693"/>
      <c r="K144" s="1698"/>
      <c r="L144" s="1811" t="s">
        <v>480</v>
      </c>
      <c r="M144" s="1794"/>
      <c r="N144" s="537"/>
      <c r="O144" s="1544"/>
      <c r="P144" s="1544"/>
    </row>
    <row r="145" spans="1:16" s="1555" customFormat="1" ht="18.75" customHeight="1">
      <c r="A145" s="1742"/>
      <c r="B145" s="1742"/>
      <c r="C145" s="1607" t="s">
        <v>1373</v>
      </c>
      <c r="D145" s="7836"/>
      <c r="E145" s="7837"/>
      <c r="F145" s="7837"/>
      <c r="G145" s="7806"/>
      <c r="H145" s="7220"/>
      <c r="I145" s="7221" t="s">
        <v>1372</v>
      </c>
      <c r="J145" s="7222"/>
      <c r="K145" s="7223"/>
      <c r="L145" s="7224"/>
      <c r="M145" s="1794"/>
      <c r="N145" s="537"/>
      <c r="O145" s="1544"/>
      <c r="P145" s="1544"/>
    </row>
    <row r="146" spans="1:16" s="1555" customFormat="1" ht="18.75" customHeight="1">
      <c r="A146" s="1742" t="s">
        <v>321</v>
      </c>
      <c r="B146" s="1742" t="s">
        <v>343</v>
      </c>
      <c r="C146" s="1607"/>
      <c r="D146" s="7836"/>
      <c r="E146" s="7837"/>
      <c r="F146" s="7837"/>
      <c r="G146" s="7806" t="str">
        <f>INDEX(PT_DIFFERENTIATION_NTAR,MATCH(B146,PT_DIFFERENTIATION_NTAR_ID,0))</f>
        <v xml:space="preserve">Тарифы на питьевую воду для потребителей, присоединенных к централизованным системам водоснабжения  села Николо-Александровского и поселка Ленинского Левокумского муниципального округа </v>
      </c>
      <c r="H146" s="1811"/>
      <c r="I146" s="1658"/>
      <c r="J146" s="1693"/>
      <c r="K146" s="1698"/>
      <c r="L146" s="1811" t="s">
        <v>480</v>
      </c>
      <c r="M146" s="1794"/>
      <c r="N146" s="537"/>
      <c r="O146" s="1544"/>
      <c r="P146" s="1544"/>
    </row>
    <row r="147" spans="1:16" s="1555" customFormat="1" ht="18.75" customHeight="1">
      <c r="A147" s="1742"/>
      <c r="B147" s="1742"/>
      <c r="C147" s="1607" t="s">
        <v>1373</v>
      </c>
      <c r="D147" s="7836"/>
      <c r="E147" s="7837"/>
      <c r="F147" s="7837"/>
      <c r="G147" s="7806"/>
      <c r="H147" s="7225"/>
      <c r="I147" s="7226" t="s">
        <v>1372</v>
      </c>
      <c r="J147" s="7227"/>
      <c r="K147" s="7228"/>
      <c r="L147" s="7229"/>
      <c r="M147" s="1794"/>
      <c r="N147" s="537"/>
      <c r="O147" s="1544"/>
      <c r="P147" s="1544"/>
    </row>
    <row r="148" spans="1:16" s="1555" customFormat="1" ht="18.75" customHeight="1">
      <c r="A148" s="1742" t="s">
        <v>321</v>
      </c>
      <c r="B148" s="1742" t="s">
        <v>348</v>
      </c>
      <c r="C148" s="1607"/>
      <c r="D148" s="7836"/>
      <c r="E148" s="7837"/>
      <c r="F148" s="7837"/>
      <c r="G148" s="7806" t="str">
        <f>INDEX(PT_DIFFERENTIATION_NTAR,MATCH(B148,PT_DIFFERENTIATION_NTAR_ID,0))</f>
        <v xml:space="preserve">Тарифы на питьевую воду для потребителей, присоединенных к централизованным системам водоснабжения хутора Андрей-Курган и поселка Левобалковского Нефтекумского муниципального округа </v>
      </c>
      <c r="H148" s="1811"/>
      <c r="I148" s="1658"/>
      <c r="J148" s="1693"/>
      <c r="K148" s="1698"/>
      <c r="L148" s="1811" t="s">
        <v>480</v>
      </c>
      <c r="M148" s="1794"/>
      <c r="N148" s="537"/>
      <c r="O148" s="1544"/>
      <c r="P148" s="1544"/>
    </row>
    <row r="149" spans="1:16" s="1555" customFormat="1" ht="18.75" customHeight="1">
      <c r="A149" s="1742"/>
      <c r="B149" s="1742"/>
      <c r="C149" s="1607" t="s">
        <v>1373</v>
      </c>
      <c r="D149" s="7836"/>
      <c r="E149" s="7837"/>
      <c r="F149" s="7837"/>
      <c r="G149" s="7806"/>
      <c r="H149" s="7230"/>
      <c r="I149" s="7231" t="s">
        <v>1372</v>
      </c>
      <c r="J149" s="7232"/>
      <c r="K149" s="7233"/>
      <c r="L149" s="7234"/>
      <c r="M149" s="1794"/>
      <c r="N149" s="537"/>
      <c r="O149" s="1544"/>
      <c r="P149" s="1544"/>
    </row>
    <row r="150" spans="1:16" s="1555" customFormat="1" ht="18.75" customHeight="1">
      <c r="A150" s="1742" t="s">
        <v>321</v>
      </c>
      <c r="B150" s="1742" t="s">
        <v>353</v>
      </c>
      <c r="C150" s="1607"/>
      <c r="D150" s="7836"/>
      <c r="E150" s="7837"/>
      <c r="F150" s="7837"/>
      <c r="G150" s="7806" t="str">
        <f>INDEX(PT_DIFFERENTIATION_NTAR,MATCH(B150,PT_DIFFERENTIATION_NTAR_ID,0))</f>
        <v xml:space="preserve">Тарифы на питьевую воду для потребителей, присоединенных к централизованным системам водоснабжения поселка Зункарь и аула Бейсей Нефтекумского муниципального округа </v>
      </c>
      <c r="H150" s="1811"/>
      <c r="I150" s="1658"/>
      <c r="J150" s="1693"/>
      <c r="K150" s="1698"/>
      <c r="L150" s="1811" t="s">
        <v>480</v>
      </c>
      <c r="M150" s="1794"/>
      <c r="N150" s="537"/>
      <c r="O150" s="1544"/>
      <c r="P150" s="1544"/>
    </row>
    <row r="151" spans="1:16" s="1555" customFormat="1" ht="18.75" customHeight="1">
      <c r="A151" s="1742"/>
      <c r="B151" s="1742"/>
      <c r="C151" s="1607" t="s">
        <v>1373</v>
      </c>
      <c r="D151" s="7836"/>
      <c r="E151" s="7837"/>
      <c r="F151" s="7837"/>
      <c r="G151" s="7806"/>
      <c r="H151" s="7235"/>
      <c r="I151" s="7236" t="s">
        <v>1372</v>
      </c>
      <c r="J151" s="7237"/>
      <c r="K151" s="7238"/>
      <c r="L151" s="7239"/>
      <c r="M151" s="1794"/>
      <c r="N151" s="537"/>
      <c r="O151" s="1544"/>
      <c r="P151" s="1544"/>
    </row>
    <row r="152" spans="1:16" s="1555" customFormat="1" ht="18.75" customHeight="1">
      <c r="A152" s="1742" t="s">
        <v>321</v>
      </c>
      <c r="B152" s="1742" t="s">
        <v>358</v>
      </c>
      <c r="C152" s="1607"/>
      <c r="D152" s="7836"/>
      <c r="E152" s="7837"/>
      <c r="F152" s="7837"/>
      <c r="G152" s="7806" t="str">
        <f>INDEX(PT_DIFFERENTIATION_NTAR,MATCH(B152,PT_DIFFERENTIATION_NTAR_ID,0))</f>
        <v xml:space="preserve">Тарифы на питьевую воду для потребителей, присоединенных к централизованным системам водоснабжения села Кара-Тюбе и аула Бияш Нефтекумского муниципального округа </v>
      </c>
      <c r="H152" s="1811"/>
      <c r="I152" s="1658"/>
      <c r="J152" s="1693"/>
      <c r="K152" s="1698"/>
      <c r="L152" s="1811" t="s">
        <v>480</v>
      </c>
      <c r="M152" s="1794"/>
      <c r="N152" s="537"/>
      <c r="O152" s="1544"/>
      <c r="P152" s="1544"/>
    </row>
    <row r="153" spans="1:16" s="1555" customFormat="1" ht="18.75" customHeight="1">
      <c r="A153" s="1742"/>
      <c r="B153" s="1742"/>
      <c r="C153" s="1607" t="s">
        <v>1373</v>
      </c>
      <c r="D153" s="7836"/>
      <c r="E153" s="7837"/>
      <c r="F153" s="7837"/>
      <c r="G153" s="7806"/>
      <c r="H153" s="7240"/>
      <c r="I153" s="7241" t="s">
        <v>1372</v>
      </c>
      <c r="J153" s="7242"/>
      <c r="K153" s="7243"/>
      <c r="L153" s="7244"/>
      <c r="M153" s="1794"/>
      <c r="N153" s="537"/>
      <c r="O153" s="1544"/>
      <c r="P153" s="1544"/>
    </row>
    <row r="154" spans="1:16" s="1555" customFormat="1" ht="18.75" customHeight="1">
      <c r="A154" s="1742" t="s">
        <v>321</v>
      </c>
      <c r="B154" s="1742" t="s">
        <v>363</v>
      </c>
      <c r="C154" s="1607"/>
      <c r="D154" s="7836"/>
      <c r="E154" s="7837"/>
      <c r="F154" s="7837"/>
      <c r="G154" s="7806" t="str">
        <f>INDEX(PT_DIFFERENTIATION_NTAR,MATCH(B154,PT_DIFFERENTIATION_NTAR_ID,0))</f>
        <v>Тарифы на питьевую воду для потребителей, присоединенных к централизованным системам водоснабжения поселка Горьковского, поселка Дружба, поселка Заречного и поселка Рассвет Новоалександровского муниципального округа</v>
      </c>
      <c r="H154" s="1811"/>
      <c r="I154" s="1658"/>
      <c r="J154" s="1693"/>
      <c r="K154" s="1698"/>
      <c r="L154" s="1811" t="s">
        <v>480</v>
      </c>
      <c r="M154" s="1794"/>
      <c r="N154" s="537"/>
      <c r="O154" s="1544"/>
      <c r="P154" s="1544"/>
    </row>
    <row r="155" spans="1:16" s="1555" customFormat="1" ht="18.75" customHeight="1">
      <c r="A155" s="1742"/>
      <c r="B155" s="1742"/>
      <c r="C155" s="1607" t="s">
        <v>1373</v>
      </c>
      <c r="D155" s="7836"/>
      <c r="E155" s="7837"/>
      <c r="F155" s="7837"/>
      <c r="G155" s="7806"/>
      <c r="H155" s="7245"/>
      <c r="I155" s="7246" t="s">
        <v>1372</v>
      </c>
      <c r="J155" s="7247"/>
      <c r="K155" s="7248"/>
      <c r="L155" s="7249"/>
      <c r="M155" s="1794"/>
      <c r="N155" s="537"/>
      <c r="O155" s="1544"/>
      <c r="P155" s="1544"/>
    </row>
    <row r="156" spans="1:16" s="1555" customFormat="1" ht="18.75" customHeight="1">
      <c r="A156" s="1742" t="s">
        <v>321</v>
      </c>
      <c r="B156" s="1742" t="s">
        <v>368</v>
      </c>
      <c r="C156" s="1607"/>
      <c r="D156" s="7836"/>
      <c r="E156" s="7837"/>
      <c r="F156" s="7837"/>
      <c r="G156" s="7806" t="str">
        <f>INDEX(PT_DIFFERENTIATION_NTAR,MATCH(B156,PT_DIFFERENTIATION_NTAR_ID,0))</f>
        <v>Тарифы на питьевую воду для потребителей, присоединенных к централизованным системам водоснабжения села Высоцкого, села Ореховки и хутора Казинки Петровского муниципального округа</v>
      </c>
      <c r="H156" s="1811"/>
      <c r="I156" s="1658"/>
      <c r="J156" s="1693"/>
      <c r="K156" s="1698"/>
      <c r="L156" s="1811" t="s">
        <v>480</v>
      </c>
      <c r="M156" s="1794"/>
      <c r="N156" s="537"/>
      <c r="O156" s="1544"/>
      <c r="P156" s="1544"/>
    </row>
    <row r="157" spans="1:16" s="1555" customFormat="1" ht="18.75" customHeight="1">
      <c r="A157" s="1742"/>
      <c r="B157" s="1742"/>
      <c r="C157" s="1607" t="s">
        <v>1373</v>
      </c>
      <c r="D157" s="7836"/>
      <c r="E157" s="7837"/>
      <c r="F157" s="7837"/>
      <c r="G157" s="7806"/>
      <c r="H157" s="7250"/>
      <c r="I157" s="7251" t="s">
        <v>1372</v>
      </c>
      <c r="J157" s="7252"/>
      <c r="K157" s="7253"/>
      <c r="L157" s="7254"/>
      <c r="M157" s="1794"/>
      <c r="N157" s="537"/>
      <c r="O157" s="1544"/>
      <c r="P157" s="1544"/>
    </row>
    <row r="158" spans="1:16" s="1555" customFormat="1" ht="18.75" customHeight="1">
      <c r="A158" s="1742" t="s">
        <v>321</v>
      </c>
      <c r="B158" s="1742" t="s">
        <v>373</v>
      </c>
      <c r="C158" s="1607"/>
      <c r="D158" s="7836"/>
      <c r="E158" s="7837"/>
      <c r="F158" s="7837"/>
      <c r="G158" s="7806" t="str">
        <f>INDEX(PT_DIFFERENTIATION_NTAR,MATCH(B158,PT_DIFFERENTIATION_NTAR_ID,0))</f>
        <v>Тарифы на питьевую воду для потребителей, присоединенных к централизованным системам водоснабжения села Гофицкого Петровского муниципального округа</v>
      </c>
      <c r="H158" s="1811"/>
      <c r="I158" s="1658"/>
      <c r="J158" s="1693"/>
      <c r="K158" s="1698"/>
      <c r="L158" s="1811" t="s">
        <v>480</v>
      </c>
      <c r="M158" s="1794"/>
      <c r="N158" s="537"/>
      <c r="O158" s="1544"/>
      <c r="P158" s="1544"/>
    </row>
    <row r="159" spans="1:16" s="1555" customFormat="1" ht="18.75" customHeight="1">
      <c r="A159" s="1742"/>
      <c r="B159" s="1742"/>
      <c r="C159" s="1607" t="s">
        <v>1373</v>
      </c>
      <c r="D159" s="7836"/>
      <c r="E159" s="7837"/>
      <c r="F159" s="7837"/>
      <c r="G159" s="7806"/>
      <c r="H159" s="7255"/>
      <c r="I159" s="7256" t="s">
        <v>1372</v>
      </c>
      <c r="J159" s="7257"/>
      <c r="K159" s="7258"/>
      <c r="L159" s="7259"/>
      <c r="M159" s="1794"/>
      <c r="N159" s="537"/>
      <c r="O159" s="1544"/>
      <c r="P159" s="1544"/>
    </row>
    <row r="160" spans="1:16" s="1555" customFormat="1" ht="18.75" customHeight="1">
      <c r="A160" s="1742" t="s">
        <v>321</v>
      </c>
      <c r="B160" s="1742" t="s">
        <v>378</v>
      </c>
      <c r="C160" s="1607"/>
      <c r="D160" s="7836"/>
      <c r="E160" s="7837"/>
      <c r="F160" s="7837"/>
      <c r="G160" s="7806" t="str">
        <f>INDEX(PT_DIFFERENTIATION_NTAR,MATCH(B160,PT_DIFFERENTIATION_NTAR_ID,0))</f>
        <v>Тарифы на питьевую воду для потребителей, присоединенных к централизованным системам водоснабжения села Донская Балка Петровского муниципального округа</v>
      </c>
      <c r="H160" s="1811"/>
      <c r="I160" s="1658"/>
      <c r="J160" s="1693"/>
      <c r="K160" s="1698"/>
      <c r="L160" s="1811" t="s">
        <v>480</v>
      </c>
      <c r="M160" s="1794"/>
      <c r="N160" s="537"/>
      <c r="O160" s="1544"/>
      <c r="P160" s="1544"/>
    </row>
    <row r="161" spans="1:16" s="1555" customFormat="1" ht="18.75" customHeight="1">
      <c r="A161" s="1742"/>
      <c r="B161" s="1742"/>
      <c r="C161" s="1607" t="s">
        <v>1373</v>
      </c>
      <c r="D161" s="7836"/>
      <c r="E161" s="7837"/>
      <c r="F161" s="7837"/>
      <c r="G161" s="7806"/>
      <c r="H161" s="7260"/>
      <c r="I161" s="7261" t="s">
        <v>1372</v>
      </c>
      <c r="J161" s="7262"/>
      <c r="K161" s="7263"/>
      <c r="L161" s="7264"/>
      <c r="M161" s="1794"/>
      <c r="N161" s="537"/>
      <c r="O161" s="1544"/>
      <c r="P161" s="1544"/>
    </row>
    <row r="162" spans="1:16" s="1555" customFormat="1" ht="18.75" customHeight="1">
      <c r="A162" s="1742" t="s">
        <v>321</v>
      </c>
      <c r="B162" s="1742" t="s">
        <v>383</v>
      </c>
      <c r="C162" s="1607"/>
      <c r="D162" s="7836"/>
      <c r="E162" s="7837"/>
      <c r="F162" s="7837"/>
      <c r="G162" s="7806" t="str">
        <f>INDEX(PT_DIFFERENTIATION_NTAR,MATCH(B162,PT_DIFFERENTIATION_NTAR_ID,0))</f>
        <v>Тарифы на питьевую воду для потребителей, присоединенных к централизованным системам водоснабжения села Константиновского и села Кугуты Петровского муниципального округа, ранее эксплуатируемым ГУП СК "Пчелка"</v>
      </c>
      <c r="H162" s="1811"/>
      <c r="I162" s="1658"/>
      <c r="J162" s="1693"/>
      <c r="K162" s="1698"/>
      <c r="L162" s="1811" t="s">
        <v>480</v>
      </c>
      <c r="M162" s="1794"/>
      <c r="N162" s="537"/>
      <c r="O162" s="1544"/>
      <c r="P162" s="1544"/>
    </row>
    <row r="163" spans="1:16" s="1555" customFormat="1" ht="18.75" customHeight="1">
      <c r="A163" s="1742"/>
      <c r="B163" s="1742"/>
      <c r="C163" s="1607" t="s">
        <v>1373</v>
      </c>
      <c r="D163" s="7836"/>
      <c r="E163" s="7837"/>
      <c r="F163" s="7837"/>
      <c r="G163" s="7806"/>
      <c r="H163" s="7265"/>
      <c r="I163" s="7266" t="s">
        <v>1372</v>
      </c>
      <c r="J163" s="7267"/>
      <c r="K163" s="7268"/>
      <c r="L163" s="7269"/>
      <c r="M163" s="1794"/>
      <c r="N163" s="537"/>
      <c r="O163" s="1544"/>
      <c r="P163" s="1544"/>
    </row>
    <row r="164" spans="1:16" s="1555" customFormat="1" ht="18.75" customHeight="1">
      <c r="A164" s="1742" t="s">
        <v>321</v>
      </c>
      <c r="B164" s="1742" t="s">
        <v>388</v>
      </c>
      <c r="C164" s="1607"/>
      <c r="D164" s="7836"/>
      <c r="E164" s="7837"/>
      <c r="F164" s="7837"/>
      <c r="G164" s="7806" t="str">
        <f>INDEX(PT_DIFFERENTIATION_NTAR,MATCH(B164,PT_DIFFERENTIATION_NTAR_ID,0))</f>
        <v>Тарифы на питьевую воду для потребителей, присоединенных к централизованным системам водоснабжения села Просянки Петровского муниципального округа</v>
      </c>
      <c r="H164" s="1811"/>
      <c r="I164" s="1658"/>
      <c r="J164" s="1693"/>
      <c r="K164" s="1698"/>
      <c r="L164" s="1811" t="s">
        <v>480</v>
      </c>
      <c r="M164" s="1794"/>
      <c r="N164" s="537"/>
      <c r="O164" s="1544"/>
      <c r="P164" s="1544"/>
    </row>
    <row r="165" spans="1:16" s="1555" customFormat="1" ht="18.75" customHeight="1">
      <c r="A165" s="1742"/>
      <c r="B165" s="1742"/>
      <c r="C165" s="1607" t="s">
        <v>1373</v>
      </c>
      <c r="D165" s="7836"/>
      <c r="E165" s="7837"/>
      <c r="F165" s="7837"/>
      <c r="G165" s="7806"/>
      <c r="H165" s="7270"/>
      <c r="I165" s="7271" t="s">
        <v>1372</v>
      </c>
      <c r="J165" s="7272"/>
      <c r="K165" s="7273"/>
      <c r="L165" s="7274"/>
      <c r="M165" s="1794"/>
      <c r="N165" s="537"/>
      <c r="O165" s="1544"/>
      <c r="P165" s="1544"/>
    </row>
    <row r="166" spans="1:16" s="1555" customFormat="1" ht="18.75" customHeight="1">
      <c r="A166" s="1742" t="s">
        <v>321</v>
      </c>
      <c r="B166" s="1742" t="s">
        <v>393</v>
      </c>
      <c r="C166" s="1607"/>
      <c r="D166" s="7836"/>
      <c r="E166" s="7837"/>
      <c r="F166" s="7837"/>
      <c r="G166" s="7806" t="str">
        <f>INDEX(PT_DIFFERENTIATION_NTAR,MATCH(B166,PT_DIFFERENTIATION_NTAR_ID,0))</f>
        <v>Тарифы на питьевую воду для потребителей, присоединенных к централизованным системам водоснабжения села Сухая Буйвола Петровского муниципального округа</v>
      </c>
      <c r="H166" s="1811"/>
      <c r="I166" s="1658"/>
      <c r="J166" s="1693"/>
      <c r="K166" s="1698"/>
      <c r="L166" s="1811" t="s">
        <v>480</v>
      </c>
      <c r="M166" s="1794"/>
      <c r="N166" s="537"/>
      <c r="O166" s="1544"/>
      <c r="P166" s="1544"/>
    </row>
    <row r="167" spans="1:16" s="1555" customFormat="1" ht="18.75" customHeight="1">
      <c r="A167" s="1742"/>
      <c r="B167" s="1742"/>
      <c r="C167" s="1607" t="s">
        <v>1373</v>
      </c>
      <c r="D167" s="7836"/>
      <c r="E167" s="7837"/>
      <c r="F167" s="7837"/>
      <c r="G167" s="7806"/>
      <c r="H167" s="7275"/>
      <c r="I167" s="7276" t="s">
        <v>1372</v>
      </c>
      <c r="J167" s="7277"/>
      <c r="K167" s="7278"/>
      <c r="L167" s="7279"/>
      <c r="M167" s="1794"/>
      <c r="N167" s="537"/>
      <c r="O167" s="1544"/>
      <c r="P167" s="1544"/>
    </row>
    <row r="168" spans="1:16" s="1555" customFormat="1" ht="18.75" customHeight="1">
      <c r="A168" s="1742" t="s">
        <v>321</v>
      </c>
      <c r="B168" s="1742" t="s">
        <v>398</v>
      </c>
      <c r="C168" s="1607"/>
      <c r="D168" s="7836"/>
      <c r="E168" s="7837"/>
      <c r="F168" s="7837"/>
      <c r="G168" s="7806" t="str">
        <f>INDEX(PT_DIFFERENTIATION_NTAR,MATCH(B168,PT_DIFFERENTIATION_NTAR_ID,0))</f>
        <v>Тарифы на питьевую воду для потребителей, присоединенных к централизованным системам водоснабжения "водозабор Юца", "станция Расшеватка", города Светлограда Петровского муниципального округа, города Георгиевска и села Краснокумского Георгиевского муниципального округа, ранее эксплуатируемым ОАО "РЖД"</v>
      </c>
      <c r="H168" s="1811"/>
      <c r="I168" s="1658"/>
      <c r="J168" s="1693"/>
      <c r="K168" s="1698"/>
      <c r="L168" s="1811" t="s">
        <v>480</v>
      </c>
      <c r="M168" s="1794"/>
      <c r="N168" s="537"/>
      <c r="O168" s="1544"/>
      <c r="P168" s="1544"/>
    </row>
    <row r="169" spans="1:16" s="1555" customFormat="1" ht="18.75" customHeight="1">
      <c r="A169" s="1742"/>
      <c r="B169" s="1742"/>
      <c r="C169" s="1607" t="s">
        <v>1373</v>
      </c>
      <c r="D169" s="7836"/>
      <c r="E169" s="7837"/>
      <c r="F169" s="7837"/>
      <c r="G169" s="7806"/>
      <c r="H169" s="7280"/>
      <c r="I169" s="7281" t="s">
        <v>1372</v>
      </c>
      <c r="J169" s="7282"/>
      <c r="K169" s="7283"/>
      <c r="L169" s="7284"/>
      <c r="M169" s="1794"/>
      <c r="N169" s="537"/>
      <c r="O169" s="1544"/>
      <c r="P169" s="1544"/>
    </row>
    <row r="170" spans="1:16" s="1555" customFormat="1" ht="0.75" hidden="1" customHeight="1">
      <c r="A170" s="1700"/>
      <c r="B170" s="1700"/>
      <c r="C170" s="293" t="s">
        <v>1380</v>
      </c>
      <c r="D170" s="7835"/>
      <c r="E170" s="7643"/>
      <c r="F170" s="7778"/>
      <c r="G170" s="329"/>
      <c r="H170" s="1415"/>
      <c r="I170" s="569"/>
      <c r="J170" s="494"/>
      <c r="K170" s="1415"/>
      <c r="L170" s="131"/>
      <c r="M170" s="263"/>
      <c r="N170" s="256"/>
      <c r="O170" s="1544"/>
      <c r="P170" s="1544"/>
    </row>
    <row r="171" spans="1:16" s="1555" customFormat="1" ht="18.75" hidden="1" customHeight="1">
      <c r="A171" s="1700" t="s">
        <v>404</v>
      </c>
      <c r="B171" s="1700" t="s">
        <v>405</v>
      </c>
      <c r="C171" s="293"/>
      <c r="D171" s="7835"/>
      <c r="E171" s="7643"/>
      <c r="F171" s="7778" t="str">
        <f>INDEX(PT_DIFFERENTIATION_VTAR,MATCH(A171,PT_DIFFERENTIATION_VTAR_ID,0))</f>
        <v>Тариф на техническую воду</v>
      </c>
      <c r="G171" s="7806" t="str">
        <f>INDEX(PT_DIFFERENTIATION_NTAR,MATCH(B171,PT_DIFFERENTIATION_NTAR_ID,0))</f>
        <v/>
      </c>
      <c r="H171" s="1781"/>
      <c r="I171" s="1658"/>
      <c r="J171" s="1693"/>
      <c r="K171" s="1698"/>
      <c r="L171" s="1781" t="s">
        <v>480</v>
      </c>
      <c r="M171" s="263"/>
      <c r="N171" s="256"/>
      <c r="O171" s="1544"/>
      <c r="P171" s="1544"/>
    </row>
    <row r="172" spans="1:16" s="1555" customFormat="1" ht="18.75" hidden="1" customHeight="1">
      <c r="A172" s="1700"/>
      <c r="B172" s="1700"/>
      <c r="C172" s="293" t="s">
        <v>1373</v>
      </c>
      <c r="D172" s="7835"/>
      <c r="E172" s="7643"/>
      <c r="F172" s="7778"/>
      <c r="G172" s="7806"/>
      <c r="H172" s="1415"/>
      <c r="I172" s="569" t="s">
        <v>1372</v>
      </c>
      <c r="J172" s="494"/>
      <c r="K172" s="1415"/>
      <c r="L172" s="131"/>
      <c r="M172" s="263"/>
      <c r="N172" s="256"/>
      <c r="O172" s="1544"/>
      <c r="P172" s="1544"/>
    </row>
    <row r="173" spans="1:16" s="1555" customFormat="1" ht="0.75" hidden="1" customHeight="1">
      <c r="A173" s="1700"/>
      <c r="B173" s="1700"/>
      <c r="C173" s="293" t="s">
        <v>1380</v>
      </c>
      <c r="D173" s="7835"/>
      <c r="E173" s="7643"/>
      <c r="F173" s="7778"/>
      <c r="G173" s="329"/>
      <c r="H173" s="1415"/>
      <c r="I173" s="569"/>
      <c r="J173" s="494"/>
      <c r="K173" s="1415"/>
      <c r="L173" s="131"/>
      <c r="M173" s="263"/>
      <c r="N173" s="256"/>
      <c r="O173" s="1544"/>
      <c r="P173" s="1544"/>
    </row>
    <row r="174" spans="1:16" s="1555" customFormat="1" ht="18.75" hidden="1" customHeight="1">
      <c r="A174" s="1700" t="s">
        <v>409</v>
      </c>
      <c r="B174" s="1700" t="s">
        <v>410</v>
      </c>
      <c r="C174" s="293"/>
      <c r="D174" s="7835"/>
      <c r="E174" s="7643"/>
      <c r="F174" s="7778" t="str">
        <f>INDEX(PT_DIFFERENTIATION_VTAR,MATCH(A174,PT_DIFFERENTIATION_VTAR_ID,0))</f>
        <v>Тариф на транспортировку воды</v>
      </c>
      <c r="G174" s="7806" t="str">
        <f>INDEX(PT_DIFFERENTIATION_NTAR,MATCH(B174,PT_DIFFERENTIATION_NTAR_ID,0))</f>
        <v/>
      </c>
      <c r="H174" s="1781"/>
      <c r="I174" s="1658"/>
      <c r="J174" s="1693"/>
      <c r="K174" s="1698"/>
      <c r="L174" s="1781" t="s">
        <v>480</v>
      </c>
      <c r="M174" s="263"/>
      <c r="N174" s="256"/>
      <c r="O174" s="1544"/>
      <c r="P174" s="1544"/>
    </row>
    <row r="175" spans="1:16" s="1555" customFormat="1" ht="18.75" hidden="1" customHeight="1">
      <c r="A175" s="1700"/>
      <c r="B175" s="1700"/>
      <c r="C175" s="293" t="s">
        <v>1373</v>
      </c>
      <c r="D175" s="7835"/>
      <c r="E175" s="7643"/>
      <c r="F175" s="7778"/>
      <c r="G175" s="7806"/>
      <c r="H175" s="1415"/>
      <c r="I175" s="569" t="s">
        <v>1372</v>
      </c>
      <c r="J175" s="494"/>
      <c r="K175" s="1415"/>
      <c r="L175" s="131"/>
      <c r="M175" s="263"/>
      <c r="N175" s="256"/>
      <c r="O175" s="1544"/>
      <c r="P175" s="1544"/>
    </row>
    <row r="176" spans="1:16" s="1555" customFormat="1" ht="0.75" hidden="1" customHeight="1">
      <c r="A176" s="1700"/>
      <c r="B176" s="1700"/>
      <c r="C176" s="293" t="s">
        <v>1380</v>
      </c>
      <c r="D176" s="7835"/>
      <c r="E176" s="7643"/>
      <c r="F176" s="7778"/>
      <c r="G176" s="329"/>
      <c r="H176" s="1415"/>
      <c r="I176" s="569"/>
      <c r="J176" s="494"/>
      <c r="K176" s="1415"/>
      <c r="L176" s="131"/>
      <c r="M176" s="263"/>
      <c r="N176" s="256"/>
      <c r="O176" s="1544"/>
      <c r="P176" s="1544"/>
    </row>
    <row r="177" spans="1:16" s="1555" customFormat="1" ht="18.75" hidden="1" customHeight="1">
      <c r="A177" s="1700" t="s">
        <v>414</v>
      </c>
      <c r="B177" s="1700" t="s">
        <v>415</v>
      </c>
      <c r="C177" s="293"/>
      <c r="D177" s="7835"/>
      <c r="E177" s="7643"/>
      <c r="F177" s="7778" t="str">
        <f>INDEX(PT_DIFFERENTIATION_VTAR,MATCH(A177,PT_DIFFERENTIATION_VTAR_ID,0))</f>
        <v>Тариф на подвоз воды</v>
      </c>
      <c r="G177" s="7806" t="str">
        <f>INDEX(PT_DIFFERENTIATION_NTAR,MATCH(B177,PT_DIFFERENTIATION_NTAR_ID,0))</f>
        <v/>
      </c>
      <c r="H177" s="1781"/>
      <c r="I177" s="1658"/>
      <c r="J177" s="1693"/>
      <c r="K177" s="1698"/>
      <c r="L177" s="1781" t="s">
        <v>480</v>
      </c>
      <c r="M177" s="263"/>
      <c r="N177" s="256"/>
      <c r="O177" s="1544"/>
      <c r="P177" s="1544"/>
    </row>
    <row r="178" spans="1:16" s="1555" customFormat="1" ht="18.75" hidden="1" customHeight="1">
      <c r="A178" s="1700"/>
      <c r="B178" s="1700"/>
      <c r="C178" s="293" t="s">
        <v>1373</v>
      </c>
      <c r="D178" s="7835"/>
      <c r="E178" s="7643"/>
      <c r="F178" s="7778"/>
      <c r="G178" s="7806"/>
      <c r="H178" s="1415"/>
      <c r="I178" s="569" t="s">
        <v>1372</v>
      </c>
      <c r="J178" s="494"/>
      <c r="K178" s="1415"/>
      <c r="L178" s="131"/>
      <c r="M178" s="263"/>
      <c r="N178" s="256"/>
      <c r="O178" s="1544"/>
      <c r="P178" s="1544"/>
    </row>
    <row r="179" spans="1:16" s="1555" customFormat="1" ht="0.75" hidden="1" customHeight="1">
      <c r="A179" s="1700"/>
      <c r="B179" s="1700"/>
      <c r="C179" s="293" t="s">
        <v>1380</v>
      </c>
      <c r="D179" s="7835"/>
      <c r="E179" s="7643"/>
      <c r="F179" s="7778"/>
      <c r="G179" s="329"/>
      <c r="H179" s="1415"/>
      <c r="I179" s="569"/>
      <c r="J179" s="494"/>
      <c r="K179" s="1415"/>
      <c r="L179" s="131"/>
      <c r="M179" s="263"/>
      <c r="N179" s="256"/>
      <c r="O179" s="1544"/>
      <c r="P179" s="1544"/>
    </row>
    <row r="180" spans="1:16" s="1555" customFormat="1" ht="18.75" hidden="1" customHeight="1">
      <c r="A180" s="1700" t="s">
        <v>419</v>
      </c>
      <c r="B180" s="1700" t="s">
        <v>420</v>
      </c>
      <c r="C180" s="293"/>
      <c r="D180" s="7835"/>
      <c r="E180" s="7643"/>
      <c r="F180" s="7778" t="str">
        <f>INDEX(PT_DIFFERENTIATION_VTAR,MATCH(A180,PT_DIFFERENTIATION_VTAR_ID,0))</f>
        <v>Тариф на подключение (технологическое присоединение) к централизованной системе холодного водоснабжения</v>
      </c>
      <c r="G180" s="7806" t="str">
        <f>INDEX(PT_DIFFERENTIATION_NTAR,MATCH(B180,PT_DIFFERENTIATION_NTAR_ID,0))</f>
        <v/>
      </c>
      <c r="H180" s="1781"/>
      <c r="I180" s="1658"/>
      <c r="J180" s="1693"/>
      <c r="K180" s="1698"/>
      <c r="L180" s="1781" t="s">
        <v>480</v>
      </c>
      <c r="M180" s="263"/>
      <c r="N180" s="256"/>
      <c r="O180" s="1544"/>
      <c r="P180" s="1544"/>
    </row>
    <row r="181" spans="1:16" s="1555" customFormat="1" ht="18.75" hidden="1" customHeight="1">
      <c r="A181" s="1700"/>
      <c r="B181" s="1700"/>
      <c r="C181" s="293" t="s">
        <v>1373</v>
      </c>
      <c r="D181" s="7835"/>
      <c r="E181" s="7643"/>
      <c r="F181" s="7778"/>
      <c r="G181" s="7806"/>
      <c r="H181" s="1415"/>
      <c r="I181" s="569" t="s">
        <v>1372</v>
      </c>
      <c r="J181" s="494"/>
      <c r="K181" s="1415"/>
      <c r="L181" s="131"/>
      <c r="M181" s="263"/>
      <c r="N181" s="256"/>
      <c r="O181" s="1544"/>
      <c r="P181" s="1544"/>
    </row>
    <row r="182" spans="1:16" s="1555" customFormat="1" ht="0.75" hidden="1" customHeight="1">
      <c r="A182" s="1700"/>
      <c r="B182" s="1700"/>
      <c r="C182" s="293" t="s">
        <v>1380</v>
      </c>
      <c r="D182" s="7835"/>
      <c r="E182" s="7643"/>
      <c r="F182" s="7778"/>
      <c r="G182" s="329"/>
      <c r="H182" s="1415"/>
      <c r="I182" s="569"/>
      <c r="J182" s="494"/>
      <c r="K182" s="1415"/>
      <c r="L182" s="131"/>
      <c r="M182" s="263"/>
      <c r="N182" s="256"/>
      <c r="O182" s="1544"/>
      <c r="P182" s="1544"/>
    </row>
    <row r="183" spans="1:16" s="1555" customFormat="1" ht="18.75" hidden="1" customHeight="1">
      <c r="A183" s="1700" t="s">
        <v>424</v>
      </c>
      <c r="B183" s="1700" t="s">
        <v>425</v>
      </c>
      <c r="C183" s="293"/>
      <c r="D183" s="7835"/>
      <c r="E183" s="7643"/>
      <c r="F183" s="7778" t="str">
        <f>INDEX(PT_DIFFERENTIATION_VTAR,MATCH(A183,PT_DIFFERENTIATION_VTAR_ID,0))</f>
        <v>Тариф на горячую воду (горячее водоснабжение)</v>
      </c>
      <c r="G183" s="7806" t="str">
        <f>INDEX(PT_DIFFERENTIATION_NTAR,MATCH(B183,PT_DIFFERENTIATION_NTAR_ID,0))</f>
        <v/>
      </c>
      <c r="H183" s="1781"/>
      <c r="I183" s="1658"/>
      <c r="J183" s="1693"/>
      <c r="K183" s="1698"/>
      <c r="L183" s="1781" t="s">
        <v>480</v>
      </c>
      <c r="M183" s="263"/>
      <c r="N183" s="256"/>
      <c r="O183" s="1544"/>
      <c r="P183" s="1544"/>
    </row>
    <row r="184" spans="1:16" s="1555" customFormat="1" ht="18.75" hidden="1" customHeight="1">
      <c r="A184" s="1700"/>
      <c r="B184" s="1700"/>
      <c r="C184" s="293" t="s">
        <v>1373</v>
      </c>
      <c r="D184" s="7835"/>
      <c r="E184" s="7643"/>
      <c r="F184" s="7778"/>
      <c r="G184" s="7806"/>
      <c r="H184" s="1415"/>
      <c r="I184" s="569" t="s">
        <v>1372</v>
      </c>
      <c r="J184" s="494"/>
      <c r="K184" s="1415"/>
      <c r="L184" s="131"/>
      <c r="M184" s="263"/>
      <c r="N184" s="256"/>
      <c r="O184" s="1544"/>
      <c r="P184" s="1544"/>
    </row>
    <row r="185" spans="1:16" s="1555" customFormat="1" ht="0.75" hidden="1" customHeight="1">
      <c r="A185" s="1700"/>
      <c r="B185" s="1700"/>
      <c r="C185" s="293" t="s">
        <v>1380</v>
      </c>
      <c r="D185" s="7835"/>
      <c r="E185" s="7643"/>
      <c r="F185" s="7778"/>
      <c r="G185" s="329"/>
      <c r="H185" s="1415"/>
      <c r="I185" s="569"/>
      <c r="J185" s="494"/>
      <c r="K185" s="1415"/>
      <c r="L185" s="131"/>
      <c r="M185" s="263"/>
      <c r="N185" s="256"/>
      <c r="O185" s="1544"/>
      <c r="P185" s="1544"/>
    </row>
    <row r="186" spans="1:16" s="1555" customFormat="1" ht="18.75" hidden="1" customHeight="1">
      <c r="A186" s="1700" t="s">
        <v>429</v>
      </c>
      <c r="B186" s="1700" t="s">
        <v>430</v>
      </c>
      <c r="C186" s="293"/>
      <c r="D186" s="7835"/>
      <c r="E186" s="7643"/>
      <c r="F186" s="7778" t="str">
        <f>INDEX(PT_DIFFERENTIATION_VTAR,MATCH(A186,PT_DIFFERENTIATION_VTAR_ID,0))</f>
        <v>Тариф на транспортировку горячей воды</v>
      </c>
      <c r="G186" s="7806" t="str">
        <f>INDEX(PT_DIFFERENTIATION_NTAR,MATCH(B186,PT_DIFFERENTIATION_NTAR_ID,0))</f>
        <v/>
      </c>
      <c r="H186" s="1781"/>
      <c r="I186" s="1658"/>
      <c r="J186" s="1693"/>
      <c r="K186" s="1698"/>
      <c r="L186" s="1781" t="s">
        <v>480</v>
      </c>
      <c r="M186" s="263"/>
      <c r="N186" s="256"/>
      <c r="O186" s="1544"/>
      <c r="P186" s="1544"/>
    </row>
    <row r="187" spans="1:16" s="1555" customFormat="1" ht="18.75" hidden="1" customHeight="1">
      <c r="A187" s="1700"/>
      <c r="B187" s="1700"/>
      <c r="C187" s="293" t="s">
        <v>1373</v>
      </c>
      <c r="D187" s="7835"/>
      <c r="E187" s="7643"/>
      <c r="F187" s="7778"/>
      <c r="G187" s="7806"/>
      <c r="H187" s="1415"/>
      <c r="I187" s="569" t="s">
        <v>1372</v>
      </c>
      <c r="J187" s="494"/>
      <c r="K187" s="1415"/>
      <c r="L187" s="131"/>
      <c r="M187" s="263"/>
      <c r="N187" s="256"/>
      <c r="O187" s="1544"/>
      <c r="P187" s="1544"/>
    </row>
    <row r="188" spans="1:16" s="1555" customFormat="1" ht="0.75" hidden="1" customHeight="1">
      <c r="A188" s="1700"/>
      <c r="B188" s="1700"/>
      <c r="C188" s="293" t="s">
        <v>1380</v>
      </c>
      <c r="D188" s="7835"/>
      <c r="E188" s="7643"/>
      <c r="F188" s="7778"/>
      <c r="G188" s="329"/>
      <c r="H188" s="1415"/>
      <c r="I188" s="569"/>
      <c r="J188" s="494"/>
      <c r="K188" s="1415"/>
      <c r="L188" s="131"/>
      <c r="M188" s="263"/>
      <c r="N188" s="256"/>
      <c r="O188" s="1544"/>
      <c r="P188" s="1544"/>
    </row>
    <row r="189" spans="1:16" s="1555" customFormat="1" ht="18.75" hidden="1" customHeight="1">
      <c r="A189" s="1700" t="s">
        <v>434</v>
      </c>
      <c r="B189" s="1700" t="s">
        <v>435</v>
      </c>
      <c r="C189" s="293"/>
      <c r="D189" s="7835"/>
      <c r="E189" s="7643"/>
      <c r="F189" s="7778" t="str">
        <f>INDEX(PT_DIFFERENTIATION_VTAR,MATCH(A189,PT_DIFFERENTIATION_VTAR_ID,0))</f>
        <v>Тариф на подключение (технологическое присоединение) к централизованной системе горячего водоснабжения</v>
      </c>
      <c r="G189" s="7806" t="str">
        <f>INDEX(PT_DIFFERENTIATION_NTAR,MATCH(B189,PT_DIFFERENTIATION_NTAR_ID,0))</f>
        <v/>
      </c>
      <c r="H189" s="1781"/>
      <c r="I189" s="1658"/>
      <c r="J189" s="1693"/>
      <c r="K189" s="1698"/>
      <c r="L189" s="1781" t="s">
        <v>480</v>
      </c>
      <c r="M189" s="263"/>
      <c r="N189" s="256"/>
      <c r="O189" s="1544"/>
      <c r="P189" s="1544"/>
    </row>
    <row r="190" spans="1:16" s="1555" customFormat="1" ht="18.75" hidden="1" customHeight="1">
      <c r="A190" s="1700"/>
      <c r="B190" s="1700"/>
      <c r="C190" s="293" t="s">
        <v>1373</v>
      </c>
      <c r="D190" s="7835"/>
      <c r="E190" s="7643"/>
      <c r="F190" s="7778"/>
      <c r="G190" s="7806"/>
      <c r="H190" s="1415"/>
      <c r="I190" s="569" t="s">
        <v>1372</v>
      </c>
      <c r="J190" s="494"/>
      <c r="K190" s="1415"/>
      <c r="L190" s="131"/>
      <c r="M190" s="263"/>
      <c r="N190" s="256"/>
      <c r="O190" s="1544"/>
      <c r="P190" s="1544"/>
    </row>
    <row r="191" spans="1:16" s="1555" customFormat="1" ht="0.75" hidden="1" customHeight="1">
      <c r="A191" s="1700"/>
      <c r="B191" s="1700"/>
      <c r="C191" s="293" t="s">
        <v>1380</v>
      </c>
      <c r="D191" s="7835"/>
      <c r="E191" s="7643"/>
      <c r="F191" s="7778"/>
      <c r="G191" s="329"/>
      <c r="H191" s="1415"/>
      <c r="I191" s="569"/>
      <c r="J191" s="494"/>
      <c r="K191" s="1415"/>
      <c r="L191" s="131"/>
      <c r="M191" s="263"/>
      <c r="N191" s="256"/>
      <c r="O191" s="1544"/>
      <c r="P191" s="1544"/>
    </row>
    <row r="192" spans="1:16" s="1555" customFormat="1" ht="18.75" hidden="1" customHeight="1">
      <c r="A192" s="1700" t="s">
        <v>439</v>
      </c>
      <c r="B192" s="1700" t="s">
        <v>440</v>
      </c>
      <c r="C192" s="293"/>
      <c r="D192" s="7835"/>
      <c r="E192" s="7643"/>
      <c r="F192" s="7778" t="str">
        <f>INDEX(PT_DIFFERENTIATION_VTAR,MATCH(A192,PT_DIFFERENTIATION_VTAR_ID,0))</f>
        <v>Тариф на водоотведение</v>
      </c>
      <c r="G192" s="7806" t="str">
        <f>INDEX(PT_DIFFERENTIATION_NTAR,MATCH(B192,PT_DIFFERENTIATION_NTAR_ID,0))</f>
        <v/>
      </c>
      <c r="H192" s="1781"/>
      <c r="I192" s="1658"/>
      <c r="J192" s="1693"/>
      <c r="K192" s="1698"/>
      <c r="L192" s="1781" t="s">
        <v>480</v>
      </c>
      <c r="M192" s="263"/>
      <c r="N192" s="256"/>
      <c r="O192" s="1544"/>
      <c r="P192" s="1544"/>
    </row>
    <row r="193" spans="1:16" s="1555" customFormat="1" ht="18.75" hidden="1" customHeight="1">
      <c r="A193" s="1700"/>
      <c r="B193" s="1700"/>
      <c r="C193" s="293" t="s">
        <v>1373</v>
      </c>
      <c r="D193" s="7835"/>
      <c r="E193" s="7643"/>
      <c r="F193" s="7778"/>
      <c r="G193" s="7806"/>
      <c r="H193" s="1415"/>
      <c r="I193" s="569" t="s">
        <v>1372</v>
      </c>
      <c r="J193" s="494"/>
      <c r="K193" s="1415"/>
      <c r="L193" s="131"/>
      <c r="M193" s="263"/>
      <c r="N193" s="256"/>
      <c r="O193" s="1544"/>
      <c r="P193" s="1544"/>
    </row>
    <row r="194" spans="1:16" s="1555" customFormat="1" ht="0.75" hidden="1" customHeight="1">
      <c r="A194" s="1700"/>
      <c r="B194" s="1700"/>
      <c r="C194" s="293" t="s">
        <v>1380</v>
      </c>
      <c r="D194" s="7835"/>
      <c r="E194" s="7643"/>
      <c r="F194" s="7778"/>
      <c r="G194" s="329"/>
      <c r="H194" s="1415"/>
      <c r="I194" s="569"/>
      <c r="J194" s="494"/>
      <c r="K194" s="1415"/>
      <c r="L194" s="131"/>
      <c r="M194" s="263"/>
      <c r="N194" s="256"/>
      <c r="O194" s="1544"/>
      <c r="P194" s="1544"/>
    </row>
    <row r="195" spans="1:16" s="1555" customFormat="1" ht="18.75" hidden="1" customHeight="1">
      <c r="A195" s="1700" t="s">
        <v>444</v>
      </c>
      <c r="B195" s="1700" t="s">
        <v>445</v>
      </c>
      <c r="C195" s="293"/>
      <c r="D195" s="7835"/>
      <c r="E195" s="7643"/>
      <c r="F195" s="7778" t="str">
        <f>INDEX(PT_DIFFERENTIATION_VTAR,MATCH(A195,PT_DIFFERENTIATION_VTAR_ID,0))</f>
        <v>Тариф на транспортировку сточных вод</v>
      </c>
      <c r="G195" s="7806" t="str">
        <f>INDEX(PT_DIFFERENTIATION_NTAR,MATCH(B195,PT_DIFFERENTIATION_NTAR_ID,0))</f>
        <v/>
      </c>
      <c r="H195" s="1781"/>
      <c r="I195" s="1658"/>
      <c r="J195" s="1693"/>
      <c r="K195" s="1698"/>
      <c r="L195" s="1781" t="s">
        <v>480</v>
      </c>
      <c r="M195" s="263"/>
      <c r="N195" s="256"/>
      <c r="O195" s="1544"/>
      <c r="P195" s="1544"/>
    </row>
    <row r="196" spans="1:16" s="1555" customFormat="1" ht="18.75" hidden="1" customHeight="1">
      <c r="A196" s="1700"/>
      <c r="B196" s="1700"/>
      <c r="C196" s="293" t="s">
        <v>1373</v>
      </c>
      <c r="D196" s="7835"/>
      <c r="E196" s="7643"/>
      <c r="F196" s="7778"/>
      <c r="G196" s="7806"/>
      <c r="H196" s="1415"/>
      <c r="I196" s="569" t="s">
        <v>1372</v>
      </c>
      <c r="J196" s="494"/>
      <c r="K196" s="1415"/>
      <c r="L196" s="131"/>
      <c r="M196" s="263"/>
      <c r="N196" s="256"/>
      <c r="O196" s="1544"/>
      <c r="P196" s="1544"/>
    </row>
    <row r="197" spans="1:16" s="1555" customFormat="1" ht="0.75" hidden="1" customHeight="1">
      <c r="A197" s="1700"/>
      <c r="B197" s="1700"/>
      <c r="C197" s="293" t="s">
        <v>1380</v>
      </c>
      <c r="D197" s="7835"/>
      <c r="E197" s="7643"/>
      <c r="F197" s="7778"/>
      <c r="G197" s="329"/>
      <c r="H197" s="1415"/>
      <c r="I197" s="569"/>
      <c r="J197" s="494"/>
      <c r="K197" s="1415"/>
      <c r="L197" s="131"/>
      <c r="M197" s="263"/>
      <c r="N197" s="256"/>
      <c r="O197" s="1544"/>
      <c r="P197" s="1544"/>
    </row>
    <row r="198" spans="1:16" s="1555" customFormat="1" ht="18.75" hidden="1" customHeight="1">
      <c r="A198" s="1700" t="s">
        <v>449</v>
      </c>
      <c r="B198" s="1700" t="s">
        <v>450</v>
      </c>
      <c r="C198" s="293"/>
      <c r="D198" s="7835"/>
      <c r="E198" s="7643"/>
      <c r="F198" s="7778" t="str">
        <f>INDEX(PT_DIFFERENTIATION_VTAR,MATCH(A198,PT_DIFFERENTIATION_VTAR_ID,0))</f>
        <v>Тариф на подключение (технологическое присоединение) к централизованной системе водоотведения</v>
      </c>
      <c r="G198" s="7806" t="str">
        <f>INDEX(PT_DIFFERENTIATION_NTAR,MATCH(B198,PT_DIFFERENTIATION_NTAR_ID,0))</f>
        <v/>
      </c>
      <c r="H198" s="1781"/>
      <c r="I198" s="1658"/>
      <c r="J198" s="1693"/>
      <c r="K198" s="1698"/>
      <c r="L198" s="1781" t="s">
        <v>480</v>
      </c>
      <c r="M198" s="263"/>
      <c r="N198" s="256"/>
      <c r="O198" s="1544"/>
      <c r="P198" s="1544"/>
    </row>
    <row r="199" spans="1:16" s="1555" customFormat="1" ht="18.75" hidden="1" customHeight="1">
      <c r="A199" s="1700"/>
      <c r="B199" s="1700"/>
      <c r="C199" s="293" t="s">
        <v>1373</v>
      </c>
      <c r="D199" s="7835"/>
      <c r="E199" s="7643"/>
      <c r="F199" s="7778"/>
      <c r="G199" s="7806"/>
      <c r="H199" s="1415"/>
      <c r="I199" s="569" t="s">
        <v>1372</v>
      </c>
      <c r="J199" s="494"/>
      <c r="K199" s="1415"/>
      <c r="L199" s="131"/>
      <c r="M199" s="263"/>
      <c r="N199" s="256"/>
      <c r="O199" s="1544"/>
      <c r="P199" s="1544"/>
    </row>
    <row r="200" spans="1:16" s="1555" customFormat="1" ht="0.75" customHeight="1">
      <c r="A200" s="1700"/>
      <c r="B200" s="1700"/>
      <c r="C200" s="293" t="s">
        <v>1380</v>
      </c>
      <c r="D200" s="7835"/>
      <c r="E200" s="7643"/>
      <c r="F200" s="7778"/>
      <c r="G200" s="329"/>
      <c r="H200" s="1415"/>
      <c r="I200" s="569"/>
      <c r="J200" s="494"/>
      <c r="K200" s="1415"/>
      <c r="L200" s="131"/>
      <c r="M200" s="263"/>
      <c r="N200" s="256"/>
      <c r="O200" s="1544"/>
      <c r="P200" s="1544"/>
    </row>
    <row r="201" spans="1:16" ht="18.75" customHeight="1">
      <c r="A201" s="1700"/>
      <c r="B201" s="1700"/>
      <c r="D201" s="300"/>
      <c r="E201" s="67" t="s">
        <v>89</v>
      </c>
      <c r="F201" s="783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201" s="7834"/>
      <c r="H201" s="7834"/>
      <c r="I201" s="7834"/>
      <c r="J201" s="7834"/>
      <c r="K201" s="7834"/>
      <c r="L201" s="7834"/>
      <c r="M201" s="211"/>
      <c r="N201" s="256"/>
    </row>
    <row r="202" spans="1:16" s="1555" customFormat="1" ht="60.75" hidden="1" customHeight="1">
      <c r="A202" s="1700" t="s">
        <v>263</v>
      </c>
      <c r="B202" s="1700" t="s">
        <v>264</v>
      </c>
      <c r="C202" s="293"/>
      <c r="D202" s="7835"/>
      <c r="E202" s="7643"/>
      <c r="F202" s="7778" t="str">
        <f>INDEX(PT_DIFFERENTIATION_VTAR,MATCH(A202,PT_DIFFERENTIATION_VTAR_ID,0))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2" s="7806" t="str">
        <f>INDEX(PT_DIFFERENTIATION_NTAR,MATCH(B202,PT_DIFFERENTIATION_NTAR_ID,0))</f>
        <v/>
      </c>
      <c r="H202" s="1781"/>
      <c r="I202" s="1658"/>
      <c r="J202" s="1693"/>
      <c r="K202" s="1698"/>
      <c r="L202" s="1781" t="s">
        <v>480</v>
      </c>
      <c r="M202" s="76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202" s="256"/>
      <c r="O202" s="1544"/>
      <c r="P202" s="1544"/>
    </row>
    <row r="203" spans="1:16" s="1555" customFormat="1" ht="18.75" hidden="1" customHeight="1">
      <c r="A203" s="1700"/>
      <c r="B203" s="1700"/>
      <c r="C203" s="293" t="s">
        <v>1373</v>
      </c>
      <c r="D203" s="7835"/>
      <c r="E203" s="7643"/>
      <c r="F203" s="7778"/>
      <c r="G203" s="7806"/>
      <c r="H203" s="1415"/>
      <c r="I203" s="569" t="s">
        <v>1372</v>
      </c>
      <c r="J203" s="494"/>
      <c r="K203" s="1415"/>
      <c r="L203" s="131"/>
      <c r="M203" s="7605"/>
      <c r="N203" s="256"/>
      <c r="O203" s="1544"/>
      <c r="P203" s="1544"/>
    </row>
    <row r="204" spans="1:16" s="1555" customFormat="1" ht="0.75" hidden="1" customHeight="1">
      <c r="A204" s="1700"/>
      <c r="B204" s="1700"/>
      <c r="C204" s="293" t="s">
        <v>1380</v>
      </c>
      <c r="D204" s="7835"/>
      <c r="E204" s="7643"/>
      <c r="F204" s="7778"/>
      <c r="G204" s="329"/>
      <c r="H204" s="1415"/>
      <c r="I204" s="569"/>
      <c r="J204" s="494"/>
      <c r="K204" s="1415"/>
      <c r="L204" s="131"/>
      <c r="M204" s="7605"/>
      <c r="N204" s="256"/>
      <c r="O204" s="1544"/>
      <c r="P204" s="1544"/>
    </row>
    <row r="205" spans="1:16" s="1555" customFormat="1" ht="45" hidden="1" customHeight="1">
      <c r="A205" s="1700" t="s">
        <v>269</v>
      </c>
      <c r="B205" s="1700" t="s">
        <v>270</v>
      </c>
      <c r="C205" s="293"/>
      <c r="D205" s="7835"/>
      <c r="E205" s="7643"/>
      <c r="F205" s="7778" t="str">
        <f>INDEX(PT_DIFFERENTIATION_VTAR,MATCH(A205,PT_DIFFERENTIATION_VTAR_ID,0))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5" s="7806" t="str">
        <f>INDEX(PT_DIFFERENTIATION_NTAR,MATCH(B205,PT_DIFFERENTIATION_NTAR_ID,0))</f>
        <v/>
      </c>
      <c r="H205" s="1781"/>
      <c r="I205" s="1658"/>
      <c r="J205" s="1693"/>
      <c r="K205" s="1698"/>
      <c r="L205" s="1781" t="s">
        <v>480</v>
      </c>
      <c r="M205" s="7606"/>
      <c r="N205" s="256"/>
      <c r="O205" s="1544"/>
      <c r="P205" s="1544"/>
    </row>
    <row r="206" spans="1:16" s="1555" customFormat="1" ht="18.75" hidden="1" customHeight="1">
      <c r="A206" s="1700"/>
      <c r="B206" s="1700"/>
      <c r="C206" s="293" t="s">
        <v>1373</v>
      </c>
      <c r="D206" s="7835"/>
      <c r="E206" s="7643"/>
      <c r="F206" s="7778"/>
      <c r="G206" s="7806"/>
      <c r="H206" s="1415"/>
      <c r="I206" s="569" t="s">
        <v>1372</v>
      </c>
      <c r="J206" s="494"/>
      <c r="K206" s="1415"/>
      <c r="L206" s="131"/>
      <c r="M206" s="1780"/>
      <c r="N206" s="256"/>
      <c r="O206" s="1544"/>
      <c r="P206" s="1544"/>
    </row>
    <row r="207" spans="1:16" s="1555" customFormat="1" ht="0.75" hidden="1" customHeight="1">
      <c r="A207" s="1700"/>
      <c r="B207" s="1700"/>
      <c r="C207" s="293" t="s">
        <v>1380</v>
      </c>
      <c r="D207" s="7835"/>
      <c r="E207" s="7643"/>
      <c r="F207" s="7778"/>
      <c r="G207" s="329"/>
      <c r="H207" s="1415"/>
      <c r="I207" s="569"/>
      <c r="J207" s="494"/>
      <c r="K207" s="1415"/>
      <c r="L207" s="131"/>
      <c r="M207" s="263"/>
      <c r="N207" s="256"/>
      <c r="O207" s="1544"/>
      <c r="P207" s="1544"/>
    </row>
    <row r="208" spans="1:16" s="1555" customFormat="1" ht="45" hidden="1" customHeight="1">
      <c r="A208" s="1700" t="s">
        <v>275</v>
      </c>
      <c r="B208" s="1700" t="s">
        <v>276</v>
      </c>
      <c r="C208" s="293"/>
      <c r="D208" s="7835"/>
      <c r="E208" s="7643"/>
      <c r="F208" s="7778" t="str">
        <f>INDEX(PT_DIFFERENTIATION_VTAR,MATCH(A208,PT_DIFFERENTIATION_VTAR_ID,0))</f>
        <v>Тарифы на теплоноситель, поставляемый теплоснабжающими организациями потребителям, другим теплоснабжающим организациям</v>
      </c>
      <c r="G208" s="7806" t="str">
        <f>INDEX(PT_DIFFERENTIATION_NTAR,MATCH(B208,PT_DIFFERENTIATION_NTAR_ID,0))</f>
        <v/>
      </c>
      <c r="H208" s="1781"/>
      <c r="I208" s="1658"/>
      <c r="J208" s="1693"/>
      <c r="K208" s="1698"/>
      <c r="L208" s="1781" t="s">
        <v>480</v>
      </c>
      <c r="M208" s="263"/>
      <c r="N208" s="256"/>
      <c r="O208" s="1544"/>
      <c r="P208" s="1544"/>
    </row>
    <row r="209" spans="1:16" s="1555" customFormat="1" ht="18.75" hidden="1" customHeight="1">
      <c r="A209" s="1700"/>
      <c r="B209" s="1700"/>
      <c r="C209" s="293" t="s">
        <v>1373</v>
      </c>
      <c r="D209" s="7835"/>
      <c r="E209" s="7643"/>
      <c r="F209" s="7778"/>
      <c r="G209" s="7806"/>
      <c r="H209" s="1415"/>
      <c r="I209" s="569" t="s">
        <v>1372</v>
      </c>
      <c r="J209" s="494"/>
      <c r="K209" s="1415"/>
      <c r="L209" s="131"/>
      <c r="M209" s="263"/>
      <c r="N209" s="256"/>
      <c r="O209" s="1544"/>
      <c r="P209" s="1544"/>
    </row>
    <row r="210" spans="1:16" s="1555" customFormat="1" ht="0.75" hidden="1" customHeight="1">
      <c r="A210" s="1700"/>
      <c r="B210" s="1700"/>
      <c r="C210" s="293" t="s">
        <v>1380</v>
      </c>
      <c r="D210" s="7835"/>
      <c r="E210" s="7643"/>
      <c r="F210" s="7778"/>
      <c r="G210" s="329"/>
      <c r="H210" s="1415"/>
      <c r="I210" s="569"/>
      <c r="J210" s="494"/>
      <c r="K210" s="1415"/>
      <c r="L210" s="131"/>
      <c r="M210" s="263"/>
      <c r="N210" s="256"/>
      <c r="O210" s="1544"/>
      <c r="P210" s="1544"/>
    </row>
    <row r="211" spans="1:16" s="1555" customFormat="1" ht="45" hidden="1" customHeight="1">
      <c r="A211" s="1700" t="s">
        <v>281</v>
      </c>
      <c r="B211" s="1700" t="s">
        <v>282</v>
      </c>
      <c r="C211" s="293"/>
      <c r="D211" s="7835"/>
      <c r="E211" s="7643"/>
      <c r="F211" s="7778" t="str">
        <f>INDEX(PT_DIFFERENTIATION_VTAR,MATCH(A211,PT_DIFFERENTIATION_VTAR_ID,0))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1" s="7806" t="str">
        <f>INDEX(PT_DIFFERENTIATION_NTAR,MATCH(B211,PT_DIFFERENTIATION_NTAR_ID,0))</f>
        <v/>
      </c>
      <c r="H211" s="1781"/>
      <c r="I211" s="1658"/>
      <c r="J211" s="1693"/>
      <c r="K211" s="1698"/>
      <c r="L211" s="1781" t="s">
        <v>480</v>
      </c>
      <c r="M211" s="263"/>
      <c r="N211" s="256"/>
      <c r="O211" s="1544"/>
      <c r="P211" s="1544"/>
    </row>
    <row r="212" spans="1:16" s="1555" customFormat="1" ht="18.75" hidden="1" customHeight="1">
      <c r="A212" s="1700"/>
      <c r="B212" s="1700"/>
      <c r="C212" s="293" t="s">
        <v>1373</v>
      </c>
      <c r="D212" s="7835"/>
      <c r="E212" s="7643"/>
      <c r="F212" s="7778"/>
      <c r="G212" s="7806"/>
      <c r="H212" s="1415"/>
      <c r="I212" s="569" t="s">
        <v>1372</v>
      </c>
      <c r="J212" s="494"/>
      <c r="K212" s="1415"/>
      <c r="L212" s="131"/>
      <c r="M212" s="263"/>
      <c r="N212" s="256"/>
      <c r="O212" s="1544"/>
      <c r="P212" s="1544"/>
    </row>
    <row r="213" spans="1:16" s="1555" customFormat="1" ht="0.75" hidden="1" customHeight="1">
      <c r="A213" s="1700"/>
      <c r="B213" s="1700"/>
      <c r="C213" s="293" t="s">
        <v>1380</v>
      </c>
      <c r="D213" s="7835"/>
      <c r="E213" s="7643"/>
      <c r="F213" s="7778"/>
      <c r="G213" s="329"/>
      <c r="H213" s="1415"/>
      <c r="I213" s="569"/>
      <c r="J213" s="494"/>
      <c r="K213" s="1415"/>
      <c r="L213" s="131"/>
      <c r="M213" s="263"/>
      <c r="N213" s="256"/>
      <c r="O213" s="1544"/>
      <c r="P213" s="1544"/>
    </row>
    <row r="214" spans="1:16" s="1555" customFormat="1" ht="18.75" hidden="1" customHeight="1">
      <c r="A214" s="1700" t="s">
        <v>287</v>
      </c>
      <c r="B214" s="1700" t="s">
        <v>288</v>
      </c>
      <c r="C214" s="293"/>
      <c r="D214" s="7835"/>
      <c r="E214" s="7643"/>
      <c r="F214" s="7778" t="str">
        <f>INDEX(PT_DIFFERENTIATION_VTAR,MATCH(A214,PT_DIFFERENTIATION_VTAR_ID,0))</f>
        <v>Тарифы на услуги по передаче тепловой энергии</v>
      </c>
      <c r="G214" s="7806" t="str">
        <f>INDEX(PT_DIFFERENTIATION_NTAR,MATCH(B214,PT_DIFFERENTIATION_NTAR_ID,0))</f>
        <v/>
      </c>
      <c r="H214" s="1781"/>
      <c r="I214" s="1658"/>
      <c r="J214" s="1693"/>
      <c r="K214" s="1698"/>
      <c r="L214" s="1781" t="s">
        <v>480</v>
      </c>
      <c r="M214" s="263"/>
      <c r="N214" s="256"/>
      <c r="O214" s="1544"/>
      <c r="P214" s="1544"/>
    </row>
    <row r="215" spans="1:16" s="1555" customFormat="1" ht="18.75" hidden="1" customHeight="1">
      <c r="A215" s="1700"/>
      <c r="B215" s="1700"/>
      <c r="C215" s="293" t="s">
        <v>1373</v>
      </c>
      <c r="D215" s="7835"/>
      <c r="E215" s="7643"/>
      <c r="F215" s="7778"/>
      <c r="G215" s="7806"/>
      <c r="H215" s="1415"/>
      <c r="I215" s="569" t="s">
        <v>1372</v>
      </c>
      <c r="J215" s="494"/>
      <c r="K215" s="1415"/>
      <c r="L215" s="131"/>
      <c r="M215" s="263"/>
      <c r="N215" s="256"/>
      <c r="O215" s="1544"/>
      <c r="P215" s="1544"/>
    </row>
    <row r="216" spans="1:16" s="1555" customFormat="1" ht="0.75" hidden="1" customHeight="1">
      <c r="A216" s="1700"/>
      <c r="B216" s="1700"/>
      <c r="C216" s="293" t="s">
        <v>1380</v>
      </c>
      <c r="D216" s="7835"/>
      <c r="E216" s="7643"/>
      <c r="F216" s="7778"/>
      <c r="G216" s="329"/>
      <c r="H216" s="1415"/>
      <c r="I216" s="569"/>
      <c r="J216" s="494"/>
      <c r="K216" s="1415"/>
      <c r="L216" s="131"/>
      <c r="M216" s="263"/>
      <c r="N216" s="256"/>
      <c r="O216" s="1544"/>
      <c r="P216" s="1544"/>
    </row>
    <row r="217" spans="1:16" s="1555" customFormat="1" ht="18.75" hidden="1" customHeight="1">
      <c r="A217" s="1700" t="s">
        <v>293</v>
      </c>
      <c r="B217" s="1700" t="s">
        <v>294</v>
      </c>
      <c r="C217" s="293"/>
      <c r="D217" s="7835"/>
      <c r="E217" s="7643"/>
      <c r="F217" s="7778" t="str">
        <f>INDEX(PT_DIFFERENTIATION_VTAR,MATCH(A217,PT_DIFFERENTIATION_VTAR_ID,0))</f>
        <v>Тарифы на услуги по передаче теплоносителя</v>
      </c>
      <c r="G217" s="7806" t="str">
        <f>INDEX(PT_DIFFERENTIATION_NTAR,MATCH(B217,PT_DIFFERENTIATION_NTAR_ID,0))</f>
        <v/>
      </c>
      <c r="H217" s="1781"/>
      <c r="I217" s="1658"/>
      <c r="J217" s="1693"/>
      <c r="K217" s="1698"/>
      <c r="L217" s="1781" t="s">
        <v>480</v>
      </c>
      <c r="M217" s="263"/>
      <c r="N217" s="256"/>
      <c r="O217" s="1544"/>
      <c r="P217" s="1544"/>
    </row>
    <row r="218" spans="1:16" s="1555" customFormat="1" ht="18.75" hidden="1" customHeight="1">
      <c r="A218" s="1700"/>
      <c r="B218" s="1700"/>
      <c r="C218" s="293" t="s">
        <v>1373</v>
      </c>
      <c r="D218" s="7835"/>
      <c r="E218" s="7643"/>
      <c r="F218" s="7778"/>
      <c r="G218" s="7806"/>
      <c r="H218" s="1415"/>
      <c r="I218" s="569" t="s">
        <v>1372</v>
      </c>
      <c r="J218" s="494"/>
      <c r="K218" s="1415"/>
      <c r="L218" s="131"/>
      <c r="M218" s="263"/>
      <c r="N218" s="256"/>
      <c r="O218" s="1544"/>
      <c r="P218" s="1544"/>
    </row>
    <row r="219" spans="1:16" s="1555" customFormat="1" ht="0.75" hidden="1" customHeight="1">
      <c r="A219" s="1700"/>
      <c r="B219" s="1700"/>
      <c r="C219" s="293" t="s">
        <v>1380</v>
      </c>
      <c r="D219" s="7835"/>
      <c r="E219" s="7643"/>
      <c r="F219" s="7778"/>
      <c r="G219" s="329"/>
      <c r="H219" s="1415"/>
      <c r="I219" s="569"/>
      <c r="J219" s="494"/>
      <c r="K219" s="1415"/>
      <c r="L219" s="131"/>
      <c r="M219" s="263"/>
      <c r="N219" s="256"/>
      <c r="O219" s="1544"/>
      <c r="P219" s="1544"/>
    </row>
    <row r="220" spans="1:16" s="1555" customFormat="1" ht="18.75" hidden="1" customHeight="1">
      <c r="A220" s="1700" t="s">
        <v>299</v>
      </c>
      <c r="B220" s="1700" t="s">
        <v>300</v>
      </c>
      <c r="C220" s="293"/>
      <c r="D220" s="7835"/>
      <c r="E220" s="7643"/>
      <c r="F220" s="7778" t="str">
        <f>INDEX(PT_DIFFERENTIATION_VTAR,MATCH(A220,PT_DIFFERENTIATION_VTAR_ID,0))</f>
        <v>Плата за услуги по поддержанию резервной тепловой мощности при отсутствии потребления тепловой энергии</v>
      </c>
      <c r="G220" s="7806" t="str">
        <f>INDEX(PT_DIFFERENTIATION_NTAR,MATCH(B220,PT_DIFFERENTIATION_NTAR_ID,0))</f>
        <v/>
      </c>
      <c r="H220" s="1781"/>
      <c r="I220" s="1658"/>
      <c r="J220" s="1693"/>
      <c r="K220" s="1698"/>
      <c r="L220" s="1781" t="s">
        <v>480</v>
      </c>
      <c r="M220" s="263"/>
      <c r="N220" s="256"/>
      <c r="O220" s="1544"/>
      <c r="P220" s="1544"/>
    </row>
    <row r="221" spans="1:16" s="1555" customFormat="1" ht="18.75" hidden="1" customHeight="1">
      <c r="A221" s="1700"/>
      <c r="B221" s="1700"/>
      <c r="C221" s="293" t="s">
        <v>1373</v>
      </c>
      <c r="D221" s="7835"/>
      <c r="E221" s="7643"/>
      <c r="F221" s="7778"/>
      <c r="G221" s="7806"/>
      <c r="H221" s="1415"/>
      <c r="I221" s="569" t="s">
        <v>1372</v>
      </c>
      <c r="J221" s="494"/>
      <c r="K221" s="1415"/>
      <c r="L221" s="131"/>
      <c r="M221" s="263"/>
      <c r="N221" s="256"/>
      <c r="O221" s="1544"/>
      <c r="P221" s="1544"/>
    </row>
    <row r="222" spans="1:16" s="1555" customFormat="1" ht="0.75" hidden="1" customHeight="1">
      <c r="A222" s="1700"/>
      <c r="B222" s="1700"/>
      <c r="C222" s="293" t="s">
        <v>1380</v>
      </c>
      <c r="D222" s="7835"/>
      <c r="E222" s="7643"/>
      <c r="F222" s="7778"/>
      <c r="G222" s="329"/>
      <c r="H222" s="1415"/>
      <c r="I222" s="569"/>
      <c r="J222" s="494"/>
      <c r="K222" s="1415"/>
      <c r="L222" s="131"/>
      <c r="M222" s="263"/>
      <c r="N222" s="256"/>
      <c r="O222" s="1544"/>
      <c r="P222" s="1544"/>
    </row>
    <row r="223" spans="1:16" s="1555" customFormat="1" ht="18.75" hidden="1" customHeight="1">
      <c r="A223" s="1700" t="s">
        <v>305</v>
      </c>
      <c r="B223" s="1700" t="s">
        <v>306</v>
      </c>
      <c r="C223" s="293"/>
      <c r="D223" s="7835"/>
      <c r="E223" s="7643"/>
      <c r="F223" s="7778" t="str">
        <f>INDEX(PT_DIFFERENTIATION_VTAR,MATCH(A223,PT_DIFFERENTIATION_VTAR_ID,0))</f>
        <v>Плата за подключение (технологическое присоединение) к системе теплоснабжения</v>
      </c>
      <c r="G223" s="7806" t="str">
        <f>INDEX(PT_DIFFERENTIATION_NTAR,MATCH(B223,PT_DIFFERENTIATION_NTAR_ID,0))</f>
        <v/>
      </c>
      <c r="H223" s="1781"/>
      <c r="I223" s="1658"/>
      <c r="J223" s="1693"/>
      <c r="K223" s="1698"/>
      <c r="L223" s="1781" t="s">
        <v>480</v>
      </c>
      <c r="M223" s="263"/>
      <c r="N223" s="256"/>
      <c r="O223" s="1544"/>
      <c r="P223" s="1544"/>
    </row>
    <row r="224" spans="1:16" s="1555" customFormat="1" ht="18.75" hidden="1" customHeight="1">
      <c r="A224" s="1700"/>
      <c r="B224" s="1700"/>
      <c r="C224" s="293" t="s">
        <v>1373</v>
      </c>
      <c r="D224" s="7835"/>
      <c r="E224" s="7643"/>
      <c r="F224" s="7778"/>
      <c r="G224" s="7806"/>
      <c r="H224" s="1415"/>
      <c r="I224" s="569" t="s">
        <v>1372</v>
      </c>
      <c r="J224" s="494"/>
      <c r="K224" s="1415"/>
      <c r="L224" s="131"/>
      <c r="M224" s="263"/>
      <c r="N224" s="256"/>
      <c r="O224" s="1544"/>
      <c r="P224" s="1544"/>
    </row>
    <row r="225" spans="1:16" s="1555" customFormat="1" ht="0.75" hidden="1" customHeight="1">
      <c r="A225" s="1700"/>
      <c r="B225" s="1700"/>
      <c r="C225" s="293" t="s">
        <v>1380</v>
      </c>
      <c r="D225" s="7835"/>
      <c r="E225" s="7643"/>
      <c r="F225" s="7778"/>
      <c r="G225" s="329"/>
      <c r="H225" s="1415"/>
      <c r="I225" s="569"/>
      <c r="J225" s="494"/>
      <c r="K225" s="1415"/>
      <c r="L225" s="131"/>
      <c r="M225" s="263"/>
      <c r="N225" s="256"/>
      <c r="O225" s="1544"/>
      <c r="P225" s="1544"/>
    </row>
    <row r="226" spans="1:16" s="1555" customFormat="1" ht="18.75" hidden="1" customHeight="1">
      <c r="A226" s="1700" t="s">
        <v>321</v>
      </c>
      <c r="B226" s="1700" t="s">
        <v>322</v>
      </c>
      <c r="C226" s="293"/>
      <c r="D226" s="7835"/>
      <c r="E226" s="7643"/>
      <c r="F226" s="7778" t="str">
        <f>INDEX(PT_DIFFERENTIATION_VTAR,MATCH(A226,PT_DIFFERENTIATION_VTAR_ID,0))</f>
        <v>Тариф на питьевую воду (питьевое водоснабжение)</v>
      </c>
      <c r="G226" s="7806" t="str">
        <f>INDEX(PT_DIFFERENTIATION_NTAR,MATCH(B226,PT_DIFFERENTIATION_NTAR_ID,0))</f>
        <v>Тарифы на питьевую воду для потребителей, осуществляющих деятельность в сфере теплоснабжения и электроснабжения на территории города Лермонтова</v>
      </c>
      <c r="H226" s="1781"/>
      <c r="I226" s="1658"/>
      <c r="J226" s="1693"/>
      <c r="K226" s="1698"/>
      <c r="L226" s="1781" t="s">
        <v>480</v>
      </c>
      <c r="M226" s="263"/>
      <c r="N226" s="256"/>
      <c r="O226" s="1544"/>
      <c r="P226" s="1544"/>
    </row>
    <row r="227" spans="1:16" s="1555" customFormat="1" ht="18.75" hidden="1" customHeight="1">
      <c r="A227" s="1700"/>
      <c r="B227" s="1700"/>
      <c r="C227" s="293" t="s">
        <v>1373</v>
      </c>
      <c r="D227" s="7835"/>
      <c r="E227" s="7643"/>
      <c r="F227" s="7778"/>
      <c r="G227" s="7806"/>
      <c r="H227" s="1415"/>
      <c r="I227" s="569" t="s">
        <v>1372</v>
      </c>
      <c r="J227" s="494"/>
      <c r="K227" s="1415"/>
      <c r="L227" s="131"/>
      <c r="M227" s="263"/>
      <c r="N227" s="256"/>
      <c r="O227" s="1544"/>
      <c r="P227" s="1544"/>
    </row>
    <row r="228" spans="1:16" s="1555" customFormat="1" ht="18.75" customHeight="1">
      <c r="A228" s="1742" t="s">
        <v>321</v>
      </c>
      <c r="B228" s="1742" t="s">
        <v>328</v>
      </c>
      <c r="C228" s="1607"/>
      <c r="D228" s="7836"/>
      <c r="E228" s="7837"/>
      <c r="F228" s="7837"/>
      <c r="G228" s="7806" t="str">
        <f>INDEX(PT_DIFFERENTIATION_NTAR,MATCH(B228,PT_DIFFERENTIATION_NTAR_ID,0))</f>
        <v>Тарифы на питьевую воду для потребителей Ставропольского края</v>
      </c>
      <c r="H228" s="1811"/>
      <c r="I228" s="1658"/>
      <c r="J228" s="1693"/>
      <c r="K228" s="1698"/>
      <c r="L228" s="1811" t="s">
        <v>480</v>
      </c>
      <c r="M228" s="1794"/>
      <c r="N228" s="537"/>
      <c r="O228" s="1544"/>
      <c r="P228" s="1544"/>
    </row>
    <row r="229" spans="1:16" s="1555" customFormat="1" ht="18.75" customHeight="1">
      <c r="A229" s="1742"/>
      <c r="B229" s="1742"/>
      <c r="C229" s="1607" t="s">
        <v>1373</v>
      </c>
      <c r="D229" s="7836"/>
      <c r="E229" s="7837"/>
      <c r="F229" s="7837"/>
      <c r="G229" s="7806"/>
      <c r="H229" s="7285"/>
      <c r="I229" s="7286" t="s">
        <v>1372</v>
      </c>
      <c r="J229" s="7287"/>
      <c r="K229" s="7288"/>
      <c r="L229" s="7289"/>
      <c r="M229" s="1794"/>
      <c r="N229" s="537"/>
      <c r="O229" s="1544"/>
      <c r="P229" s="1544"/>
    </row>
    <row r="230" spans="1:16" s="1555" customFormat="1" ht="18.75" customHeight="1">
      <c r="A230" s="1742" t="s">
        <v>321</v>
      </c>
      <c r="B230" s="1742" t="s">
        <v>333</v>
      </c>
      <c r="C230" s="1607"/>
      <c r="D230" s="7836"/>
      <c r="E230" s="7837"/>
      <c r="F230" s="7837"/>
      <c r="G230" s="7806" t="str">
        <f>INDEX(PT_DIFFERENTIATION_NTAR,MATCH(B230,PT_DIFFERENTIATION_NTAR_ID,0))</f>
        <v>Тарифы на питьевую воду для потребителей, присоединенных к централизованным системам водоснабжения села Калиновского Александровского муниципального округа</v>
      </c>
      <c r="H230" s="1811"/>
      <c r="I230" s="1658"/>
      <c r="J230" s="1693"/>
      <c r="K230" s="1698"/>
      <c r="L230" s="1811" t="s">
        <v>480</v>
      </c>
      <c r="M230" s="1794"/>
      <c r="N230" s="537"/>
      <c r="O230" s="1544"/>
      <c r="P230" s="1544"/>
    </row>
    <row r="231" spans="1:16" s="1555" customFormat="1" ht="18.75" customHeight="1">
      <c r="A231" s="1742"/>
      <c r="B231" s="1742"/>
      <c r="C231" s="1607" t="s">
        <v>1373</v>
      </c>
      <c r="D231" s="7836"/>
      <c r="E231" s="7837"/>
      <c r="F231" s="7837"/>
      <c r="G231" s="7806"/>
      <c r="H231" s="7290"/>
      <c r="I231" s="7291" t="s">
        <v>1372</v>
      </c>
      <c r="J231" s="7292"/>
      <c r="K231" s="7293"/>
      <c r="L231" s="7294"/>
      <c r="M231" s="1794"/>
      <c r="N231" s="537"/>
      <c r="O231" s="1544"/>
      <c r="P231" s="1544"/>
    </row>
    <row r="232" spans="1:16" s="1555" customFormat="1" ht="18.75" customHeight="1">
      <c r="A232" s="1742" t="s">
        <v>321</v>
      </c>
      <c r="B232" s="1742" t="s">
        <v>338</v>
      </c>
      <c r="C232" s="1607"/>
      <c r="D232" s="7836"/>
      <c r="E232" s="7837"/>
      <c r="F232" s="7837"/>
      <c r="G232" s="7806" t="str">
        <f>INDEX(PT_DIFFERENTIATION_NTAR,MATCH(B232,PT_DIFFERENTIATION_NTAR_ID,0))</f>
        <v>Тарифы на питьевую воду для потребителей, присоединенных к централизованным системам водоснабжения  поселка Малосадового, села Бургун-Маджары, поселка Кумская Долина и поселка Правокумского Левокумского муниципального округа</v>
      </c>
      <c r="H232" s="1811"/>
      <c r="I232" s="1658"/>
      <c r="J232" s="1693"/>
      <c r="K232" s="1698"/>
      <c r="L232" s="1811" t="s">
        <v>480</v>
      </c>
      <c r="M232" s="1794"/>
      <c r="N232" s="537"/>
      <c r="O232" s="1544"/>
      <c r="P232" s="1544"/>
    </row>
    <row r="233" spans="1:16" s="1555" customFormat="1" ht="18.75" customHeight="1">
      <c r="A233" s="1742"/>
      <c r="B233" s="1742"/>
      <c r="C233" s="1607" t="s">
        <v>1373</v>
      </c>
      <c r="D233" s="7836"/>
      <c r="E233" s="7837"/>
      <c r="F233" s="7837"/>
      <c r="G233" s="7806"/>
      <c r="H233" s="7295"/>
      <c r="I233" s="7296" t="s">
        <v>1372</v>
      </c>
      <c r="J233" s="7297"/>
      <c r="K233" s="7298"/>
      <c r="L233" s="7299"/>
      <c r="M233" s="1794"/>
      <c r="N233" s="537"/>
      <c r="O233" s="1544"/>
      <c r="P233" s="1544"/>
    </row>
    <row r="234" spans="1:16" s="1555" customFormat="1" ht="18.75" customHeight="1">
      <c r="A234" s="1742" t="s">
        <v>321</v>
      </c>
      <c r="B234" s="1742" t="s">
        <v>343</v>
      </c>
      <c r="C234" s="1607"/>
      <c r="D234" s="7836"/>
      <c r="E234" s="7837"/>
      <c r="F234" s="7837"/>
      <c r="G234" s="7806" t="str">
        <f>INDEX(PT_DIFFERENTIATION_NTAR,MATCH(B234,PT_DIFFERENTIATION_NTAR_ID,0))</f>
        <v xml:space="preserve">Тарифы на питьевую воду для потребителей, присоединенных к централизованным системам водоснабжения  села Николо-Александровского и поселка Ленинского Левокумского муниципального округа </v>
      </c>
      <c r="H234" s="1811"/>
      <c r="I234" s="1658"/>
      <c r="J234" s="1693"/>
      <c r="K234" s="1698"/>
      <c r="L234" s="1811" t="s">
        <v>480</v>
      </c>
      <c r="M234" s="1794"/>
      <c r="N234" s="537"/>
      <c r="O234" s="1544"/>
      <c r="P234" s="1544"/>
    </row>
    <row r="235" spans="1:16" s="1555" customFormat="1" ht="18.75" customHeight="1">
      <c r="A235" s="1742"/>
      <c r="B235" s="1742"/>
      <c r="C235" s="1607" t="s">
        <v>1373</v>
      </c>
      <c r="D235" s="7836"/>
      <c r="E235" s="7837"/>
      <c r="F235" s="7837"/>
      <c r="G235" s="7806"/>
      <c r="H235" s="7300"/>
      <c r="I235" s="7301" t="s">
        <v>1372</v>
      </c>
      <c r="J235" s="7302"/>
      <c r="K235" s="7303"/>
      <c r="L235" s="7304"/>
      <c r="M235" s="1794"/>
      <c r="N235" s="537"/>
      <c r="O235" s="1544"/>
      <c r="P235" s="1544"/>
    </row>
    <row r="236" spans="1:16" s="1555" customFormat="1" ht="18.75" customHeight="1">
      <c r="A236" s="1742" t="s">
        <v>321</v>
      </c>
      <c r="B236" s="1742" t="s">
        <v>348</v>
      </c>
      <c r="C236" s="1607"/>
      <c r="D236" s="7836"/>
      <c r="E236" s="7837"/>
      <c r="F236" s="7837"/>
      <c r="G236" s="7806" t="str">
        <f>INDEX(PT_DIFFERENTIATION_NTAR,MATCH(B236,PT_DIFFERENTIATION_NTAR_ID,0))</f>
        <v xml:space="preserve">Тарифы на питьевую воду для потребителей, присоединенных к централизованным системам водоснабжения хутора Андрей-Курган и поселка Левобалковского Нефтекумского муниципального округа </v>
      </c>
      <c r="H236" s="1811"/>
      <c r="I236" s="1658"/>
      <c r="J236" s="1693"/>
      <c r="K236" s="1698"/>
      <c r="L236" s="1811" t="s">
        <v>480</v>
      </c>
      <c r="M236" s="1794"/>
      <c r="N236" s="537"/>
      <c r="O236" s="1544"/>
      <c r="P236" s="1544"/>
    </row>
    <row r="237" spans="1:16" s="1555" customFormat="1" ht="18.75" customHeight="1">
      <c r="A237" s="1742"/>
      <c r="B237" s="1742"/>
      <c r="C237" s="1607" t="s">
        <v>1373</v>
      </c>
      <c r="D237" s="7836"/>
      <c r="E237" s="7837"/>
      <c r="F237" s="7837"/>
      <c r="G237" s="7806"/>
      <c r="H237" s="7305"/>
      <c r="I237" s="7306" t="s">
        <v>1372</v>
      </c>
      <c r="J237" s="7307"/>
      <c r="K237" s="7308"/>
      <c r="L237" s="7309"/>
      <c r="M237" s="1794"/>
      <c r="N237" s="537"/>
      <c r="O237" s="1544"/>
      <c r="P237" s="1544"/>
    </row>
    <row r="238" spans="1:16" s="1555" customFormat="1" ht="18.75" customHeight="1">
      <c r="A238" s="1742" t="s">
        <v>321</v>
      </c>
      <c r="B238" s="1742" t="s">
        <v>353</v>
      </c>
      <c r="C238" s="1607"/>
      <c r="D238" s="7836"/>
      <c r="E238" s="7837"/>
      <c r="F238" s="7837"/>
      <c r="G238" s="7806" t="str">
        <f>INDEX(PT_DIFFERENTIATION_NTAR,MATCH(B238,PT_DIFFERENTIATION_NTAR_ID,0))</f>
        <v xml:space="preserve">Тарифы на питьевую воду для потребителей, присоединенных к централизованным системам водоснабжения поселка Зункарь и аула Бейсей Нефтекумского муниципального округа </v>
      </c>
      <c r="H238" s="1811"/>
      <c r="I238" s="1658"/>
      <c r="J238" s="1693"/>
      <c r="K238" s="1698"/>
      <c r="L238" s="1811" t="s">
        <v>480</v>
      </c>
      <c r="M238" s="1794"/>
      <c r="N238" s="537"/>
      <c r="O238" s="1544"/>
      <c r="P238" s="1544"/>
    </row>
    <row r="239" spans="1:16" s="1555" customFormat="1" ht="18.75" customHeight="1">
      <c r="A239" s="1742"/>
      <c r="B239" s="1742"/>
      <c r="C239" s="1607" t="s">
        <v>1373</v>
      </c>
      <c r="D239" s="7836"/>
      <c r="E239" s="7837"/>
      <c r="F239" s="7837"/>
      <c r="G239" s="7806"/>
      <c r="H239" s="7310"/>
      <c r="I239" s="7311" t="s">
        <v>1372</v>
      </c>
      <c r="J239" s="7312"/>
      <c r="K239" s="7313"/>
      <c r="L239" s="7314"/>
      <c r="M239" s="1794"/>
      <c r="N239" s="537"/>
      <c r="O239" s="1544"/>
      <c r="P239" s="1544"/>
    </row>
    <row r="240" spans="1:16" s="1555" customFormat="1" ht="18.75" customHeight="1">
      <c r="A240" s="1742" t="s">
        <v>321</v>
      </c>
      <c r="B240" s="1742" t="s">
        <v>358</v>
      </c>
      <c r="C240" s="1607"/>
      <c r="D240" s="7836"/>
      <c r="E240" s="7837"/>
      <c r="F240" s="7837"/>
      <c r="G240" s="7806" t="str">
        <f>INDEX(PT_DIFFERENTIATION_NTAR,MATCH(B240,PT_DIFFERENTIATION_NTAR_ID,0))</f>
        <v xml:space="preserve">Тарифы на питьевую воду для потребителей, присоединенных к централизованным системам водоснабжения села Кара-Тюбе и аула Бияш Нефтекумского муниципального округа </v>
      </c>
      <c r="H240" s="1811"/>
      <c r="I240" s="1658"/>
      <c r="J240" s="1693"/>
      <c r="K240" s="1698"/>
      <c r="L240" s="1811" t="s">
        <v>480</v>
      </c>
      <c r="M240" s="1794"/>
      <c r="N240" s="537"/>
      <c r="O240" s="1544"/>
      <c r="P240" s="1544"/>
    </row>
    <row r="241" spans="1:16" s="1555" customFormat="1" ht="18.75" customHeight="1">
      <c r="A241" s="1742"/>
      <c r="B241" s="1742"/>
      <c r="C241" s="1607" t="s">
        <v>1373</v>
      </c>
      <c r="D241" s="7836"/>
      <c r="E241" s="7837"/>
      <c r="F241" s="7837"/>
      <c r="G241" s="7806"/>
      <c r="H241" s="7315"/>
      <c r="I241" s="7316" t="s">
        <v>1372</v>
      </c>
      <c r="J241" s="7317"/>
      <c r="K241" s="7318"/>
      <c r="L241" s="7319"/>
      <c r="M241" s="1794"/>
      <c r="N241" s="537"/>
      <c r="O241" s="1544"/>
      <c r="P241" s="1544"/>
    </row>
    <row r="242" spans="1:16" s="1555" customFormat="1" ht="18.75" customHeight="1">
      <c r="A242" s="1742" t="s">
        <v>321</v>
      </c>
      <c r="B242" s="1742" t="s">
        <v>363</v>
      </c>
      <c r="C242" s="1607"/>
      <c r="D242" s="7836"/>
      <c r="E242" s="7837"/>
      <c r="F242" s="7837"/>
      <c r="G242" s="7806" t="str">
        <f>INDEX(PT_DIFFERENTIATION_NTAR,MATCH(B242,PT_DIFFERENTIATION_NTAR_ID,0))</f>
        <v>Тарифы на питьевую воду для потребителей, присоединенных к централизованным системам водоснабжения поселка Горьковского, поселка Дружба, поселка Заречного и поселка Рассвет Новоалександровского муниципального округа</v>
      </c>
      <c r="H242" s="1811"/>
      <c r="I242" s="1658"/>
      <c r="J242" s="1693"/>
      <c r="K242" s="1698"/>
      <c r="L242" s="1811" t="s">
        <v>480</v>
      </c>
      <c r="M242" s="1794"/>
      <c r="N242" s="537"/>
      <c r="O242" s="1544"/>
      <c r="P242" s="1544"/>
    </row>
    <row r="243" spans="1:16" s="1555" customFormat="1" ht="18.75" customHeight="1">
      <c r="A243" s="1742"/>
      <c r="B243" s="1742"/>
      <c r="C243" s="1607" t="s">
        <v>1373</v>
      </c>
      <c r="D243" s="7836"/>
      <c r="E243" s="7837"/>
      <c r="F243" s="7837"/>
      <c r="G243" s="7806"/>
      <c r="H243" s="7320"/>
      <c r="I243" s="7321" t="s">
        <v>1372</v>
      </c>
      <c r="J243" s="7322"/>
      <c r="K243" s="7323"/>
      <c r="L243" s="7324"/>
      <c r="M243" s="1794"/>
      <c r="N243" s="537"/>
      <c r="O243" s="1544"/>
      <c r="P243" s="1544"/>
    </row>
    <row r="244" spans="1:16" s="1555" customFormat="1" ht="18.75" customHeight="1">
      <c r="A244" s="1742" t="s">
        <v>321</v>
      </c>
      <c r="B244" s="1742" t="s">
        <v>368</v>
      </c>
      <c r="C244" s="1607"/>
      <c r="D244" s="7836"/>
      <c r="E244" s="7837"/>
      <c r="F244" s="7837"/>
      <c r="G244" s="7806" t="str">
        <f>INDEX(PT_DIFFERENTIATION_NTAR,MATCH(B244,PT_DIFFERENTIATION_NTAR_ID,0))</f>
        <v>Тарифы на питьевую воду для потребителей, присоединенных к централизованным системам водоснабжения села Высоцкого, села Ореховки и хутора Казинки Петровского муниципального округа</v>
      </c>
      <c r="H244" s="1811"/>
      <c r="I244" s="1658"/>
      <c r="J244" s="1693"/>
      <c r="K244" s="1698"/>
      <c r="L244" s="1811" t="s">
        <v>480</v>
      </c>
      <c r="M244" s="1794"/>
      <c r="N244" s="537"/>
      <c r="O244" s="1544"/>
      <c r="P244" s="1544"/>
    </row>
    <row r="245" spans="1:16" s="1555" customFormat="1" ht="18.75" customHeight="1">
      <c r="A245" s="1742"/>
      <c r="B245" s="1742"/>
      <c r="C245" s="1607" t="s">
        <v>1373</v>
      </c>
      <c r="D245" s="7836"/>
      <c r="E245" s="7837"/>
      <c r="F245" s="7837"/>
      <c r="G245" s="7806"/>
      <c r="H245" s="7325"/>
      <c r="I245" s="7326" t="s">
        <v>1372</v>
      </c>
      <c r="J245" s="7327"/>
      <c r="K245" s="7328"/>
      <c r="L245" s="7329"/>
      <c r="M245" s="1794"/>
      <c r="N245" s="537"/>
      <c r="O245" s="1544"/>
      <c r="P245" s="1544"/>
    </row>
    <row r="246" spans="1:16" s="1555" customFormat="1" ht="18.75" customHeight="1">
      <c r="A246" s="1742" t="s">
        <v>321</v>
      </c>
      <c r="B246" s="1742" t="s">
        <v>373</v>
      </c>
      <c r="C246" s="1607"/>
      <c r="D246" s="7836"/>
      <c r="E246" s="7837"/>
      <c r="F246" s="7837"/>
      <c r="G246" s="7806" t="str">
        <f>INDEX(PT_DIFFERENTIATION_NTAR,MATCH(B246,PT_DIFFERENTIATION_NTAR_ID,0))</f>
        <v>Тарифы на питьевую воду для потребителей, присоединенных к централизованным системам водоснабжения села Гофицкого Петровского муниципального округа</v>
      </c>
      <c r="H246" s="1811"/>
      <c r="I246" s="1658"/>
      <c r="J246" s="1693"/>
      <c r="K246" s="1698"/>
      <c r="L246" s="1811" t="s">
        <v>480</v>
      </c>
      <c r="M246" s="1794"/>
      <c r="N246" s="537"/>
      <c r="O246" s="1544"/>
      <c r="P246" s="1544"/>
    </row>
    <row r="247" spans="1:16" s="1555" customFormat="1" ht="18.75" customHeight="1">
      <c r="A247" s="1742"/>
      <c r="B247" s="1742"/>
      <c r="C247" s="1607" t="s">
        <v>1373</v>
      </c>
      <c r="D247" s="7836"/>
      <c r="E247" s="7837"/>
      <c r="F247" s="7837"/>
      <c r="G247" s="7806"/>
      <c r="H247" s="7330"/>
      <c r="I247" s="7331" t="s">
        <v>1372</v>
      </c>
      <c r="J247" s="7332"/>
      <c r="K247" s="7333"/>
      <c r="L247" s="7334"/>
      <c r="M247" s="1794"/>
      <c r="N247" s="537"/>
      <c r="O247" s="1544"/>
      <c r="P247" s="1544"/>
    </row>
    <row r="248" spans="1:16" s="1555" customFormat="1" ht="18.75" customHeight="1">
      <c r="A248" s="1742" t="s">
        <v>321</v>
      </c>
      <c r="B248" s="1742" t="s">
        <v>378</v>
      </c>
      <c r="C248" s="1607"/>
      <c r="D248" s="7836"/>
      <c r="E248" s="7837"/>
      <c r="F248" s="7837"/>
      <c r="G248" s="7806" t="str">
        <f>INDEX(PT_DIFFERENTIATION_NTAR,MATCH(B248,PT_DIFFERENTIATION_NTAR_ID,0))</f>
        <v>Тарифы на питьевую воду для потребителей, присоединенных к централизованным системам водоснабжения села Донская Балка Петровского муниципального округа</v>
      </c>
      <c r="H248" s="1811"/>
      <c r="I248" s="1658"/>
      <c r="J248" s="1693"/>
      <c r="K248" s="1698"/>
      <c r="L248" s="1811" t="s">
        <v>480</v>
      </c>
      <c r="M248" s="1794"/>
      <c r="N248" s="537"/>
      <c r="O248" s="1544"/>
      <c r="P248" s="1544"/>
    </row>
    <row r="249" spans="1:16" s="1555" customFormat="1" ht="18.75" customHeight="1">
      <c r="A249" s="1742"/>
      <c r="B249" s="1742"/>
      <c r="C249" s="1607" t="s">
        <v>1373</v>
      </c>
      <c r="D249" s="7836"/>
      <c r="E249" s="7837"/>
      <c r="F249" s="7837"/>
      <c r="G249" s="7806"/>
      <c r="H249" s="7335"/>
      <c r="I249" s="7336" t="s">
        <v>1372</v>
      </c>
      <c r="J249" s="7337"/>
      <c r="K249" s="7338"/>
      <c r="L249" s="7339"/>
      <c r="M249" s="1794"/>
      <c r="N249" s="537"/>
      <c r="O249" s="1544"/>
      <c r="P249" s="1544"/>
    </row>
    <row r="250" spans="1:16" s="1555" customFormat="1" ht="18.75" customHeight="1">
      <c r="A250" s="1742" t="s">
        <v>321</v>
      </c>
      <c r="B250" s="1742" t="s">
        <v>383</v>
      </c>
      <c r="C250" s="1607"/>
      <c r="D250" s="7836"/>
      <c r="E250" s="7837"/>
      <c r="F250" s="7837"/>
      <c r="G250" s="7806" t="str">
        <f>INDEX(PT_DIFFERENTIATION_NTAR,MATCH(B250,PT_DIFFERENTIATION_NTAR_ID,0))</f>
        <v>Тарифы на питьевую воду для потребителей, присоединенных к централизованным системам водоснабжения села Константиновского и села Кугуты Петровского муниципального округа, ранее эксплуатируемым ГУП СК "Пчелка"</v>
      </c>
      <c r="H250" s="1811"/>
      <c r="I250" s="1658"/>
      <c r="J250" s="1693"/>
      <c r="K250" s="1698"/>
      <c r="L250" s="1811" t="s">
        <v>480</v>
      </c>
      <c r="M250" s="1794"/>
      <c r="N250" s="537"/>
      <c r="O250" s="1544"/>
      <c r="P250" s="1544"/>
    </row>
    <row r="251" spans="1:16" s="1555" customFormat="1" ht="18.75" customHeight="1">
      <c r="A251" s="1742"/>
      <c r="B251" s="1742"/>
      <c r="C251" s="1607" t="s">
        <v>1373</v>
      </c>
      <c r="D251" s="7836"/>
      <c r="E251" s="7837"/>
      <c r="F251" s="7837"/>
      <c r="G251" s="7806"/>
      <c r="H251" s="7340"/>
      <c r="I251" s="7341" t="s">
        <v>1372</v>
      </c>
      <c r="J251" s="7342"/>
      <c r="K251" s="7343"/>
      <c r="L251" s="7344"/>
      <c r="M251" s="1794"/>
      <c r="N251" s="537"/>
      <c r="O251" s="1544"/>
      <c r="P251" s="1544"/>
    </row>
    <row r="252" spans="1:16" s="1555" customFormat="1" ht="18.75" customHeight="1">
      <c r="A252" s="1742" t="s">
        <v>321</v>
      </c>
      <c r="B252" s="1742" t="s">
        <v>388</v>
      </c>
      <c r="C252" s="1607"/>
      <c r="D252" s="7836"/>
      <c r="E252" s="7837"/>
      <c r="F252" s="7837"/>
      <c r="G252" s="7806" t="str">
        <f>INDEX(PT_DIFFERENTIATION_NTAR,MATCH(B252,PT_DIFFERENTIATION_NTAR_ID,0))</f>
        <v>Тарифы на питьевую воду для потребителей, присоединенных к централизованным системам водоснабжения села Просянки Петровского муниципального округа</v>
      </c>
      <c r="H252" s="1811"/>
      <c r="I252" s="1658"/>
      <c r="J252" s="1693"/>
      <c r="K252" s="1698"/>
      <c r="L252" s="1811" t="s">
        <v>480</v>
      </c>
      <c r="M252" s="1794"/>
      <c r="N252" s="537"/>
      <c r="O252" s="1544"/>
      <c r="P252" s="1544"/>
    </row>
    <row r="253" spans="1:16" s="1555" customFormat="1" ht="18.75" customHeight="1">
      <c r="A253" s="1742"/>
      <c r="B253" s="1742"/>
      <c r="C253" s="1607" t="s">
        <v>1373</v>
      </c>
      <c r="D253" s="7836"/>
      <c r="E253" s="7837"/>
      <c r="F253" s="7837"/>
      <c r="G253" s="7806"/>
      <c r="H253" s="7345"/>
      <c r="I253" s="7346" t="s">
        <v>1372</v>
      </c>
      <c r="J253" s="7347"/>
      <c r="K253" s="7348"/>
      <c r="L253" s="7349"/>
      <c r="M253" s="1794"/>
      <c r="N253" s="537"/>
      <c r="O253" s="1544"/>
      <c r="P253" s="1544"/>
    </row>
    <row r="254" spans="1:16" s="1555" customFormat="1" ht="18.75" customHeight="1">
      <c r="A254" s="1742" t="s">
        <v>321</v>
      </c>
      <c r="B254" s="1742" t="s">
        <v>393</v>
      </c>
      <c r="C254" s="1607"/>
      <c r="D254" s="7836"/>
      <c r="E254" s="7837"/>
      <c r="F254" s="7837"/>
      <c r="G254" s="7806" t="str">
        <f>INDEX(PT_DIFFERENTIATION_NTAR,MATCH(B254,PT_DIFFERENTIATION_NTAR_ID,0))</f>
        <v>Тарифы на питьевую воду для потребителей, присоединенных к централизованным системам водоснабжения села Сухая Буйвола Петровского муниципального округа</v>
      </c>
      <c r="H254" s="1811"/>
      <c r="I254" s="1658"/>
      <c r="J254" s="1693"/>
      <c r="K254" s="1698"/>
      <c r="L254" s="1811" t="s">
        <v>480</v>
      </c>
      <c r="M254" s="1794"/>
      <c r="N254" s="537"/>
      <c r="O254" s="1544"/>
      <c r="P254" s="1544"/>
    </row>
    <row r="255" spans="1:16" s="1555" customFormat="1" ht="18.75" customHeight="1">
      <c r="A255" s="1742"/>
      <c r="B255" s="1742"/>
      <c r="C255" s="1607" t="s">
        <v>1373</v>
      </c>
      <c r="D255" s="7836"/>
      <c r="E255" s="7837"/>
      <c r="F255" s="7837"/>
      <c r="G255" s="7806"/>
      <c r="H255" s="7350"/>
      <c r="I255" s="7351" t="s">
        <v>1372</v>
      </c>
      <c r="J255" s="7352"/>
      <c r="K255" s="7353"/>
      <c r="L255" s="7354"/>
      <c r="M255" s="1794"/>
      <c r="N255" s="537"/>
      <c r="O255" s="1544"/>
      <c r="P255" s="1544"/>
    </row>
    <row r="256" spans="1:16" s="1555" customFormat="1" ht="18.75" customHeight="1">
      <c r="A256" s="1742" t="s">
        <v>321</v>
      </c>
      <c r="B256" s="1742" t="s">
        <v>398</v>
      </c>
      <c r="C256" s="1607"/>
      <c r="D256" s="7836"/>
      <c r="E256" s="7837"/>
      <c r="F256" s="7837"/>
      <c r="G256" s="7806" t="str">
        <f>INDEX(PT_DIFFERENTIATION_NTAR,MATCH(B256,PT_DIFFERENTIATION_NTAR_ID,0))</f>
        <v>Тарифы на питьевую воду для потребителей, присоединенных к централизованным системам водоснабжения "водозабор Юца", "станция Расшеватка", города Светлограда Петровского муниципального округа, города Георгиевска и села Краснокумского Георгиевского муниципального округа, ранее эксплуатируемым ОАО "РЖД"</v>
      </c>
      <c r="H256" s="1811"/>
      <c r="I256" s="1658"/>
      <c r="J256" s="1693"/>
      <c r="K256" s="1698"/>
      <c r="L256" s="1811" t="s">
        <v>480</v>
      </c>
      <c r="M256" s="1794"/>
      <c r="N256" s="537"/>
      <c r="O256" s="1544"/>
      <c r="P256" s="1544"/>
    </row>
    <row r="257" spans="1:16" s="1555" customFormat="1" ht="18.75" customHeight="1">
      <c r="A257" s="1742"/>
      <c r="B257" s="1742"/>
      <c r="C257" s="1607" t="s">
        <v>1373</v>
      </c>
      <c r="D257" s="7836"/>
      <c r="E257" s="7837"/>
      <c r="F257" s="7837"/>
      <c r="G257" s="7806"/>
      <c r="H257" s="7355"/>
      <c r="I257" s="7356" t="s">
        <v>1372</v>
      </c>
      <c r="J257" s="7357"/>
      <c r="K257" s="7358"/>
      <c r="L257" s="7359"/>
      <c r="M257" s="1794"/>
      <c r="N257" s="537"/>
      <c r="O257" s="1544"/>
      <c r="P257" s="1544"/>
    </row>
    <row r="258" spans="1:16" s="1555" customFormat="1" ht="0.75" hidden="1" customHeight="1">
      <c r="A258" s="1700"/>
      <c r="B258" s="1700"/>
      <c r="C258" s="293" t="s">
        <v>1380</v>
      </c>
      <c r="D258" s="7835"/>
      <c r="E258" s="7643"/>
      <c r="F258" s="7778"/>
      <c r="G258" s="329"/>
      <c r="H258" s="1415"/>
      <c r="I258" s="569"/>
      <c r="J258" s="494"/>
      <c r="K258" s="1415"/>
      <c r="L258" s="131"/>
      <c r="M258" s="263"/>
      <c r="N258" s="256"/>
      <c r="O258" s="1544"/>
      <c r="P258" s="1544"/>
    </row>
    <row r="259" spans="1:16" s="1555" customFormat="1" ht="18.75" hidden="1" customHeight="1">
      <c r="A259" s="1700" t="s">
        <v>404</v>
      </c>
      <c r="B259" s="1700" t="s">
        <v>405</v>
      </c>
      <c r="C259" s="293"/>
      <c r="D259" s="7835"/>
      <c r="E259" s="7643"/>
      <c r="F259" s="7778" t="str">
        <f>INDEX(PT_DIFFERENTIATION_VTAR,MATCH(A259,PT_DIFFERENTIATION_VTAR_ID,0))</f>
        <v>Тариф на техническую воду</v>
      </c>
      <c r="G259" s="7806" t="str">
        <f>INDEX(PT_DIFFERENTIATION_NTAR,MATCH(B259,PT_DIFFERENTIATION_NTAR_ID,0))</f>
        <v/>
      </c>
      <c r="H259" s="1781"/>
      <c r="I259" s="1658"/>
      <c r="J259" s="1693"/>
      <c r="K259" s="1698"/>
      <c r="L259" s="1781" t="s">
        <v>480</v>
      </c>
      <c r="M259" s="263"/>
      <c r="N259" s="256"/>
      <c r="O259" s="1544"/>
      <c r="P259" s="1544"/>
    </row>
    <row r="260" spans="1:16" s="1555" customFormat="1" ht="18.75" hidden="1" customHeight="1">
      <c r="A260" s="1700"/>
      <c r="B260" s="1700"/>
      <c r="C260" s="293" t="s">
        <v>1373</v>
      </c>
      <c r="D260" s="7835"/>
      <c r="E260" s="7643"/>
      <c r="F260" s="7778"/>
      <c r="G260" s="7806"/>
      <c r="H260" s="1415"/>
      <c r="I260" s="569" t="s">
        <v>1372</v>
      </c>
      <c r="J260" s="494"/>
      <c r="K260" s="1415"/>
      <c r="L260" s="131"/>
      <c r="M260" s="263"/>
      <c r="N260" s="256"/>
      <c r="O260" s="1544"/>
      <c r="P260" s="1544"/>
    </row>
    <row r="261" spans="1:16" s="1555" customFormat="1" ht="0.75" hidden="1" customHeight="1">
      <c r="A261" s="1700"/>
      <c r="B261" s="1700"/>
      <c r="C261" s="293" t="s">
        <v>1380</v>
      </c>
      <c r="D261" s="7835"/>
      <c r="E261" s="7643"/>
      <c r="F261" s="7778"/>
      <c r="G261" s="329"/>
      <c r="H261" s="1415"/>
      <c r="I261" s="569"/>
      <c r="J261" s="494"/>
      <c r="K261" s="1415"/>
      <c r="L261" s="131"/>
      <c r="M261" s="263"/>
      <c r="N261" s="256"/>
      <c r="O261" s="1544"/>
      <c r="P261" s="1544"/>
    </row>
    <row r="262" spans="1:16" s="1555" customFormat="1" ht="18.75" hidden="1" customHeight="1">
      <c r="A262" s="1700" t="s">
        <v>409</v>
      </c>
      <c r="B262" s="1700" t="s">
        <v>410</v>
      </c>
      <c r="C262" s="293"/>
      <c r="D262" s="7835"/>
      <c r="E262" s="7643"/>
      <c r="F262" s="7778" t="str">
        <f>INDEX(PT_DIFFERENTIATION_VTAR,MATCH(A262,PT_DIFFERENTIATION_VTAR_ID,0))</f>
        <v>Тариф на транспортировку воды</v>
      </c>
      <c r="G262" s="7806" t="str">
        <f>INDEX(PT_DIFFERENTIATION_NTAR,MATCH(B262,PT_DIFFERENTIATION_NTAR_ID,0))</f>
        <v/>
      </c>
      <c r="H262" s="1781"/>
      <c r="I262" s="1658"/>
      <c r="J262" s="1693"/>
      <c r="K262" s="1698"/>
      <c r="L262" s="1781" t="s">
        <v>480</v>
      </c>
      <c r="M262" s="263"/>
      <c r="N262" s="256"/>
      <c r="O262" s="1544"/>
      <c r="P262" s="1544"/>
    </row>
    <row r="263" spans="1:16" s="1555" customFormat="1" ht="18.75" hidden="1" customHeight="1">
      <c r="A263" s="1700"/>
      <c r="B263" s="1700"/>
      <c r="C263" s="293" t="s">
        <v>1373</v>
      </c>
      <c r="D263" s="7835"/>
      <c r="E263" s="7643"/>
      <c r="F263" s="7778"/>
      <c r="G263" s="7806"/>
      <c r="H263" s="1415"/>
      <c r="I263" s="569" t="s">
        <v>1372</v>
      </c>
      <c r="J263" s="494"/>
      <c r="K263" s="1415"/>
      <c r="L263" s="131"/>
      <c r="M263" s="263"/>
      <c r="N263" s="256"/>
      <c r="O263" s="1544"/>
      <c r="P263" s="1544"/>
    </row>
    <row r="264" spans="1:16" s="1555" customFormat="1" ht="0.75" hidden="1" customHeight="1">
      <c r="A264" s="1700"/>
      <c r="B264" s="1700"/>
      <c r="C264" s="293" t="s">
        <v>1380</v>
      </c>
      <c r="D264" s="7835"/>
      <c r="E264" s="7643"/>
      <c r="F264" s="7778"/>
      <c r="G264" s="329"/>
      <c r="H264" s="1415"/>
      <c r="I264" s="569"/>
      <c r="J264" s="494"/>
      <c r="K264" s="1415"/>
      <c r="L264" s="131"/>
      <c r="M264" s="263"/>
      <c r="N264" s="256"/>
      <c r="O264" s="1544"/>
      <c r="P264" s="1544"/>
    </row>
    <row r="265" spans="1:16" s="1555" customFormat="1" ht="18.75" hidden="1" customHeight="1">
      <c r="A265" s="1700" t="s">
        <v>414</v>
      </c>
      <c r="B265" s="1700" t="s">
        <v>415</v>
      </c>
      <c r="C265" s="293"/>
      <c r="D265" s="7835"/>
      <c r="E265" s="7643"/>
      <c r="F265" s="7778" t="str">
        <f>INDEX(PT_DIFFERENTIATION_VTAR,MATCH(A265,PT_DIFFERENTIATION_VTAR_ID,0))</f>
        <v>Тариф на подвоз воды</v>
      </c>
      <c r="G265" s="7806" t="str">
        <f>INDEX(PT_DIFFERENTIATION_NTAR,MATCH(B265,PT_DIFFERENTIATION_NTAR_ID,0))</f>
        <v/>
      </c>
      <c r="H265" s="1781"/>
      <c r="I265" s="1658"/>
      <c r="J265" s="1693"/>
      <c r="K265" s="1698"/>
      <c r="L265" s="1781" t="s">
        <v>480</v>
      </c>
      <c r="M265" s="263"/>
      <c r="N265" s="256"/>
      <c r="O265" s="1544"/>
      <c r="P265" s="1544"/>
    </row>
    <row r="266" spans="1:16" s="1555" customFormat="1" ht="18.75" hidden="1" customHeight="1">
      <c r="A266" s="1700"/>
      <c r="B266" s="1700"/>
      <c r="C266" s="293" t="s">
        <v>1373</v>
      </c>
      <c r="D266" s="7835"/>
      <c r="E266" s="7643"/>
      <c r="F266" s="7778"/>
      <c r="G266" s="7806"/>
      <c r="H266" s="1415"/>
      <c r="I266" s="569" t="s">
        <v>1372</v>
      </c>
      <c r="J266" s="494"/>
      <c r="K266" s="1415"/>
      <c r="L266" s="131"/>
      <c r="M266" s="263"/>
      <c r="N266" s="256"/>
      <c r="O266" s="1544"/>
      <c r="P266" s="1544"/>
    </row>
    <row r="267" spans="1:16" s="1555" customFormat="1" ht="0.75" hidden="1" customHeight="1">
      <c r="A267" s="1700"/>
      <c r="B267" s="1700"/>
      <c r="C267" s="293" t="s">
        <v>1380</v>
      </c>
      <c r="D267" s="7835"/>
      <c r="E267" s="7643"/>
      <c r="F267" s="7778"/>
      <c r="G267" s="329"/>
      <c r="H267" s="1415"/>
      <c r="I267" s="569"/>
      <c r="J267" s="494"/>
      <c r="K267" s="1415"/>
      <c r="L267" s="131"/>
      <c r="M267" s="263"/>
      <c r="N267" s="256"/>
      <c r="O267" s="1544"/>
      <c r="P267" s="1544"/>
    </row>
    <row r="268" spans="1:16" s="1555" customFormat="1" ht="18.75" hidden="1" customHeight="1">
      <c r="A268" s="1700" t="s">
        <v>419</v>
      </c>
      <c r="B268" s="1700" t="s">
        <v>420</v>
      </c>
      <c r="C268" s="293"/>
      <c r="D268" s="7835"/>
      <c r="E268" s="7643"/>
      <c r="F268" s="7778" t="str">
        <f>INDEX(PT_DIFFERENTIATION_VTAR,MATCH(A268,PT_DIFFERENTIATION_VTAR_ID,0))</f>
        <v>Тариф на подключение (технологическое присоединение) к централизованной системе холодного водоснабжения</v>
      </c>
      <c r="G268" s="7806" t="str">
        <f>INDEX(PT_DIFFERENTIATION_NTAR,MATCH(B268,PT_DIFFERENTIATION_NTAR_ID,0))</f>
        <v/>
      </c>
      <c r="H268" s="1781"/>
      <c r="I268" s="1658"/>
      <c r="J268" s="1693"/>
      <c r="K268" s="1698"/>
      <c r="L268" s="1781" t="s">
        <v>480</v>
      </c>
      <c r="M268" s="263"/>
      <c r="N268" s="256"/>
      <c r="O268" s="1544"/>
      <c r="P268" s="1544"/>
    </row>
    <row r="269" spans="1:16" s="1555" customFormat="1" ht="18.75" hidden="1" customHeight="1">
      <c r="A269" s="1700"/>
      <c r="B269" s="1700"/>
      <c r="C269" s="293" t="s">
        <v>1373</v>
      </c>
      <c r="D269" s="7835"/>
      <c r="E269" s="7643"/>
      <c r="F269" s="7778"/>
      <c r="G269" s="7806"/>
      <c r="H269" s="1415"/>
      <c r="I269" s="569" t="s">
        <v>1372</v>
      </c>
      <c r="J269" s="494"/>
      <c r="K269" s="1415"/>
      <c r="L269" s="131"/>
      <c r="M269" s="263"/>
      <c r="N269" s="256"/>
      <c r="O269" s="1544"/>
      <c r="P269" s="1544"/>
    </row>
    <row r="270" spans="1:16" s="1555" customFormat="1" ht="0.75" hidden="1" customHeight="1">
      <c r="A270" s="1700"/>
      <c r="B270" s="1700"/>
      <c r="C270" s="293" t="s">
        <v>1380</v>
      </c>
      <c r="D270" s="7835"/>
      <c r="E270" s="7643"/>
      <c r="F270" s="7778"/>
      <c r="G270" s="329"/>
      <c r="H270" s="1415"/>
      <c r="I270" s="569"/>
      <c r="J270" s="494"/>
      <c r="K270" s="1415"/>
      <c r="L270" s="131"/>
      <c r="M270" s="263"/>
      <c r="N270" s="256"/>
      <c r="O270" s="1544"/>
      <c r="P270" s="1544"/>
    </row>
    <row r="271" spans="1:16" s="1555" customFormat="1" ht="18.75" hidden="1" customHeight="1">
      <c r="A271" s="1700" t="s">
        <v>424</v>
      </c>
      <c r="B271" s="1700" t="s">
        <v>425</v>
      </c>
      <c r="C271" s="293"/>
      <c r="D271" s="7835"/>
      <c r="E271" s="7643"/>
      <c r="F271" s="7778" t="str">
        <f>INDEX(PT_DIFFERENTIATION_VTAR,MATCH(A271,PT_DIFFERENTIATION_VTAR_ID,0))</f>
        <v>Тариф на горячую воду (горячее водоснабжение)</v>
      </c>
      <c r="G271" s="7806" t="str">
        <f>INDEX(PT_DIFFERENTIATION_NTAR,MATCH(B271,PT_DIFFERENTIATION_NTAR_ID,0))</f>
        <v/>
      </c>
      <c r="H271" s="1781"/>
      <c r="I271" s="1658"/>
      <c r="J271" s="1693"/>
      <c r="K271" s="1698"/>
      <c r="L271" s="1781" t="s">
        <v>480</v>
      </c>
      <c r="M271" s="263"/>
      <c r="N271" s="256"/>
      <c r="O271" s="1544"/>
      <c r="P271" s="1544"/>
    </row>
    <row r="272" spans="1:16" s="1555" customFormat="1" ht="18.75" hidden="1" customHeight="1">
      <c r="A272" s="1700"/>
      <c r="B272" s="1700"/>
      <c r="C272" s="293" t="s">
        <v>1373</v>
      </c>
      <c r="D272" s="7835"/>
      <c r="E272" s="7643"/>
      <c r="F272" s="7778"/>
      <c r="G272" s="7806"/>
      <c r="H272" s="1415"/>
      <c r="I272" s="569" t="s">
        <v>1372</v>
      </c>
      <c r="J272" s="494"/>
      <c r="K272" s="1415"/>
      <c r="L272" s="131"/>
      <c r="M272" s="263"/>
      <c r="N272" s="256"/>
      <c r="O272" s="1544"/>
      <c r="P272" s="1544"/>
    </row>
    <row r="273" spans="1:16" s="1555" customFormat="1" ht="0.75" hidden="1" customHeight="1">
      <c r="A273" s="1700"/>
      <c r="B273" s="1700"/>
      <c r="C273" s="293" t="s">
        <v>1380</v>
      </c>
      <c r="D273" s="7835"/>
      <c r="E273" s="7643"/>
      <c r="F273" s="7778"/>
      <c r="G273" s="329"/>
      <c r="H273" s="1415"/>
      <c r="I273" s="569"/>
      <c r="J273" s="494"/>
      <c r="K273" s="1415"/>
      <c r="L273" s="131"/>
      <c r="M273" s="263"/>
      <c r="N273" s="256"/>
      <c r="O273" s="1544"/>
      <c r="P273" s="1544"/>
    </row>
    <row r="274" spans="1:16" s="1555" customFormat="1" ht="18.75" hidden="1" customHeight="1">
      <c r="A274" s="1700" t="s">
        <v>429</v>
      </c>
      <c r="B274" s="1700" t="s">
        <v>430</v>
      </c>
      <c r="C274" s="293"/>
      <c r="D274" s="7835"/>
      <c r="E274" s="7643"/>
      <c r="F274" s="7778" t="str">
        <f>INDEX(PT_DIFFERENTIATION_VTAR,MATCH(A274,PT_DIFFERENTIATION_VTAR_ID,0))</f>
        <v>Тариф на транспортировку горячей воды</v>
      </c>
      <c r="G274" s="7806" t="str">
        <f>INDEX(PT_DIFFERENTIATION_NTAR,MATCH(B274,PT_DIFFERENTIATION_NTAR_ID,0))</f>
        <v/>
      </c>
      <c r="H274" s="1781"/>
      <c r="I274" s="1658"/>
      <c r="J274" s="1693"/>
      <c r="K274" s="1698"/>
      <c r="L274" s="1781" t="s">
        <v>480</v>
      </c>
      <c r="M274" s="263"/>
      <c r="N274" s="256"/>
      <c r="O274" s="1544"/>
      <c r="P274" s="1544"/>
    </row>
    <row r="275" spans="1:16" s="1555" customFormat="1" ht="18.75" hidden="1" customHeight="1">
      <c r="A275" s="1700"/>
      <c r="B275" s="1700"/>
      <c r="C275" s="293" t="s">
        <v>1373</v>
      </c>
      <c r="D275" s="7835"/>
      <c r="E275" s="7643"/>
      <c r="F275" s="7778"/>
      <c r="G275" s="7806"/>
      <c r="H275" s="1415"/>
      <c r="I275" s="569" t="s">
        <v>1372</v>
      </c>
      <c r="J275" s="494"/>
      <c r="K275" s="1415"/>
      <c r="L275" s="131"/>
      <c r="M275" s="263"/>
      <c r="N275" s="256"/>
      <c r="O275" s="1544"/>
      <c r="P275" s="1544"/>
    </row>
    <row r="276" spans="1:16" s="1555" customFormat="1" ht="0.75" hidden="1" customHeight="1">
      <c r="A276" s="1700"/>
      <c r="B276" s="1700"/>
      <c r="C276" s="293" t="s">
        <v>1380</v>
      </c>
      <c r="D276" s="7835"/>
      <c r="E276" s="7643"/>
      <c r="F276" s="7778"/>
      <c r="G276" s="329"/>
      <c r="H276" s="1415"/>
      <c r="I276" s="569"/>
      <c r="J276" s="494"/>
      <c r="K276" s="1415"/>
      <c r="L276" s="131"/>
      <c r="M276" s="263"/>
      <c r="N276" s="256"/>
      <c r="O276" s="1544"/>
      <c r="P276" s="1544"/>
    </row>
    <row r="277" spans="1:16" s="1555" customFormat="1" ht="18.75" hidden="1" customHeight="1">
      <c r="A277" s="1700" t="s">
        <v>434</v>
      </c>
      <c r="B277" s="1700" t="s">
        <v>435</v>
      </c>
      <c r="C277" s="293"/>
      <c r="D277" s="7835"/>
      <c r="E277" s="7643"/>
      <c r="F277" s="7778" t="str">
        <f>INDEX(PT_DIFFERENTIATION_VTAR,MATCH(A277,PT_DIFFERENTIATION_VTAR_ID,0))</f>
        <v>Тариф на подключение (технологическое присоединение) к централизованной системе горячего водоснабжения</v>
      </c>
      <c r="G277" s="7806" t="str">
        <f>INDEX(PT_DIFFERENTIATION_NTAR,MATCH(B277,PT_DIFFERENTIATION_NTAR_ID,0))</f>
        <v/>
      </c>
      <c r="H277" s="1781"/>
      <c r="I277" s="1658"/>
      <c r="J277" s="1693"/>
      <c r="K277" s="1698"/>
      <c r="L277" s="1781" t="s">
        <v>480</v>
      </c>
      <c r="M277" s="263"/>
      <c r="N277" s="256"/>
      <c r="O277" s="1544"/>
      <c r="P277" s="1544"/>
    </row>
    <row r="278" spans="1:16" s="1555" customFormat="1" ht="18.75" hidden="1" customHeight="1">
      <c r="A278" s="1700"/>
      <c r="B278" s="1700"/>
      <c r="C278" s="293" t="s">
        <v>1373</v>
      </c>
      <c r="D278" s="7835"/>
      <c r="E278" s="7643"/>
      <c r="F278" s="7778"/>
      <c r="G278" s="7806"/>
      <c r="H278" s="1415"/>
      <c r="I278" s="569" t="s">
        <v>1372</v>
      </c>
      <c r="J278" s="494"/>
      <c r="K278" s="1415"/>
      <c r="L278" s="131"/>
      <c r="M278" s="263"/>
      <c r="N278" s="256"/>
      <c r="O278" s="1544"/>
      <c r="P278" s="1544"/>
    </row>
    <row r="279" spans="1:16" s="1555" customFormat="1" ht="0.75" hidden="1" customHeight="1">
      <c r="A279" s="1700"/>
      <c r="B279" s="1700"/>
      <c r="C279" s="293" t="s">
        <v>1380</v>
      </c>
      <c r="D279" s="7835"/>
      <c r="E279" s="7643"/>
      <c r="F279" s="7778"/>
      <c r="G279" s="329"/>
      <c r="H279" s="1415"/>
      <c r="I279" s="569"/>
      <c r="J279" s="494"/>
      <c r="K279" s="1415"/>
      <c r="L279" s="131"/>
      <c r="M279" s="263"/>
      <c r="N279" s="256"/>
      <c r="O279" s="1544"/>
      <c r="P279" s="1544"/>
    </row>
    <row r="280" spans="1:16" s="1555" customFormat="1" ht="18.75" hidden="1" customHeight="1">
      <c r="A280" s="1700" t="s">
        <v>439</v>
      </c>
      <c r="B280" s="1700" t="s">
        <v>440</v>
      </c>
      <c r="C280" s="293"/>
      <c r="D280" s="7835"/>
      <c r="E280" s="7643"/>
      <c r="F280" s="7778" t="str">
        <f>INDEX(PT_DIFFERENTIATION_VTAR,MATCH(A280,PT_DIFFERENTIATION_VTAR_ID,0))</f>
        <v>Тариф на водоотведение</v>
      </c>
      <c r="G280" s="7806" t="str">
        <f>INDEX(PT_DIFFERENTIATION_NTAR,MATCH(B280,PT_DIFFERENTIATION_NTAR_ID,0))</f>
        <v/>
      </c>
      <c r="H280" s="1781"/>
      <c r="I280" s="1658"/>
      <c r="J280" s="1693"/>
      <c r="K280" s="1698"/>
      <c r="L280" s="1781" t="s">
        <v>480</v>
      </c>
      <c r="M280" s="263"/>
      <c r="N280" s="256"/>
      <c r="O280" s="1544"/>
      <c r="P280" s="1544"/>
    </row>
    <row r="281" spans="1:16" s="1555" customFormat="1" ht="18.75" hidden="1" customHeight="1">
      <c r="A281" s="1700"/>
      <c r="B281" s="1700"/>
      <c r="C281" s="293" t="s">
        <v>1373</v>
      </c>
      <c r="D281" s="7835"/>
      <c r="E281" s="7643"/>
      <c r="F281" s="7778"/>
      <c r="G281" s="7806"/>
      <c r="H281" s="1415"/>
      <c r="I281" s="569" t="s">
        <v>1372</v>
      </c>
      <c r="J281" s="494"/>
      <c r="K281" s="1415"/>
      <c r="L281" s="131"/>
      <c r="M281" s="263"/>
      <c r="N281" s="256"/>
      <c r="O281" s="1544"/>
      <c r="P281" s="1544"/>
    </row>
    <row r="282" spans="1:16" s="1555" customFormat="1" ht="0.75" hidden="1" customHeight="1">
      <c r="A282" s="1700"/>
      <c r="B282" s="1700"/>
      <c r="C282" s="293" t="s">
        <v>1380</v>
      </c>
      <c r="D282" s="7835"/>
      <c r="E282" s="7643"/>
      <c r="F282" s="7778"/>
      <c r="G282" s="329"/>
      <c r="H282" s="1415"/>
      <c r="I282" s="569"/>
      <c r="J282" s="494"/>
      <c r="K282" s="1415"/>
      <c r="L282" s="131"/>
      <c r="M282" s="263"/>
      <c r="N282" s="256"/>
      <c r="O282" s="1544"/>
      <c r="P282" s="1544"/>
    </row>
    <row r="283" spans="1:16" s="1555" customFormat="1" ht="18.75" hidden="1" customHeight="1">
      <c r="A283" s="1700" t="s">
        <v>444</v>
      </c>
      <c r="B283" s="1700" t="s">
        <v>445</v>
      </c>
      <c r="C283" s="293"/>
      <c r="D283" s="7835"/>
      <c r="E283" s="7643"/>
      <c r="F283" s="7778" t="str">
        <f>INDEX(PT_DIFFERENTIATION_VTAR,MATCH(A283,PT_DIFFERENTIATION_VTAR_ID,0))</f>
        <v>Тариф на транспортировку сточных вод</v>
      </c>
      <c r="G283" s="7806" t="str">
        <f>INDEX(PT_DIFFERENTIATION_NTAR,MATCH(B283,PT_DIFFERENTIATION_NTAR_ID,0))</f>
        <v/>
      </c>
      <c r="H283" s="1781"/>
      <c r="I283" s="1658"/>
      <c r="J283" s="1693"/>
      <c r="K283" s="1698"/>
      <c r="L283" s="1781" t="s">
        <v>480</v>
      </c>
      <c r="M283" s="263"/>
      <c r="N283" s="256"/>
      <c r="O283" s="1544"/>
      <c r="P283" s="1544"/>
    </row>
    <row r="284" spans="1:16" s="1555" customFormat="1" ht="18.75" hidden="1" customHeight="1">
      <c r="A284" s="1700"/>
      <c r="B284" s="1700"/>
      <c r="C284" s="293" t="s">
        <v>1373</v>
      </c>
      <c r="D284" s="7835"/>
      <c r="E284" s="7643"/>
      <c r="F284" s="7778"/>
      <c r="G284" s="7806"/>
      <c r="H284" s="1415"/>
      <c r="I284" s="569" t="s">
        <v>1372</v>
      </c>
      <c r="J284" s="494"/>
      <c r="K284" s="1415"/>
      <c r="L284" s="131"/>
      <c r="M284" s="263"/>
      <c r="N284" s="256"/>
      <c r="O284" s="1544"/>
      <c r="P284" s="1544"/>
    </row>
    <row r="285" spans="1:16" s="1555" customFormat="1" ht="0.75" hidden="1" customHeight="1">
      <c r="A285" s="1700"/>
      <c r="B285" s="1700"/>
      <c r="C285" s="293" t="s">
        <v>1380</v>
      </c>
      <c r="D285" s="7835"/>
      <c r="E285" s="7643"/>
      <c r="F285" s="7778"/>
      <c r="G285" s="329"/>
      <c r="H285" s="1415"/>
      <c r="I285" s="569"/>
      <c r="J285" s="494"/>
      <c r="K285" s="1415"/>
      <c r="L285" s="131"/>
      <c r="M285" s="263"/>
      <c r="N285" s="256"/>
      <c r="O285" s="1544"/>
      <c r="P285" s="1544"/>
    </row>
    <row r="286" spans="1:16" s="1555" customFormat="1" ht="18.75" hidden="1" customHeight="1">
      <c r="A286" s="1700" t="s">
        <v>449</v>
      </c>
      <c r="B286" s="1700" t="s">
        <v>450</v>
      </c>
      <c r="C286" s="293"/>
      <c r="D286" s="7835"/>
      <c r="E286" s="7643"/>
      <c r="F286" s="7778" t="str">
        <f>INDEX(PT_DIFFERENTIATION_VTAR,MATCH(A286,PT_DIFFERENTIATION_VTAR_ID,0))</f>
        <v>Тариф на подключение (технологическое присоединение) к централизованной системе водоотведения</v>
      </c>
      <c r="G286" s="7806" t="str">
        <f>INDEX(PT_DIFFERENTIATION_NTAR,MATCH(B286,PT_DIFFERENTIATION_NTAR_ID,0))</f>
        <v/>
      </c>
      <c r="H286" s="1781"/>
      <c r="I286" s="1658"/>
      <c r="J286" s="1693"/>
      <c r="K286" s="1698"/>
      <c r="L286" s="1781" t="s">
        <v>480</v>
      </c>
      <c r="M286" s="263"/>
      <c r="N286" s="256"/>
      <c r="O286" s="1544"/>
      <c r="P286" s="1544"/>
    </row>
    <row r="287" spans="1:16" s="1555" customFormat="1" ht="18.75" hidden="1" customHeight="1">
      <c r="A287" s="1700"/>
      <c r="B287" s="1700"/>
      <c r="C287" s="293" t="s">
        <v>1373</v>
      </c>
      <c r="D287" s="7835"/>
      <c r="E287" s="7643"/>
      <c r="F287" s="7778"/>
      <c r="G287" s="7806"/>
      <c r="H287" s="1415"/>
      <c r="I287" s="569" t="s">
        <v>1372</v>
      </c>
      <c r="J287" s="494"/>
      <c r="K287" s="1415"/>
      <c r="L287" s="131"/>
      <c r="M287" s="263"/>
      <c r="N287" s="256"/>
      <c r="O287" s="1544"/>
      <c r="P287" s="1544"/>
    </row>
    <row r="288" spans="1:16" s="1555" customFormat="1" ht="0.75" customHeight="1">
      <c r="A288" s="1700"/>
      <c r="B288" s="1700"/>
      <c r="C288" s="293" t="s">
        <v>1380</v>
      </c>
      <c r="D288" s="7835"/>
      <c r="E288" s="7643"/>
      <c r="F288" s="7778"/>
      <c r="G288" s="329"/>
      <c r="H288" s="1415"/>
      <c r="I288" s="569"/>
      <c r="J288" s="494"/>
      <c r="K288" s="1415"/>
      <c r="L288" s="131"/>
      <c r="M288" s="263"/>
      <c r="N288" s="256"/>
      <c r="O288" s="1544"/>
      <c r="P288" s="1544"/>
    </row>
    <row r="289" spans="1:16" ht="26.25" customHeight="1">
      <c r="A289" s="1700"/>
      <c r="B289" s="1700"/>
      <c r="D289" s="300"/>
      <c r="E289" s="67" t="s">
        <v>111</v>
      </c>
      <c r="F289" s="783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89" s="7834"/>
      <c r="H289" s="7834"/>
      <c r="I289" s="7834"/>
      <c r="J289" s="7834"/>
      <c r="K289" s="7834"/>
      <c r="L289" s="7834"/>
      <c r="M289" s="211"/>
      <c r="N289" s="256"/>
    </row>
    <row r="290" spans="1:16" s="1555" customFormat="1" ht="60.75" hidden="1" customHeight="1">
      <c r="A290" s="1700" t="s">
        <v>263</v>
      </c>
      <c r="B290" s="1700" t="s">
        <v>264</v>
      </c>
      <c r="C290" s="293"/>
      <c r="D290" s="7835"/>
      <c r="E290" s="7643"/>
      <c r="F290" s="7778" t="str">
        <f>INDEX(PT_DIFFERENTIATION_VTAR,MATCH(A290,PT_DIFFERENTIATION_VTAR_ID,0))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90" s="7806" t="str">
        <f>INDEX(PT_DIFFERENTIATION_NTAR,MATCH(B290,PT_DIFFERENTIATION_NTAR_ID,0))</f>
        <v/>
      </c>
      <c r="H290" s="1781"/>
      <c r="I290" s="1658"/>
      <c r="J290" s="1693"/>
      <c r="K290" s="1698"/>
      <c r="L290" s="1781" t="s">
        <v>480</v>
      </c>
      <c r="M290" s="76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90" s="256"/>
      <c r="O290" s="1544"/>
      <c r="P290" s="1544"/>
    </row>
    <row r="291" spans="1:16" s="1555" customFormat="1" ht="18.75" hidden="1" customHeight="1">
      <c r="A291" s="1700"/>
      <c r="B291" s="1700"/>
      <c r="C291" s="293" t="s">
        <v>1373</v>
      </c>
      <c r="D291" s="7835"/>
      <c r="E291" s="7643"/>
      <c r="F291" s="7778"/>
      <c r="G291" s="7806"/>
      <c r="H291" s="1415"/>
      <c r="I291" s="569" t="s">
        <v>1372</v>
      </c>
      <c r="J291" s="494"/>
      <c r="K291" s="1415"/>
      <c r="L291" s="131"/>
      <c r="M291" s="7605"/>
      <c r="N291" s="256"/>
      <c r="O291" s="1544"/>
      <c r="P291" s="1544"/>
    </row>
    <row r="292" spans="1:16" s="1555" customFormat="1" ht="0.75" hidden="1" customHeight="1">
      <c r="A292" s="1700"/>
      <c r="B292" s="1700"/>
      <c r="C292" s="293" t="s">
        <v>1380</v>
      </c>
      <c r="D292" s="7835"/>
      <c r="E292" s="7643"/>
      <c r="F292" s="7778"/>
      <c r="G292" s="329"/>
      <c r="H292" s="1415"/>
      <c r="I292" s="569"/>
      <c r="J292" s="494"/>
      <c r="K292" s="1415"/>
      <c r="L292" s="131"/>
      <c r="M292" s="7605"/>
      <c r="N292" s="256"/>
      <c r="O292" s="1544"/>
      <c r="P292" s="1544"/>
    </row>
    <row r="293" spans="1:16" s="1555" customFormat="1" ht="45" hidden="1" customHeight="1">
      <c r="A293" s="1700" t="s">
        <v>269</v>
      </c>
      <c r="B293" s="1700" t="s">
        <v>270</v>
      </c>
      <c r="C293" s="293"/>
      <c r="D293" s="7835"/>
      <c r="E293" s="7643"/>
      <c r="F293" s="7778" t="str">
        <f>INDEX(PT_DIFFERENTIATION_VTAR,MATCH(A293,PT_DIFFERENTIATION_VTAR_ID,0))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93" s="7806" t="str">
        <f>INDEX(PT_DIFFERENTIATION_NTAR,MATCH(B293,PT_DIFFERENTIATION_NTAR_ID,0))</f>
        <v/>
      </c>
      <c r="H293" s="1781"/>
      <c r="I293" s="1658"/>
      <c r="J293" s="1693"/>
      <c r="K293" s="1698"/>
      <c r="L293" s="1781" t="s">
        <v>480</v>
      </c>
      <c r="M293" s="7606"/>
      <c r="N293" s="256"/>
      <c r="O293" s="1544"/>
      <c r="P293" s="1544"/>
    </row>
    <row r="294" spans="1:16" s="1555" customFormat="1" ht="18.75" hidden="1" customHeight="1">
      <c r="A294" s="1700"/>
      <c r="B294" s="1700"/>
      <c r="C294" s="293" t="s">
        <v>1373</v>
      </c>
      <c r="D294" s="7835"/>
      <c r="E294" s="7643"/>
      <c r="F294" s="7778"/>
      <c r="G294" s="7806"/>
      <c r="H294" s="1415"/>
      <c r="I294" s="569" t="s">
        <v>1372</v>
      </c>
      <c r="J294" s="494"/>
      <c r="K294" s="1415"/>
      <c r="L294" s="131"/>
      <c r="M294" s="1780"/>
      <c r="N294" s="256"/>
      <c r="O294" s="1544"/>
      <c r="P294" s="1544"/>
    </row>
    <row r="295" spans="1:16" s="1555" customFormat="1" ht="0.75" hidden="1" customHeight="1">
      <c r="A295" s="1700"/>
      <c r="B295" s="1700"/>
      <c r="C295" s="293" t="s">
        <v>1380</v>
      </c>
      <c r="D295" s="7835"/>
      <c r="E295" s="7643"/>
      <c r="F295" s="7778"/>
      <c r="G295" s="329"/>
      <c r="H295" s="1415"/>
      <c r="I295" s="569"/>
      <c r="J295" s="494"/>
      <c r="K295" s="1415"/>
      <c r="L295" s="131"/>
      <c r="M295" s="263"/>
      <c r="N295" s="256"/>
      <c r="O295" s="1544"/>
      <c r="P295" s="1544"/>
    </row>
    <row r="296" spans="1:16" s="1555" customFormat="1" ht="45" hidden="1" customHeight="1">
      <c r="A296" s="1700" t="s">
        <v>275</v>
      </c>
      <c r="B296" s="1700" t="s">
        <v>276</v>
      </c>
      <c r="C296" s="293"/>
      <c r="D296" s="7835"/>
      <c r="E296" s="7643"/>
      <c r="F296" s="7778" t="str">
        <f>INDEX(PT_DIFFERENTIATION_VTAR,MATCH(A296,PT_DIFFERENTIATION_VTAR_ID,0))</f>
        <v>Тарифы на теплоноситель, поставляемый теплоснабжающими организациями потребителям, другим теплоснабжающим организациям</v>
      </c>
      <c r="G296" s="7806" t="str">
        <f>INDEX(PT_DIFFERENTIATION_NTAR,MATCH(B296,PT_DIFFERENTIATION_NTAR_ID,0))</f>
        <v/>
      </c>
      <c r="H296" s="1781"/>
      <c r="I296" s="1658"/>
      <c r="J296" s="1693"/>
      <c r="K296" s="1698"/>
      <c r="L296" s="1781" t="s">
        <v>480</v>
      </c>
      <c r="M296" s="263"/>
      <c r="N296" s="256"/>
      <c r="O296" s="1544"/>
      <c r="P296" s="1544"/>
    </row>
    <row r="297" spans="1:16" s="1555" customFormat="1" ht="18.75" hidden="1" customHeight="1">
      <c r="A297" s="1700"/>
      <c r="B297" s="1700"/>
      <c r="C297" s="293" t="s">
        <v>1373</v>
      </c>
      <c r="D297" s="7835"/>
      <c r="E297" s="7643"/>
      <c r="F297" s="7778"/>
      <c r="G297" s="7806"/>
      <c r="H297" s="1415"/>
      <c r="I297" s="569" t="s">
        <v>1372</v>
      </c>
      <c r="J297" s="494"/>
      <c r="K297" s="1415"/>
      <c r="L297" s="131"/>
      <c r="M297" s="263"/>
      <c r="N297" s="256"/>
      <c r="O297" s="1544"/>
      <c r="P297" s="1544"/>
    </row>
    <row r="298" spans="1:16" s="1555" customFormat="1" ht="0.75" hidden="1" customHeight="1">
      <c r="A298" s="1700"/>
      <c r="B298" s="1700"/>
      <c r="C298" s="293" t="s">
        <v>1380</v>
      </c>
      <c r="D298" s="7835"/>
      <c r="E298" s="7643"/>
      <c r="F298" s="7778"/>
      <c r="G298" s="329"/>
      <c r="H298" s="1415"/>
      <c r="I298" s="569"/>
      <c r="J298" s="494"/>
      <c r="K298" s="1415"/>
      <c r="L298" s="131"/>
      <c r="M298" s="263"/>
      <c r="N298" s="256"/>
      <c r="O298" s="1544"/>
      <c r="P298" s="1544"/>
    </row>
    <row r="299" spans="1:16" s="1555" customFormat="1" ht="45" hidden="1" customHeight="1">
      <c r="A299" s="1700" t="s">
        <v>281</v>
      </c>
      <c r="B299" s="1700" t="s">
        <v>282</v>
      </c>
      <c r="C299" s="293"/>
      <c r="D299" s="7835"/>
      <c r="E299" s="7643"/>
      <c r="F299" s="7778" t="str">
        <f>INDEX(PT_DIFFERENTIATION_VTAR,MATCH(A299,PT_DIFFERENTIATION_VTAR_ID,0))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9" s="7806" t="str">
        <f>INDEX(PT_DIFFERENTIATION_NTAR,MATCH(B299,PT_DIFFERENTIATION_NTAR_ID,0))</f>
        <v/>
      </c>
      <c r="H299" s="1781"/>
      <c r="I299" s="1658"/>
      <c r="J299" s="1693"/>
      <c r="K299" s="1698"/>
      <c r="L299" s="1781" t="s">
        <v>480</v>
      </c>
      <c r="M299" s="263"/>
      <c r="N299" s="256"/>
      <c r="O299" s="1544"/>
      <c r="P299" s="1544"/>
    </row>
    <row r="300" spans="1:16" s="1555" customFormat="1" ht="18.75" hidden="1" customHeight="1">
      <c r="A300" s="1700"/>
      <c r="B300" s="1700"/>
      <c r="C300" s="293" t="s">
        <v>1373</v>
      </c>
      <c r="D300" s="7835"/>
      <c r="E300" s="7643"/>
      <c r="F300" s="7778"/>
      <c r="G300" s="7806"/>
      <c r="H300" s="1415"/>
      <c r="I300" s="569" t="s">
        <v>1372</v>
      </c>
      <c r="J300" s="494"/>
      <c r="K300" s="1415"/>
      <c r="L300" s="131"/>
      <c r="M300" s="263"/>
      <c r="N300" s="256"/>
      <c r="O300" s="1544"/>
      <c r="P300" s="1544"/>
    </row>
    <row r="301" spans="1:16" s="1555" customFormat="1" ht="0.75" hidden="1" customHeight="1">
      <c r="A301" s="1700"/>
      <c r="B301" s="1700"/>
      <c r="C301" s="293" t="s">
        <v>1380</v>
      </c>
      <c r="D301" s="7835"/>
      <c r="E301" s="7643"/>
      <c r="F301" s="7778"/>
      <c r="G301" s="329"/>
      <c r="H301" s="1415"/>
      <c r="I301" s="569"/>
      <c r="J301" s="494"/>
      <c r="K301" s="1415"/>
      <c r="L301" s="131"/>
      <c r="M301" s="263"/>
      <c r="N301" s="256"/>
      <c r="O301" s="1544"/>
      <c r="P301" s="1544"/>
    </row>
    <row r="302" spans="1:16" s="1555" customFormat="1" ht="18.75" hidden="1" customHeight="1">
      <c r="A302" s="1700" t="s">
        <v>287</v>
      </c>
      <c r="B302" s="1700" t="s">
        <v>288</v>
      </c>
      <c r="C302" s="293"/>
      <c r="D302" s="7835"/>
      <c r="E302" s="7643"/>
      <c r="F302" s="7778" t="str">
        <f>INDEX(PT_DIFFERENTIATION_VTAR,MATCH(A302,PT_DIFFERENTIATION_VTAR_ID,0))</f>
        <v>Тарифы на услуги по передаче тепловой энергии</v>
      </c>
      <c r="G302" s="7806" t="str">
        <f>INDEX(PT_DIFFERENTIATION_NTAR,MATCH(B302,PT_DIFFERENTIATION_NTAR_ID,0))</f>
        <v/>
      </c>
      <c r="H302" s="1781"/>
      <c r="I302" s="1658"/>
      <c r="J302" s="1693"/>
      <c r="K302" s="1698"/>
      <c r="L302" s="1781" t="s">
        <v>480</v>
      </c>
      <c r="M302" s="263"/>
      <c r="N302" s="256"/>
      <c r="O302" s="1544"/>
      <c r="P302" s="1544"/>
    </row>
    <row r="303" spans="1:16" s="1555" customFormat="1" ht="18.75" hidden="1" customHeight="1">
      <c r="A303" s="1700"/>
      <c r="B303" s="1700"/>
      <c r="C303" s="293" t="s">
        <v>1373</v>
      </c>
      <c r="D303" s="7835"/>
      <c r="E303" s="7643"/>
      <c r="F303" s="7778"/>
      <c r="G303" s="7806"/>
      <c r="H303" s="1415"/>
      <c r="I303" s="569" t="s">
        <v>1372</v>
      </c>
      <c r="J303" s="494"/>
      <c r="K303" s="1415"/>
      <c r="L303" s="131"/>
      <c r="M303" s="263"/>
      <c r="N303" s="256"/>
      <c r="O303" s="1544"/>
      <c r="P303" s="1544"/>
    </row>
    <row r="304" spans="1:16" s="1555" customFormat="1" ht="0.75" hidden="1" customHeight="1">
      <c r="A304" s="1700"/>
      <c r="B304" s="1700"/>
      <c r="C304" s="293" t="s">
        <v>1380</v>
      </c>
      <c r="D304" s="7835"/>
      <c r="E304" s="7643"/>
      <c r="F304" s="7778"/>
      <c r="G304" s="329"/>
      <c r="H304" s="1415"/>
      <c r="I304" s="569"/>
      <c r="J304" s="494"/>
      <c r="K304" s="1415"/>
      <c r="L304" s="131"/>
      <c r="M304" s="263"/>
      <c r="N304" s="256"/>
      <c r="O304" s="1544"/>
      <c r="P304" s="1544"/>
    </row>
    <row r="305" spans="1:16" s="1555" customFormat="1" ht="18.75" hidden="1" customHeight="1">
      <c r="A305" s="1700" t="s">
        <v>293</v>
      </c>
      <c r="B305" s="1700" t="s">
        <v>294</v>
      </c>
      <c r="C305" s="293"/>
      <c r="D305" s="7835"/>
      <c r="E305" s="7643"/>
      <c r="F305" s="7778" t="str">
        <f>INDEX(PT_DIFFERENTIATION_VTAR,MATCH(A305,PT_DIFFERENTIATION_VTAR_ID,0))</f>
        <v>Тарифы на услуги по передаче теплоносителя</v>
      </c>
      <c r="G305" s="7806" t="str">
        <f>INDEX(PT_DIFFERENTIATION_NTAR,MATCH(B305,PT_DIFFERENTIATION_NTAR_ID,0))</f>
        <v/>
      </c>
      <c r="H305" s="1781"/>
      <c r="I305" s="1658"/>
      <c r="J305" s="1693"/>
      <c r="K305" s="1698"/>
      <c r="L305" s="1781" t="s">
        <v>480</v>
      </c>
      <c r="M305" s="263"/>
      <c r="N305" s="256"/>
      <c r="O305" s="1544"/>
      <c r="P305" s="1544"/>
    </row>
    <row r="306" spans="1:16" s="1555" customFormat="1" ht="18.75" hidden="1" customHeight="1">
      <c r="A306" s="1700"/>
      <c r="B306" s="1700"/>
      <c r="C306" s="293" t="s">
        <v>1373</v>
      </c>
      <c r="D306" s="7835"/>
      <c r="E306" s="7643"/>
      <c r="F306" s="7778"/>
      <c r="G306" s="7806"/>
      <c r="H306" s="1415"/>
      <c r="I306" s="569" t="s">
        <v>1372</v>
      </c>
      <c r="J306" s="494"/>
      <c r="K306" s="1415"/>
      <c r="L306" s="131"/>
      <c r="M306" s="263"/>
      <c r="N306" s="256"/>
      <c r="O306" s="1544"/>
      <c r="P306" s="1544"/>
    </row>
    <row r="307" spans="1:16" s="1555" customFormat="1" ht="0.75" hidden="1" customHeight="1">
      <c r="A307" s="1700"/>
      <c r="B307" s="1700"/>
      <c r="C307" s="293" t="s">
        <v>1380</v>
      </c>
      <c r="D307" s="7835"/>
      <c r="E307" s="7643"/>
      <c r="F307" s="7778"/>
      <c r="G307" s="329"/>
      <c r="H307" s="1415"/>
      <c r="I307" s="569"/>
      <c r="J307" s="494"/>
      <c r="K307" s="1415"/>
      <c r="L307" s="131"/>
      <c r="M307" s="263"/>
      <c r="N307" s="256"/>
      <c r="O307" s="1544"/>
      <c r="P307" s="1544"/>
    </row>
    <row r="308" spans="1:16" s="1555" customFormat="1" ht="18.75" hidden="1" customHeight="1">
      <c r="A308" s="1700" t="s">
        <v>299</v>
      </c>
      <c r="B308" s="1700" t="s">
        <v>300</v>
      </c>
      <c r="C308" s="293"/>
      <c r="D308" s="7835"/>
      <c r="E308" s="7643"/>
      <c r="F308" s="7778" t="str">
        <f>INDEX(PT_DIFFERENTIATION_VTAR,MATCH(A308,PT_DIFFERENTIATION_VTAR_ID,0))</f>
        <v>Плата за услуги по поддержанию резервной тепловой мощности при отсутствии потребления тепловой энергии</v>
      </c>
      <c r="G308" s="7806" t="str">
        <f>INDEX(PT_DIFFERENTIATION_NTAR,MATCH(B308,PT_DIFFERENTIATION_NTAR_ID,0))</f>
        <v/>
      </c>
      <c r="H308" s="1781"/>
      <c r="I308" s="1658"/>
      <c r="J308" s="1693"/>
      <c r="K308" s="1698"/>
      <c r="L308" s="1781" t="s">
        <v>480</v>
      </c>
      <c r="M308" s="263"/>
      <c r="N308" s="256"/>
      <c r="O308" s="1544"/>
      <c r="P308" s="1544"/>
    </row>
    <row r="309" spans="1:16" s="1555" customFormat="1" ht="18.75" hidden="1" customHeight="1">
      <c r="A309" s="1700"/>
      <c r="B309" s="1700"/>
      <c r="C309" s="293" t="s">
        <v>1373</v>
      </c>
      <c r="D309" s="7835"/>
      <c r="E309" s="7643"/>
      <c r="F309" s="7778"/>
      <c r="G309" s="7806"/>
      <c r="H309" s="1415"/>
      <c r="I309" s="569" t="s">
        <v>1372</v>
      </c>
      <c r="J309" s="494"/>
      <c r="K309" s="1415"/>
      <c r="L309" s="131"/>
      <c r="M309" s="263"/>
      <c r="N309" s="256"/>
      <c r="O309" s="1544"/>
      <c r="P309" s="1544"/>
    </row>
    <row r="310" spans="1:16" s="1555" customFormat="1" ht="0.75" hidden="1" customHeight="1">
      <c r="A310" s="1700"/>
      <c r="B310" s="1700"/>
      <c r="C310" s="293" t="s">
        <v>1380</v>
      </c>
      <c r="D310" s="7835"/>
      <c r="E310" s="7643"/>
      <c r="F310" s="7778"/>
      <c r="G310" s="329"/>
      <c r="H310" s="1415"/>
      <c r="I310" s="569"/>
      <c r="J310" s="494"/>
      <c r="K310" s="1415"/>
      <c r="L310" s="131"/>
      <c r="M310" s="263"/>
      <c r="N310" s="256"/>
      <c r="O310" s="1544"/>
      <c r="P310" s="1544"/>
    </row>
    <row r="311" spans="1:16" s="1555" customFormat="1" ht="18.75" hidden="1" customHeight="1">
      <c r="A311" s="1700" t="s">
        <v>305</v>
      </c>
      <c r="B311" s="1700" t="s">
        <v>306</v>
      </c>
      <c r="C311" s="293"/>
      <c r="D311" s="7835"/>
      <c r="E311" s="7643"/>
      <c r="F311" s="7778" t="str">
        <f>INDEX(PT_DIFFERENTIATION_VTAR,MATCH(A311,PT_DIFFERENTIATION_VTAR_ID,0))</f>
        <v>Плата за подключение (технологическое присоединение) к системе теплоснабжения</v>
      </c>
      <c r="G311" s="7806" t="str">
        <f>INDEX(PT_DIFFERENTIATION_NTAR,MATCH(B311,PT_DIFFERENTIATION_NTAR_ID,0))</f>
        <v/>
      </c>
      <c r="H311" s="1781"/>
      <c r="I311" s="1658"/>
      <c r="J311" s="1693"/>
      <c r="K311" s="1698"/>
      <c r="L311" s="1781" t="s">
        <v>480</v>
      </c>
      <c r="M311" s="263"/>
      <c r="N311" s="256"/>
      <c r="O311" s="1544"/>
      <c r="P311" s="1544"/>
    </row>
    <row r="312" spans="1:16" s="1555" customFormat="1" ht="18.75" hidden="1" customHeight="1">
      <c r="A312" s="1700"/>
      <c r="B312" s="1700"/>
      <c r="C312" s="293" t="s">
        <v>1373</v>
      </c>
      <c r="D312" s="7835"/>
      <c r="E312" s="7643"/>
      <c r="F312" s="7778"/>
      <c r="G312" s="7806"/>
      <c r="H312" s="1415"/>
      <c r="I312" s="569" t="s">
        <v>1372</v>
      </c>
      <c r="J312" s="494"/>
      <c r="K312" s="1415"/>
      <c r="L312" s="131"/>
      <c r="M312" s="263"/>
      <c r="N312" s="256"/>
      <c r="O312" s="1544"/>
      <c r="P312" s="1544"/>
    </row>
    <row r="313" spans="1:16" s="1555" customFormat="1" ht="0.75" hidden="1" customHeight="1">
      <c r="A313" s="1700"/>
      <c r="B313" s="1700"/>
      <c r="C313" s="293" t="s">
        <v>1380</v>
      </c>
      <c r="D313" s="7835"/>
      <c r="E313" s="7643"/>
      <c r="F313" s="7778"/>
      <c r="G313" s="329"/>
      <c r="H313" s="1415"/>
      <c r="I313" s="569"/>
      <c r="J313" s="494"/>
      <c r="K313" s="1415"/>
      <c r="L313" s="131"/>
      <c r="M313" s="263"/>
      <c r="N313" s="256"/>
      <c r="O313" s="1544"/>
      <c r="P313" s="1544"/>
    </row>
    <row r="314" spans="1:16" s="1555" customFormat="1" ht="18.75" hidden="1" customHeight="1">
      <c r="A314" s="1700" t="s">
        <v>321</v>
      </c>
      <c r="B314" s="1700" t="s">
        <v>322</v>
      </c>
      <c r="C314" s="293"/>
      <c r="D314" s="7835"/>
      <c r="E314" s="7643"/>
      <c r="F314" s="7778" t="str">
        <f>INDEX(PT_DIFFERENTIATION_VTAR,MATCH(A314,PT_DIFFERENTIATION_VTAR_ID,0))</f>
        <v>Тариф на питьевую воду (питьевое водоснабжение)</v>
      </c>
      <c r="G314" s="7806" t="str">
        <f>INDEX(PT_DIFFERENTIATION_NTAR,MATCH(B314,PT_DIFFERENTIATION_NTAR_ID,0))</f>
        <v>Тарифы на питьевую воду для потребителей, осуществляющих деятельность в сфере теплоснабжения и электроснабжения на территории города Лермонтова</v>
      </c>
      <c r="H314" s="1781"/>
      <c r="I314" s="1658"/>
      <c r="J314" s="1693"/>
      <c r="K314" s="1698"/>
      <c r="L314" s="1781" t="s">
        <v>480</v>
      </c>
      <c r="M314" s="263"/>
      <c r="N314" s="256"/>
      <c r="O314" s="1544"/>
      <c r="P314" s="1544"/>
    </row>
    <row r="315" spans="1:16" s="1555" customFormat="1" ht="18.75" hidden="1" customHeight="1">
      <c r="A315" s="1700"/>
      <c r="B315" s="1700"/>
      <c r="C315" s="293" t="s">
        <v>1373</v>
      </c>
      <c r="D315" s="7835"/>
      <c r="E315" s="7643"/>
      <c r="F315" s="7778"/>
      <c r="G315" s="7806"/>
      <c r="H315" s="1415"/>
      <c r="I315" s="569" t="s">
        <v>1372</v>
      </c>
      <c r="J315" s="494"/>
      <c r="K315" s="1415"/>
      <c r="L315" s="131"/>
      <c r="M315" s="263"/>
      <c r="N315" s="256"/>
      <c r="O315" s="1544"/>
      <c r="P315" s="1544"/>
    </row>
    <row r="316" spans="1:16" s="1555" customFormat="1" ht="18.75" customHeight="1">
      <c r="A316" s="1742" t="s">
        <v>321</v>
      </c>
      <c r="B316" s="1742" t="s">
        <v>328</v>
      </c>
      <c r="C316" s="1607"/>
      <c r="D316" s="7836"/>
      <c r="E316" s="7837"/>
      <c r="F316" s="7837"/>
      <c r="G316" s="7806" t="str">
        <f>INDEX(PT_DIFFERENTIATION_NTAR,MATCH(B316,PT_DIFFERENTIATION_NTAR_ID,0))</f>
        <v>Тарифы на питьевую воду для потребителей Ставропольского края</v>
      </c>
      <c r="H316" s="1811"/>
      <c r="I316" s="1658"/>
      <c r="J316" s="1693"/>
      <c r="K316" s="1698"/>
      <c r="L316" s="1811" t="s">
        <v>480</v>
      </c>
      <c r="M316" s="1794"/>
      <c r="N316" s="537"/>
      <c r="O316" s="1544"/>
      <c r="P316" s="1544"/>
    </row>
    <row r="317" spans="1:16" s="1555" customFormat="1" ht="18.75" customHeight="1">
      <c r="A317" s="1742"/>
      <c r="B317" s="1742"/>
      <c r="C317" s="1607" t="s">
        <v>1373</v>
      </c>
      <c r="D317" s="7836"/>
      <c r="E317" s="7837"/>
      <c r="F317" s="7837"/>
      <c r="G317" s="7806"/>
      <c r="H317" s="7360"/>
      <c r="I317" s="7361" t="s">
        <v>1372</v>
      </c>
      <c r="J317" s="7362"/>
      <c r="K317" s="7363"/>
      <c r="L317" s="7364"/>
      <c r="M317" s="1794"/>
      <c r="N317" s="537"/>
      <c r="O317" s="1544"/>
      <c r="P317" s="1544"/>
    </row>
    <row r="318" spans="1:16" s="1555" customFormat="1" ht="18.75" customHeight="1">
      <c r="A318" s="1742" t="s">
        <v>321</v>
      </c>
      <c r="B318" s="1742" t="s">
        <v>333</v>
      </c>
      <c r="C318" s="1607"/>
      <c r="D318" s="7836"/>
      <c r="E318" s="7837"/>
      <c r="F318" s="7837"/>
      <c r="G318" s="7806" t="str">
        <f>INDEX(PT_DIFFERENTIATION_NTAR,MATCH(B318,PT_DIFFERENTIATION_NTAR_ID,0))</f>
        <v>Тарифы на питьевую воду для потребителей, присоединенных к централизованным системам водоснабжения села Калиновского Александровского муниципального округа</v>
      </c>
      <c r="H318" s="1811"/>
      <c r="I318" s="1658"/>
      <c r="J318" s="1693"/>
      <c r="K318" s="1698"/>
      <c r="L318" s="1811" t="s">
        <v>480</v>
      </c>
      <c r="M318" s="1794"/>
      <c r="N318" s="537"/>
      <c r="O318" s="1544"/>
      <c r="P318" s="1544"/>
    </row>
    <row r="319" spans="1:16" s="1555" customFormat="1" ht="18.75" customHeight="1">
      <c r="A319" s="1742"/>
      <c r="B319" s="1742"/>
      <c r="C319" s="1607" t="s">
        <v>1373</v>
      </c>
      <c r="D319" s="7836"/>
      <c r="E319" s="7837"/>
      <c r="F319" s="7837"/>
      <c r="G319" s="7806"/>
      <c r="H319" s="7365"/>
      <c r="I319" s="7366" t="s">
        <v>1372</v>
      </c>
      <c r="J319" s="7367"/>
      <c r="K319" s="7368"/>
      <c r="L319" s="7369"/>
      <c r="M319" s="1794"/>
      <c r="N319" s="537"/>
      <c r="O319" s="1544"/>
      <c r="P319" s="1544"/>
    </row>
    <row r="320" spans="1:16" s="1555" customFormat="1" ht="18.75" customHeight="1">
      <c r="A320" s="1742" t="s">
        <v>321</v>
      </c>
      <c r="B320" s="1742" t="s">
        <v>338</v>
      </c>
      <c r="C320" s="1607"/>
      <c r="D320" s="7836"/>
      <c r="E320" s="7837"/>
      <c r="F320" s="7837"/>
      <c r="G320" s="7806" t="str">
        <f>INDEX(PT_DIFFERENTIATION_NTAR,MATCH(B320,PT_DIFFERENTIATION_NTAR_ID,0))</f>
        <v>Тарифы на питьевую воду для потребителей, присоединенных к централизованным системам водоснабжения  поселка Малосадового, села Бургун-Маджары, поселка Кумская Долина и поселка Правокумского Левокумского муниципального округа</v>
      </c>
      <c r="H320" s="1811"/>
      <c r="I320" s="1658"/>
      <c r="J320" s="1693"/>
      <c r="K320" s="1698"/>
      <c r="L320" s="1811" t="s">
        <v>480</v>
      </c>
      <c r="M320" s="1794"/>
      <c r="N320" s="537"/>
      <c r="O320" s="1544"/>
      <c r="P320" s="1544"/>
    </row>
    <row r="321" spans="1:16" s="1555" customFormat="1" ht="18.75" customHeight="1">
      <c r="A321" s="1742"/>
      <c r="B321" s="1742"/>
      <c r="C321" s="1607" t="s">
        <v>1373</v>
      </c>
      <c r="D321" s="7836"/>
      <c r="E321" s="7837"/>
      <c r="F321" s="7837"/>
      <c r="G321" s="7806"/>
      <c r="H321" s="7370"/>
      <c r="I321" s="7371" t="s">
        <v>1372</v>
      </c>
      <c r="J321" s="7372"/>
      <c r="K321" s="7373"/>
      <c r="L321" s="7374"/>
      <c r="M321" s="1794"/>
      <c r="N321" s="537"/>
      <c r="O321" s="1544"/>
      <c r="P321" s="1544"/>
    </row>
    <row r="322" spans="1:16" s="1555" customFormat="1" ht="18.75" customHeight="1">
      <c r="A322" s="1742" t="s">
        <v>321</v>
      </c>
      <c r="B322" s="1742" t="s">
        <v>343</v>
      </c>
      <c r="C322" s="1607"/>
      <c r="D322" s="7836"/>
      <c r="E322" s="7837"/>
      <c r="F322" s="7837"/>
      <c r="G322" s="7806" t="str">
        <f>INDEX(PT_DIFFERENTIATION_NTAR,MATCH(B322,PT_DIFFERENTIATION_NTAR_ID,0))</f>
        <v xml:space="preserve">Тарифы на питьевую воду для потребителей, присоединенных к централизованным системам водоснабжения  села Николо-Александровского и поселка Ленинского Левокумского муниципального округа </v>
      </c>
      <c r="H322" s="1811"/>
      <c r="I322" s="1658"/>
      <c r="J322" s="1693"/>
      <c r="K322" s="1698"/>
      <c r="L322" s="1811" t="s">
        <v>480</v>
      </c>
      <c r="M322" s="1794"/>
      <c r="N322" s="537"/>
      <c r="O322" s="1544"/>
      <c r="P322" s="1544"/>
    </row>
    <row r="323" spans="1:16" s="1555" customFormat="1" ht="18.75" customHeight="1">
      <c r="A323" s="1742"/>
      <c r="B323" s="1742"/>
      <c r="C323" s="1607" t="s">
        <v>1373</v>
      </c>
      <c r="D323" s="7836"/>
      <c r="E323" s="7837"/>
      <c r="F323" s="7837"/>
      <c r="G323" s="7806"/>
      <c r="H323" s="7375"/>
      <c r="I323" s="7376" t="s">
        <v>1372</v>
      </c>
      <c r="J323" s="7377"/>
      <c r="K323" s="7378"/>
      <c r="L323" s="7379"/>
      <c r="M323" s="1794"/>
      <c r="N323" s="537"/>
      <c r="O323" s="1544"/>
      <c r="P323" s="1544"/>
    </row>
    <row r="324" spans="1:16" s="1555" customFormat="1" ht="18.75" customHeight="1">
      <c r="A324" s="1742" t="s">
        <v>321</v>
      </c>
      <c r="B324" s="1742" t="s">
        <v>348</v>
      </c>
      <c r="C324" s="1607"/>
      <c r="D324" s="7836"/>
      <c r="E324" s="7837"/>
      <c r="F324" s="7837"/>
      <c r="G324" s="7806" t="str">
        <f>INDEX(PT_DIFFERENTIATION_NTAR,MATCH(B324,PT_DIFFERENTIATION_NTAR_ID,0))</f>
        <v xml:space="preserve">Тарифы на питьевую воду для потребителей, присоединенных к централизованным системам водоснабжения хутора Андрей-Курган и поселка Левобалковского Нефтекумского муниципального округа </v>
      </c>
      <c r="H324" s="1811"/>
      <c r="I324" s="1658"/>
      <c r="J324" s="1693"/>
      <c r="K324" s="1698"/>
      <c r="L324" s="1811" t="s">
        <v>480</v>
      </c>
      <c r="M324" s="1794"/>
      <c r="N324" s="537"/>
      <c r="O324" s="1544"/>
      <c r="P324" s="1544"/>
    </row>
    <row r="325" spans="1:16" s="1555" customFormat="1" ht="18.75" customHeight="1">
      <c r="A325" s="1742"/>
      <c r="B325" s="1742"/>
      <c r="C325" s="1607" t="s">
        <v>1373</v>
      </c>
      <c r="D325" s="7836"/>
      <c r="E325" s="7837"/>
      <c r="F325" s="7837"/>
      <c r="G325" s="7806"/>
      <c r="H325" s="7380"/>
      <c r="I325" s="7381" t="s">
        <v>1372</v>
      </c>
      <c r="J325" s="7382"/>
      <c r="K325" s="7383"/>
      <c r="L325" s="7384"/>
      <c r="M325" s="1794"/>
      <c r="N325" s="537"/>
      <c r="O325" s="1544"/>
      <c r="P325" s="1544"/>
    </row>
    <row r="326" spans="1:16" s="1555" customFormat="1" ht="18.75" customHeight="1">
      <c r="A326" s="1742" t="s">
        <v>321</v>
      </c>
      <c r="B326" s="1742" t="s">
        <v>353</v>
      </c>
      <c r="C326" s="1607"/>
      <c r="D326" s="7836"/>
      <c r="E326" s="7837"/>
      <c r="F326" s="7837"/>
      <c r="G326" s="7806" t="str">
        <f>INDEX(PT_DIFFERENTIATION_NTAR,MATCH(B326,PT_DIFFERENTIATION_NTAR_ID,0))</f>
        <v xml:space="preserve">Тарифы на питьевую воду для потребителей, присоединенных к централизованным системам водоснабжения поселка Зункарь и аула Бейсей Нефтекумского муниципального округа </v>
      </c>
      <c r="H326" s="1811"/>
      <c r="I326" s="1658"/>
      <c r="J326" s="1693"/>
      <c r="K326" s="1698"/>
      <c r="L326" s="1811" t="s">
        <v>480</v>
      </c>
      <c r="M326" s="1794"/>
      <c r="N326" s="537"/>
      <c r="O326" s="1544"/>
      <c r="P326" s="1544"/>
    </row>
    <row r="327" spans="1:16" s="1555" customFormat="1" ht="18.75" customHeight="1">
      <c r="A327" s="1742"/>
      <c r="B327" s="1742"/>
      <c r="C327" s="1607" t="s">
        <v>1373</v>
      </c>
      <c r="D327" s="7836"/>
      <c r="E327" s="7837"/>
      <c r="F327" s="7837"/>
      <c r="G327" s="7806"/>
      <c r="H327" s="7385"/>
      <c r="I327" s="7386" t="s">
        <v>1372</v>
      </c>
      <c r="J327" s="7387"/>
      <c r="K327" s="7388"/>
      <c r="L327" s="7389"/>
      <c r="M327" s="1794"/>
      <c r="N327" s="537"/>
      <c r="O327" s="1544"/>
      <c r="P327" s="1544"/>
    </row>
    <row r="328" spans="1:16" s="1555" customFormat="1" ht="18.75" customHeight="1">
      <c r="A328" s="1742" t="s">
        <v>321</v>
      </c>
      <c r="B328" s="1742" t="s">
        <v>358</v>
      </c>
      <c r="C328" s="1607"/>
      <c r="D328" s="7836"/>
      <c r="E328" s="7837"/>
      <c r="F328" s="7837"/>
      <c r="G328" s="7806" t="str">
        <f>INDEX(PT_DIFFERENTIATION_NTAR,MATCH(B328,PT_DIFFERENTIATION_NTAR_ID,0))</f>
        <v xml:space="preserve">Тарифы на питьевую воду для потребителей, присоединенных к централизованным системам водоснабжения села Кара-Тюбе и аула Бияш Нефтекумского муниципального округа </v>
      </c>
      <c r="H328" s="1811"/>
      <c r="I328" s="1658"/>
      <c r="J328" s="1693"/>
      <c r="K328" s="1698"/>
      <c r="L328" s="1811" t="s">
        <v>480</v>
      </c>
      <c r="M328" s="1794"/>
      <c r="N328" s="537"/>
      <c r="O328" s="1544"/>
      <c r="P328" s="1544"/>
    </row>
    <row r="329" spans="1:16" s="1555" customFormat="1" ht="18.75" customHeight="1">
      <c r="A329" s="1742"/>
      <c r="B329" s="1742"/>
      <c r="C329" s="1607" t="s">
        <v>1373</v>
      </c>
      <c r="D329" s="7836"/>
      <c r="E329" s="7837"/>
      <c r="F329" s="7837"/>
      <c r="G329" s="7806"/>
      <c r="H329" s="7390"/>
      <c r="I329" s="7391" t="s">
        <v>1372</v>
      </c>
      <c r="J329" s="7392"/>
      <c r="K329" s="7393"/>
      <c r="L329" s="7394"/>
      <c r="M329" s="1794"/>
      <c r="N329" s="537"/>
      <c r="O329" s="1544"/>
      <c r="P329" s="1544"/>
    </row>
    <row r="330" spans="1:16" s="1555" customFormat="1" ht="18.75" customHeight="1">
      <c r="A330" s="1742" t="s">
        <v>321</v>
      </c>
      <c r="B330" s="1742" t="s">
        <v>363</v>
      </c>
      <c r="C330" s="1607"/>
      <c r="D330" s="7836"/>
      <c r="E330" s="7837"/>
      <c r="F330" s="7837"/>
      <c r="G330" s="7806" t="str">
        <f>INDEX(PT_DIFFERENTIATION_NTAR,MATCH(B330,PT_DIFFERENTIATION_NTAR_ID,0))</f>
        <v>Тарифы на питьевую воду для потребителей, присоединенных к централизованным системам водоснабжения поселка Горьковского, поселка Дружба, поселка Заречного и поселка Рассвет Новоалександровского муниципального округа</v>
      </c>
      <c r="H330" s="1811"/>
      <c r="I330" s="1658"/>
      <c r="J330" s="1693"/>
      <c r="K330" s="1698"/>
      <c r="L330" s="1811" t="s">
        <v>480</v>
      </c>
      <c r="M330" s="1794"/>
      <c r="N330" s="537"/>
      <c r="O330" s="1544"/>
      <c r="P330" s="1544"/>
    </row>
    <row r="331" spans="1:16" s="1555" customFormat="1" ht="18.75" customHeight="1">
      <c r="A331" s="1742"/>
      <c r="B331" s="1742"/>
      <c r="C331" s="1607" t="s">
        <v>1373</v>
      </c>
      <c r="D331" s="7836"/>
      <c r="E331" s="7837"/>
      <c r="F331" s="7837"/>
      <c r="G331" s="7806"/>
      <c r="H331" s="7395"/>
      <c r="I331" s="7396" t="s">
        <v>1372</v>
      </c>
      <c r="J331" s="7397"/>
      <c r="K331" s="7398"/>
      <c r="L331" s="7399"/>
      <c r="M331" s="1794"/>
      <c r="N331" s="537"/>
      <c r="O331" s="1544"/>
      <c r="P331" s="1544"/>
    </row>
    <row r="332" spans="1:16" s="1555" customFormat="1" ht="18.75" customHeight="1">
      <c r="A332" s="1742" t="s">
        <v>321</v>
      </c>
      <c r="B332" s="1742" t="s">
        <v>368</v>
      </c>
      <c r="C332" s="1607"/>
      <c r="D332" s="7836"/>
      <c r="E332" s="7837"/>
      <c r="F332" s="7837"/>
      <c r="G332" s="7806" t="str">
        <f>INDEX(PT_DIFFERENTIATION_NTAR,MATCH(B332,PT_DIFFERENTIATION_NTAR_ID,0))</f>
        <v>Тарифы на питьевую воду для потребителей, присоединенных к централизованным системам водоснабжения села Высоцкого, села Ореховки и хутора Казинки Петровского муниципального округа</v>
      </c>
      <c r="H332" s="1811"/>
      <c r="I332" s="1658"/>
      <c r="J332" s="1693"/>
      <c r="K332" s="1698"/>
      <c r="L332" s="1811" t="s">
        <v>480</v>
      </c>
      <c r="M332" s="1794"/>
      <c r="N332" s="537"/>
      <c r="O332" s="1544"/>
      <c r="P332" s="1544"/>
    </row>
    <row r="333" spans="1:16" s="1555" customFormat="1" ht="18.75" customHeight="1">
      <c r="A333" s="1742"/>
      <c r="B333" s="1742"/>
      <c r="C333" s="1607" t="s">
        <v>1373</v>
      </c>
      <c r="D333" s="7836"/>
      <c r="E333" s="7837"/>
      <c r="F333" s="7837"/>
      <c r="G333" s="7806"/>
      <c r="H333" s="7400"/>
      <c r="I333" s="7401" t="s">
        <v>1372</v>
      </c>
      <c r="J333" s="7402"/>
      <c r="K333" s="7403"/>
      <c r="L333" s="7404"/>
      <c r="M333" s="1794"/>
      <c r="N333" s="537"/>
      <c r="O333" s="1544"/>
      <c r="P333" s="1544"/>
    </row>
    <row r="334" spans="1:16" s="1555" customFormat="1" ht="18.75" customHeight="1">
      <c r="A334" s="1742" t="s">
        <v>321</v>
      </c>
      <c r="B334" s="1742" t="s">
        <v>373</v>
      </c>
      <c r="C334" s="1607"/>
      <c r="D334" s="7836"/>
      <c r="E334" s="7837"/>
      <c r="F334" s="7837"/>
      <c r="G334" s="7806" t="str">
        <f>INDEX(PT_DIFFERENTIATION_NTAR,MATCH(B334,PT_DIFFERENTIATION_NTAR_ID,0))</f>
        <v>Тарифы на питьевую воду для потребителей, присоединенных к централизованным системам водоснабжения села Гофицкого Петровского муниципального округа</v>
      </c>
      <c r="H334" s="1811"/>
      <c r="I334" s="1658"/>
      <c r="J334" s="1693"/>
      <c r="K334" s="1698"/>
      <c r="L334" s="1811" t="s">
        <v>480</v>
      </c>
      <c r="M334" s="1794"/>
      <c r="N334" s="537"/>
      <c r="O334" s="1544"/>
      <c r="P334" s="1544"/>
    </row>
    <row r="335" spans="1:16" s="1555" customFormat="1" ht="18.75" customHeight="1">
      <c r="A335" s="1742"/>
      <c r="B335" s="1742"/>
      <c r="C335" s="1607" t="s">
        <v>1373</v>
      </c>
      <c r="D335" s="7836"/>
      <c r="E335" s="7837"/>
      <c r="F335" s="7837"/>
      <c r="G335" s="7806"/>
      <c r="H335" s="7405"/>
      <c r="I335" s="7406" t="s">
        <v>1372</v>
      </c>
      <c r="J335" s="7407"/>
      <c r="K335" s="7408"/>
      <c r="L335" s="7409"/>
      <c r="M335" s="1794"/>
      <c r="N335" s="537"/>
      <c r="O335" s="1544"/>
      <c r="P335" s="1544"/>
    </row>
    <row r="336" spans="1:16" s="1555" customFormat="1" ht="18.75" customHeight="1">
      <c r="A336" s="1742" t="s">
        <v>321</v>
      </c>
      <c r="B336" s="1742" t="s">
        <v>378</v>
      </c>
      <c r="C336" s="1607"/>
      <c r="D336" s="7836"/>
      <c r="E336" s="7837"/>
      <c r="F336" s="7837"/>
      <c r="G336" s="7806" t="str">
        <f>INDEX(PT_DIFFERENTIATION_NTAR,MATCH(B336,PT_DIFFERENTIATION_NTAR_ID,0))</f>
        <v>Тарифы на питьевую воду для потребителей, присоединенных к централизованным системам водоснабжения села Донская Балка Петровского муниципального округа</v>
      </c>
      <c r="H336" s="1811"/>
      <c r="I336" s="1658"/>
      <c r="J336" s="1693"/>
      <c r="K336" s="1698"/>
      <c r="L336" s="1811" t="s">
        <v>480</v>
      </c>
      <c r="M336" s="1794"/>
      <c r="N336" s="537"/>
      <c r="O336" s="1544"/>
      <c r="P336" s="1544"/>
    </row>
    <row r="337" spans="1:16" s="1555" customFormat="1" ht="18.75" customHeight="1">
      <c r="A337" s="1742"/>
      <c r="B337" s="1742"/>
      <c r="C337" s="1607" t="s">
        <v>1373</v>
      </c>
      <c r="D337" s="7836"/>
      <c r="E337" s="7837"/>
      <c r="F337" s="7837"/>
      <c r="G337" s="7806"/>
      <c r="H337" s="7410"/>
      <c r="I337" s="7411" t="s">
        <v>1372</v>
      </c>
      <c r="J337" s="7412"/>
      <c r="K337" s="7413"/>
      <c r="L337" s="7414"/>
      <c r="M337" s="1794"/>
      <c r="N337" s="537"/>
      <c r="O337" s="1544"/>
      <c r="P337" s="1544"/>
    </row>
    <row r="338" spans="1:16" s="1555" customFormat="1" ht="18.75" customHeight="1">
      <c r="A338" s="1742" t="s">
        <v>321</v>
      </c>
      <c r="B338" s="1742" t="s">
        <v>383</v>
      </c>
      <c r="C338" s="1607"/>
      <c r="D338" s="7836"/>
      <c r="E338" s="7837"/>
      <c r="F338" s="7837"/>
      <c r="G338" s="7806" t="str">
        <f>INDEX(PT_DIFFERENTIATION_NTAR,MATCH(B338,PT_DIFFERENTIATION_NTAR_ID,0))</f>
        <v>Тарифы на питьевую воду для потребителей, присоединенных к централизованным системам водоснабжения села Константиновского и села Кугуты Петровского муниципального округа, ранее эксплуатируемым ГУП СК "Пчелка"</v>
      </c>
      <c r="H338" s="1811"/>
      <c r="I338" s="1658"/>
      <c r="J338" s="1693"/>
      <c r="K338" s="1698"/>
      <c r="L338" s="1811" t="s">
        <v>480</v>
      </c>
      <c r="M338" s="1794"/>
      <c r="N338" s="537"/>
      <c r="O338" s="1544"/>
      <c r="P338" s="1544"/>
    </row>
    <row r="339" spans="1:16" s="1555" customFormat="1" ht="18.75" customHeight="1">
      <c r="A339" s="1742"/>
      <c r="B339" s="1742"/>
      <c r="C339" s="1607" t="s">
        <v>1373</v>
      </c>
      <c r="D339" s="7836"/>
      <c r="E339" s="7837"/>
      <c r="F339" s="7837"/>
      <c r="G339" s="7806"/>
      <c r="H339" s="7415"/>
      <c r="I339" s="7416" t="s">
        <v>1372</v>
      </c>
      <c r="J339" s="7417"/>
      <c r="K339" s="7418"/>
      <c r="L339" s="7419"/>
      <c r="M339" s="1794"/>
      <c r="N339" s="537"/>
      <c r="O339" s="1544"/>
      <c r="P339" s="1544"/>
    </row>
    <row r="340" spans="1:16" s="1555" customFormat="1" ht="18.75" customHeight="1">
      <c r="A340" s="1742" t="s">
        <v>321</v>
      </c>
      <c r="B340" s="1742" t="s">
        <v>388</v>
      </c>
      <c r="C340" s="1607"/>
      <c r="D340" s="7836"/>
      <c r="E340" s="7837"/>
      <c r="F340" s="7837"/>
      <c r="G340" s="7806" t="str">
        <f>INDEX(PT_DIFFERENTIATION_NTAR,MATCH(B340,PT_DIFFERENTIATION_NTAR_ID,0))</f>
        <v>Тарифы на питьевую воду для потребителей, присоединенных к централизованным системам водоснабжения села Просянки Петровского муниципального округа</v>
      </c>
      <c r="H340" s="1811"/>
      <c r="I340" s="1658"/>
      <c r="J340" s="1693"/>
      <c r="K340" s="1698"/>
      <c r="L340" s="1811" t="s">
        <v>480</v>
      </c>
      <c r="M340" s="1794"/>
      <c r="N340" s="537"/>
      <c r="O340" s="1544"/>
      <c r="P340" s="1544"/>
    </row>
    <row r="341" spans="1:16" s="1555" customFormat="1" ht="18.75" customHeight="1">
      <c r="A341" s="1742"/>
      <c r="B341" s="1742"/>
      <c r="C341" s="1607" t="s">
        <v>1373</v>
      </c>
      <c r="D341" s="7836"/>
      <c r="E341" s="7837"/>
      <c r="F341" s="7837"/>
      <c r="G341" s="7806"/>
      <c r="H341" s="7420"/>
      <c r="I341" s="7421" t="s">
        <v>1372</v>
      </c>
      <c r="J341" s="7422"/>
      <c r="K341" s="7423"/>
      <c r="L341" s="7424"/>
      <c r="M341" s="1794"/>
      <c r="N341" s="537"/>
      <c r="O341" s="1544"/>
      <c r="P341" s="1544"/>
    </row>
    <row r="342" spans="1:16" s="1555" customFormat="1" ht="18.75" customHeight="1">
      <c r="A342" s="1742" t="s">
        <v>321</v>
      </c>
      <c r="B342" s="1742" t="s">
        <v>393</v>
      </c>
      <c r="C342" s="1607"/>
      <c r="D342" s="7836"/>
      <c r="E342" s="7837"/>
      <c r="F342" s="7837"/>
      <c r="G342" s="7806" t="str">
        <f>INDEX(PT_DIFFERENTIATION_NTAR,MATCH(B342,PT_DIFFERENTIATION_NTAR_ID,0))</f>
        <v>Тарифы на питьевую воду для потребителей, присоединенных к централизованным системам водоснабжения села Сухая Буйвола Петровского муниципального округа</v>
      </c>
      <c r="H342" s="1811"/>
      <c r="I342" s="1658"/>
      <c r="J342" s="1693"/>
      <c r="K342" s="1698"/>
      <c r="L342" s="1811" t="s">
        <v>480</v>
      </c>
      <c r="M342" s="1794"/>
      <c r="N342" s="537"/>
      <c r="O342" s="1544"/>
      <c r="P342" s="1544"/>
    </row>
    <row r="343" spans="1:16" s="1555" customFormat="1" ht="18.75" customHeight="1">
      <c r="A343" s="1742"/>
      <c r="B343" s="1742"/>
      <c r="C343" s="1607" t="s">
        <v>1373</v>
      </c>
      <c r="D343" s="7836"/>
      <c r="E343" s="7837"/>
      <c r="F343" s="7837"/>
      <c r="G343" s="7806"/>
      <c r="H343" s="7425"/>
      <c r="I343" s="7426" t="s">
        <v>1372</v>
      </c>
      <c r="J343" s="7427"/>
      <c r="K343" s="7428"/>
      <c r="L343" s="7429"/>
      <c r="M343" s="1794"/>
      <c r="N343" s="537"/>
      <c r="O343" s="1544"/>
      <c r="P343" s="1544"/>
    </row>
    <row r="344" spans="1:16" s="1555" customFormat="1" ht="18.75" customHeight="1">
      <c r="A344" s="1742" t="s">
        <v>321</v>
      </c>
      <c r="B344" s="1742" t="s">
        <v>398</v>
      </c>
      <c r="C344" s="1607"/>
      <c r="D344" s="7836"/>
      <c r="E344" s="7837"/>
      <c r="F344" s="7837"/>
      <c r="G344" s="7806" t="str">
        <f>INDEX(PT_DIFFERENTIATION_NTAR,MATCH(B344,PT_DIFFERENTIATION_NTAR_ID,0))</f>
        <v>Тарифы на питьевую воду для потребителей, присоединенных к централизованным системам водоснабжения "водозабор Юца", "станция Расшеватка", города Светлограда Петровского муниципального округа, города Георгиевска и села Краснокумского Георгиевского муниципального округа, ранее эксплуатируемым ОАО "РЖД"</v>
      </c>
      <c r="H344" s="1811"/>
      <c r="I344" s="1658"/>
      <c r="J344" s="1693"/>
      <c r="K344" s="1698"/>
      <c r="L344" s="1811" t="s">
        <v>480</v>
      </c>
      <c r="M344" s="1794"/>
      <c r="N344" s="537"/>
      <c r="O344" s="1544"/>
      <c r="P344" s="1544"/>
    </row>
    <row r="345" spans="1:16" s="1555" customFormat="1" ht="18.75" customHeight="1">
      <c r="A345" s="1742"/>
      <c r="B345" s="1742"/>
      <c r="C345" s="1607" t="s">
        <v>1373</v>
      </c>
      <c r="D345" s="7836"/>
      <c r="E345" s="7837"/>
      <c r="F345" s="7837"/>
      <c r="G345" s="7806"/>
      <c r="H345" s="7430"/>
      <c r="I345" s="7431" t="s">
        <v>1372</v>
      </c>
      <c r="J345" s="7432"/>
      <c r="K345" s="7433"/>
      <c r="L345" s="7434"/>
      <c r="M345" s="1794"/>
      <c r="N345" s="537"/>
      <c r="O345" s="1544"/>
      <c r="P345" s="1544"/>
    </row>
    <row r="346" spans="1:16" s="1555" customFormat="1" ht="0.75" hidden="1" customHeight="1">
      <c r="A346" s="1700"/>
      <c r="B346" s="1700"/>
      <c r="C346" s="293" t="s">
        <v>1380</v>
      </c>
      <c r="D346" s="7835"/>
      <c r="E346" s="7643"/>
      <c r="F346" s="7778"/>
      <c r="G346" s="329"/>
      <c r="H346" s="1415"/>
      <c r="I346" s="569"/>
      <c r="J346" s="494"/>
      <c r="K346" s="1415"/>
      <c r="L346" s="131"/>
      <c r="M346" s="263"/>
      <c r="N346" s="256"/>
      <c r="O346" s="1544"/>
      <c r="P346" s="1544"/>
    </row>
    <row r="347" spans="1:16" s="1555" customFormat="1" ht="18.75" hidden="1" customHeight="1">
      <c r="A347" s="1700" t="s">
        <v>404</v>
      </c>
      <c r="B347" s="1700" t="s">
        <v>405</v>
      </c>
      <c r="C347" s="293"/>
      <c r="D347" s="7835"/>
      <c r="E347" s="7643"/>
      <c r="F347" s="7778" t="str">
        <f>INDEX(PT_DIFFERENTIATION_VTAR,MATCH(A347,PT_DIFFERENTIATION_VTAR_ID,0))</f>
        <v>Тариф на техническую воду</v>
      </c>
      <c r="G347" s="7806" t="str">
        <f>INDEX(PT_DIFFERENTIATION_NTAR,MATCH(B347,PT_DIFFERENTIATION_NTAR_ID,0))</f>
        <v/>
      </c>
      <c r="H347" s="1781"/>
      <c r="I347" s="1658"/>
      <c r="J347" s="1693"/>
      <c r="K347" s="1698"/>
      <c r="L347" s="1781" t="s">
        <v>480</v>
      </c>
      <c r="M347" s="263"/>
      <c r="N347" s="256"/>
      <c r="O347" s="1544"/>
      <c r="P347" s="1544"/>
    </row>
    <row r="348" spans="1:16" s="1555" customFormat="1" ht="18.75" hidden="1" customHeight="1">
      <c r="A348" s="1700"/>
      <c r="B348" s="1700"/>
      <c r="C348" s="293" t="s">
        <v>1373</v>
      </c>
      <c r="D348" s="7835"/>
      <c r="E348" s="7643"/>
      <c r="F348" s="7778"/>
      <c r="G348" s="7806"/>
      <c r="H348" s="1415"/>
      <c r="I348" s="569" t="s">
        <v>1372</v>
      </c>
      <c r="J348" s="494"/>
      <c r="K348" s="1415"/>
      <c r="L348" s="131"/>
      <c r="M348" s="263"/>
      <c r="N348" s="256"/>
      <c r="O348" s="1544"/>
      <c r="P348" s="1544"/>
    </row>
    <row r="349" spans="1:16" s="1555" customFormat="1" ht="0.75" hidden="1" customHeight="1">
      <c r="A349" s="1700"/>
      <c r="B349" s="1700"/>
      <c r="C349" s="293" t="s">
        <v>1380</v>
      </c>
      <c r="D349" s="7835"/>
      <c r="E349" s="7643"/>
      <c r="F349" s="7778"/>
      <c r="G349" s="329"/>
      <c r="H349" s="1415"/>
      <c r="I349" s="569"/>
      <c r="J349" s="494"/>
      <c r="K349" s="1415"/>
      <c r="L349" s="131"/>
      <c r="M349" s="263"/>
      <c r="N349" s="256"/>
      <c r="O349" s="1544"/>
      <c r="P349" s="1544"/>
    </row>
    <row r="350" spans="1:16" s="1555" customFormat="1" ht="18.75" hidden="1" customHeight="1">
      <c r="A350" s="1700" t="s">
        <v>409</v>
      </c>
      <c r="B350" s="1700" t="s">
        <v>410</v>
      </c>
      <c r="C350" s="293"/>
      <c r="D350" s="7835"/>
      <c r="E350" s="7643"/>
      <c r="F350" s="7778" t="str">
        <f>INDEX(PT_DIFFERENTIATION_VTAR,MATCH(A350,PT_DIFFERENTIATION_VTAR_ID,0))</f>
        <v>Тариф на транспортировку воды</v>
      </c>
      <c r="G350" s="7806" t="str">
        <f>INDEX(PT_DIFFERENTIATION_NTAR,MATCH(B350,PT_DIFFERENTIATION_NTAR_ID,0))</f>
        <v/>
      </c>
      <c r="H350" s="1781"/>
      <c r="I350" s="1658"/>
      <c r="J350" s="1693"/>
      <c r="K350" s="1698"/>
      <c r="L350" s="1781" t="s">
        <v>480</v>
      </c>
      <c r="M350" s="263"/>
      <c r="N350" s="256"/>
      <c r="O350" s="1544"/>
      <c r="P350" s="1544"/>
    </row>
    <row r="351" spans="1:16" s="1555" customFormat="1" ht="18.75" hidden="1" customHeight="1">
      <c r="A351" s="1700"/>
      <c r="B351" s="1700"/>
      <c r="C351" s="293" t="s">
        <v>1373</v>
      </c>
      <c r="D351" s="7835"/>
      <c r="E351" s="7643"/>
      <c r="F351" s="7778"/>
      <c r="G351" s="7806"/>
      <c r="H351" s="1415"/>
      <c r="I351" s="569" t="s">
        <v>1372</v>
      </c>
      <c r="J351" s="494"/>
      <c r="K351" s="1415"/>
      <c r="L351" s="131"/>
      <c r="M351" s="263"/>
      <c r="N351" s="256"/>
      <c r="O351" s="1544"/>
      <c r="P351" s="1544"/>
    </row>
    <row r="352" spans="1:16" s="1555" customFormat="1" ht="0.75" hidden="1" customHeight="1">
      <c r="A352" s="1700"/>
      <c r="B352" s="1700"/>
      <c r="C352" s="293" t="s">
        <v>1380</v>
      </c>
      <c r="D352" s="7835"/>
      <c r="E352" s="7643"/>
      <c r="F352" s="7778"/>
      <c r="G352" s="329"/>
      <c r="H352" s="1415"/>
      <c r="I352" s="569"/>
      <c r="J352" s="494"/>
      <c r="K352" s="1415"/>
      <c r="L352" s="131"/>
      <c r="M352" s="263"/>
      <c r="N352" s="256"/>
      <c r="O352" s="1544"/>
      <c r="P352" s="1544"/>
    </row>
    <row r="353" spans="1:16" s="1555" customFormat="1" ht="18.75" hidden="1" customHeight="1">
      <c r="A353" s="1700" t="s">
        <v>414</v>
      </c>
      <c r="B353" s="1700" t="s">
        <v>415</v>
      </c>
      <c r="C353" s="293"/>
      <c r="D353" s="7835"/>
      <c r="E353" s="7643"/>
      <c r="F353" s="7778" t="str">
        <f>INDEX(PT_DIFFERENTIATION_VTAR,MATCH(A353,PT_DIFFERENTIATION_VTAR_ID,0))</f>
        <v>Тариф на подвоз воды</v>
      </c>
      <c r="G353" s="7806" t="str">
        <f>INDEX(PT_DIFFERENTIATION_NTAR,MATCH(B353,PT_DIFFERENTIATION_NTAR_ID,0))</f>
        <v/>
      </c>
      <c r="H353" s="1781"/>
      <c r="I353" s="1658"/>
      <c r="J353" s="1693"/>
      <c r="K353" s="1698"/>
      <c r="L353" s="1781" t="s">
        <v>480</v>
      </c>
      <c r="M353" s="263"/>
      <c r="N353" s="256"/>
      <c r="O353" s="1544"/>
      <c r="P353" s="1544"/>
    </row>
    <row r="354" spans="1:16" s="1555" customFormat="1" ht="18.75" hidden="1" customHeight="1">
      <c r="A354" s="1700"/>
      <c r="B354" s="1700"/>
      <c r="C354" s="293" t="s">
        <v>1373</v>
      </c>
      <c r="D354" s="7835"/>
      <c r="E354" s="7643"/>
      <c r="F354" s="7778"/>
      <c r="G354" s="7806"/>
      <c r="H354" s="1415"/>
      <c r="I354" s="569" t="s">
        <v>1372</v>
      </c>
      <c r="J354" s="494"/>
      <c r="K354" s="1415"/>
      <c r="L354" s="131"/>
      <c r="M354" s="263"/>
      <c r="N354" s="256"/>
      <c r="O354" s="1544"/>
      <c r="P354" s="1544"/>
    </row>
    <row r="355" spans="1:16" s="1555" customFormat="1" ht="0.75" hidden="1" customHeight="1">
      <c r="A355" s="1700"/>
      <c r="B355" s="1700"/>
      <c r="C355" s="293" t="s">
        <v>1380</v>
      </c>
      <c r="D355" s="7835"/>
      <c r="E355" s="7643"/>
      <c r="F355" s="7778"/>
      <c r="G355" s="329"/>
      <c r="H355" s="1415"/>
      <c r="I355" s="569"/>
      <c r="J355" s="494"/>
      <c r="K355" s="1415"/>
      <c r="L355" s="131"/>
      <c r="M355" s="263"/>
      <c r="N355" s="256"/>
      <c r="O355" s="1544"/>
      <c r="P355" s="1544"/>
    </row>
    <row r="356" spans="1:16" s="1555" customFormat="1" ht="18.75" hidden="1" customHeight="1">
      <c r="A356" s="1700" t="s">
        <v>419</v>
      </c>
      <c r="B356" s="1700" t="s">
        <v>420</v>
      </c>
      <c r="C356" s="293"/>
      <c r="D356" s="7835"/>
      <c r="E356" s="7643"/>
      <c r="F356" s="7778" t="str">
        <f>INDEX(PT_DIFFERENTIATION_VTAR,MATCH(A356,PT_DIFFERENTIATION_VTAR_ID,0))</f>
        <v>Тариф на подключение (технологическое присоединение) к централизованной системе холодного водоснабжения</v>
      </c>
      <c r="G356" s="7806" t="str">
        <f>INDEX(PT_DIFFERENTIATION_NTAR,MATCH(B356,PT_DIFFERENTIATION_NTAR_ID,0))</f>
        <v/>
      </c>
      <c r="H356" s="1781"/>
      <c r="I356" s="1658"/>
      <c r="J356" s="1693"/>
      <c r="K356" s="1698"/>
      <c r="L356" s="1781" t="s">
        <v>480</v>
      </c>
      <c r="M356" s="263"/>
      <c r="N356" s="256"/>
      <c r="O356" s="1544"/>
      <c r="P356" s="1544"/>
    </row>
    <row r="357" spans="1:16" s="1555" customFormat="1" ht="18.75" hidden="1" customHeight="1">
      <c r="A357" s="1700"/>
      <c r="B357" s="1700"/>
      <c r="C357" s="293" t="s">
        <v>1373</v>
      </c>
      <c r="D357" s="7835"/>
      <c r="E357" s="7643"/>
      <c r="F357" s="7778"/>
      <c r="G357" s="7806"/>
      <c r="H357" s="1415"/>
      <c r="I357" s="569" t="s">
        <v>1372</v>
      </c>
      <c r="J357" s="494"/>
      <c r="K357" s="1415"/>
      <c r="L357" s="131"/>
      <c r="M357" s="263"/>
      <c r="N357" s="256"/>
      <c r="O357" s="1544"/>
      <c r="P357" s="1544"/>
    </row>
    <row r="358" spans="1:16" s="1555" customFormat="1" ht="0.75" hidden="1" customHeight="1">
      <c r="A358" s="1700"/>
      <c r="B358" s="1700"/>
      <c r="C358" s="293" t="s">
        <v>1380</v>
      </c>
      <c r="D358" s="7835"/>
      <c r="E358" s="7643"/>
      <c r="F358" s="7778"/>
      <c r="G358" s="329"/>
      <c r="H358" s="1415"/>
      <c r="I358" s="569"/>
      <c r="J358" s="494"/>
      <c r="K358" s="1415"/>
      <c r="L358" s="131"/>
      <c r="M358" s="263"/>
      <c r="N358" s="256"/>
      <c r="O358" s="1544"/>
      <c r="P358" s="1544"/>
    </row>
    <row r="359" spans="1:16" s="1555" customFormat="1" ht="18.75" hidden="1" customHeight="1">
      <c r="A359" s="1700" t="s">
        <v>424</v>
      </c>
      <c r="B359" s="1700" t="s">
        <v>425</v>
      </c>
      <c r="C359" s="293"/>
      <c r="D359" s="7835"/>
      <c r="E359" s="7643"/>
      <c r="F359" s="7778" t="str">
        <f>INDEX(PT_DIFFERENTIATION_VTAR,MATCH(A359,PT_DIFFERENTIATION_VTAR_ID,0))</f>
        <v>Тариф на горячую воду (горячее водоснабжение)</v>
      </c>
      <c r="G359" s="7806" t="str">
        <f>INDEX(PT_DIFFERENTIATION_NTAR,MATCH(B359,PT_DIFFERENTIATION_NTAR_ID,0))</f>
        <v/>
      </c>
      <c r="H359" s="1781"/>
      <c r="I359" s="1658"/>
      <c r="J359" s="1693"/>
      <c r="K359" s="1698"/>
      <c r="L359" s="1781" t="s">
        <v>480</v>
      </c>
      <c r="M359" s="263"/>
      <c r="N359" s="256"/>
      <c r="O359" s="1544"/>
      <c r="P359" s="1544"/>
    </row>
    <row r="360" spans="1:16" s="1555" customFormat="1" ht="18.75" hidden="1" customHeight="1">
      <c r="A360" s="1700"/>
      <c r="B360" s="1700"/>
      <c r="C360" s="293" t="s">
        <v>1373</v>
      </c>
      <c r="D360" s="7835"/>
      <c r="E360" s="7643"/>
      <c r="F360" s="7778"/>
      <c r="G360" s="7806"/>
      <c r="H360" s="1415"/>
      <c r="I360" s="569" t="s">
        <v>1372</v>
      </c>
      <c r="J360" s="494"/>
      <c r="K360" s="1415"/>
      <c r="L360" s="131"/>
      <c r="M360" s="263"/>
      <c r="N360" s="256"/>
      <c r="O360" s="1544"/>
      <c r="P360" s="1544"/>
    </row>
    <row r="361" spans="1:16" s="1555" customFormat="1" ht="0.75" hidden="1" customHeight="1">
      <c r="A361" s="1700"/>
      <c r="B361" s="1700"/>
      <c r="C361" s="293" t="s">
        <v>1380</v>
      </c>
      <c r="D361" s="7835"/>
      <c r="E361" s="7643"/>
      <c r="F361" s="7778"/>
      <c r="G361" s="329"/>
      <c r="H361" s="1415"/>
      <c r="I361" s="569"/>
      <c r="J361" s="494"/>
      <c r="K361" s="1415"/>
      <c r="L361" s="131"/>
      <c r="M361" s="263"/>
      <c r="N361" s="256"/>
      <c r="O361" s="1544"/>
      <c r="P361" s="1544"/>
    </row>
    <row r="362" spans="1:16" s="1555" customFormat="1" ht="18.75" hidden="1" customHeight="1">
      <c r="A362" s="1700" t="s">
        <v>429</v>
      </c>
      <c r="B362" s="1700" t="s">
        <v>430</v>
      </c>
      <c r="C362" s="293"/>
      <c r="D362" s="7835"/>
      <c r="E362" s="7643"/>
      <c r="F362" s="7778" t="str">
        <f>INDEX(PT_DIFFERENTIATION_VTAR,MATCH(A362,PT_DIFFERENTIATION_VTAR_ID,0))</f>
        <v>Тариф на транспортировку горячей воды</v>
      </c>
      <c r="G362" s="7806" t="str">
        <f>INDEX(PT_DIFFERENTIATION_NTAR,MATCH(B362,PT_DIFFERENTIATION_NTAR_ID,0))</f>
        <v/>
      </c>
      <c r="H362" s="1781"/>
      <c r="I362" s="1658"/>
      <c r="J362" s="1693"/>
      <c r="K362" s="1698"/>
      <c r="L362" s="1781" t="s">
        <v>480</v>
      </c>
      <c r="M362" s="263"/>
      <c r="N362" s="256"/>
      <c r="O362" s="1544"/>
      <c r="P362" s="1544"/>
    </row>
    <row r="363" spans="1:16" s="1555" customFormat="1" ht="18.75" hidden="1" customHeight="1">
      <c r="A363" s="1700"/>
      <c r="B363" s="1700"/>
      <c r="C363" s="293" t="s">
        <v>1373</v>
      </c>
      <c r="D363" s="7835"/>
      <c r="E363" s="7643"/>
      <c r="F363" s="7778"/>
      <c r="G363" s="7806"/>
      <c r="H363" s="1415"/>
      <c r="I363" s="569" t="s">
        <v>1372</v>
      </c>
      <c r="J363" s="494"/>
      <c r="K363" s="1415"/>
      <c r="L363" s="131"/>
      <c r="M363" s="263"/>
      <c r="N363" s="256"/>
      <c r="O363" s="1544"/>
      <c r="P363" s="1544"/>
    </row>
    <row r="364" spans="1:16" s="1555" customFormat="1" ht="0.75" hidden="1" customHeight="1">
      <c r="A364" s="1700"/>
      <c r="B364" s="1700"/>
      <c r="C364" s="293" t="s">
        <v>1380</v>
      </c>
      <c r="D364" s="7835"/>
      <c r="E364" s="7643"/>
      <c r="F364" s="7778"/>
      <c r="G364" s="329"/>
      <c r="H364" s="1415"/>
      <c r="I364" s="569"/>
      <c r="J364" s="494"/>
      <c r="K364" s="1415"/>
      <c r="L364" s="131"/>
      <c r="M364" s="263"/>
      <c r="N364" s="256"/>
      <c r="O364" s="1544"/>
      <c r="P364" s="1544"/>
    </row>
    <row r="365" spans="1:16" s="1555" customFormat="1" ht="18.75" hidden="1" customHeight="1">
      <c r="A365" s="1700" t="s">
        <v>434</v>
      </c>
      <c r="B365" s="1700" t="s">
        <v>435</v>
      </c>
      <c r="C365" s="293"/>
      <c r="D365" s="7835"/>
      <c r="E365" s="7643"/>
      <c r="F365" s="7778" t="str">
        <f>INDEX(PT_DIFFERENTIATION_VTAR,MATCH(A365,PT_DIFFERENTIATION_VTAR_ID,0))</f>
        <v>Тариф на подключение (технологическое присоединение) к централизованной системе горячего водоснабжения</v>
      </c>
      <c r="G365" s="7806" t="str">
        <f>INDEX(PT_DIFFERENTIATION_NTAR,MATCH(B365,PT_DIFFERENTIATION_NTAR_ID,0))</f>
        <v/>
      </c>
      <c r="H365" s="1781"/>
      <c r="I365" s="1658"/>
      <c r="J365" s="1693"/>
      <c r="K365" s="1698"/>
      <c r="L365" s="1781" t="s">
        <v>480</v>
      </c>
      <c r="M365" s="263"/>
      <c r="N365" s="256"/>
      <c r="O365" s="1544"/>
      <c r="P365" s="1544"/>
    </row>
    <row r="366" spans="1:16" s="1555" customFormat="1" ht="18.75" hidden="1" customHeight="1">
      <c r="A366" s="1700"/>
      <c r="B366" s="1700"/>
      <c r="C366" s="293" t="s">
        <v>1373</v>
      </c>
      <c r="D366" s="7835"/>
      <c r="E366" s="7643"/>
      <c r="F366" s="7778"/>
      <c r="G366" s="7806"/>
      <c r="H366" s="1415"/>
      <c r="I366" s="569" t="s">
        <v>1372</v>
      </c>
      <c r="J366" s="494"/>
      <c r="K366" s="1415"/>
      <c r="L366" s="131"/>
      <c r="M366" s="263"/>
      <c r="N366" s="256"/>
      <c r="O366" s="1544"/>
      <c r="P366" s="1544"/>
    </row>
    <row r="367" spans="1:16" s="1555" customFormat="1" ht="0.75" hidden="1" customHeight="1">
      <c r="A367" s="1700"/>
      <c r="B367" s="1700"/>
      <c r="C367" s="293" t="s">
        <v>1380</v>
      </c>
      <c r="D367" s="7835"/>
      <c r="E367" s="7643"/>
      <c r="F367" s="7778"/>
      <c r="G367" s="329"/>
      <c r="H367" s="1415"/>
      <c r="I367" s="569"/>
      <c r="J367" s="494"/>
      <c r="K367" s="1415"/>
      <c r="L367" s="131"/>
      <c r="M367" s="263"/>
      <c r="N367" s="256"/>
      <c r="O367" s="1544"/>
      <c r="P367" s="1544"/>
    </row>
    <row r="368" spans="1:16" s="1555" customFormat="1" ht="18.75" hidden="1" customHeight="1">
      <c r="A368" s="1700" t="s">
        <v>439</v>
      </c>
      <c r="B368" s="1700" t="s">
        <v>440</v>
      </c>
      <c r="C368" s="293"/>
      <c r="D368" s="7835"/>
      <c r="E368" s="7643"/>
      <c r="F368" s="7778" t="str">
        <f>INDEX(PT_DIFFERENTIATION_VTAR,MATCH(A368,PT_DIFFERENTIATION_VTAR_ID,0))</f>
        <v>Тариф на водоотведение</v>
      </c>
      <c r="G368" s="7806" t="str">
        <f>INDEX(PT_DIFFERENTIATION_NTAR,MATCH(B368,PT_DIFFERENTIATION_NTAR_ID,0))</f>
        <v/>
      </c>
      <c r="H368" s="1781"/>
      <c r="I368" s="1658"/>
      <c r="J368" s="1693"/>
      <c r="K368" s="1698"/>
      <c r="L368" s="1781" t="s">
        <v>480</v>
      </c>
      <c r="M368" s="263"/>
      <c r="N368" s="256"/>
      <c r="O368" s="1544"/>
      <c r="P368" s="1544"/>
    </row>
    <row r="369" spans="1:16" s="1555" customFormat="1" ht="18.75" hidden="1" customHeight="1">
      <c r="A369" s="1700"/>
      <c r="B369" s="1700"/>
      <c r="C369" s="293" t="s">
        <v>1373</v>
      </c>
      <c r="D369" s="7835"/>
      <c r="E369" s="7643"/>
      <c r="F369" s="7778"/>
      <c r="G369" s="7806"/>
      <c r="H369" s="1415"/>
      <c r="I369" s="569" t="s">
        <v>1372</v>
      </c>
      <c r="J369" s="494"/>
      <c r="K369" s="1415"/>
      <c r="L369" s="131"/>
      <c r="M369" s="263"/>
      <c r="N369" s="256"/>
      <c r="O369" s="1544"/>
      <c r="P369" s="1544"/>
    </row>
    <row r="370" spans="1:16" s="1555" customFormat="1" ht="0.75" hidden="1" customHeight="1">
      <c r="A370" s="1700"/>
      <c r="B370" s="1700"/>
      <c r="C370" s="293" t="s">
        <v>1380</v>
      </c>
      <c r="D370" s="7835"/>
      <c r="E370" s="7643"/>
      <c r="F370" s="7778"/>
      <c r="G370" s="329"/>
      <c r="H370" s="1415"/>
      <c r="I370" s="569"/>
      <c r="J370" s="494"/>
      <c r="K370" s="1415"/>
      <c r="L370" s="131"/>
      <c r="M370" s="263"/>
      <c r="N370" s="256"/>
      <c r="O370" s="1544"/>
      <c r="P370" s="1544"/>
    </row>
    <row r="371" spans="1:16" s="1555" customFormat="1" ht="18.75" hidden="1" customHeight="1">
      <c r="A371" s="1700" t="s">
        <v>444</v>
      </c>
      <c r="B371" s="1700" t="s">
        <v>445</v>
      </c>
      <c r="C371" s="293"/>
      <c r="D371" s="7835"/>
      <c r="E371" s="7643"/>
      <c r="F371" s="7778" t="str">
        <f>INDEX(PT_DIFFERENTIATION_VTAR,MATCH(A371,PT_DIFFERENTIATION_VTAR_ID,0))</f>
        <v>Тариф на транспортировку сточных вод</v>
      </c>
      <c r="G371" s="7806" t="str">
        <f>INDEX(PT_DIFFERENTIATION_NTAR,MATCH(B371,PT_DIFFERENTIATION_NTAR_ID,0))</f>
        <v/>
      </c>
      <c r="H371" s="1781"/>
      <c r="I371" s="1658"/>
      <c r="J371" s="1693"/>
      <c r="K371" s="1698"/>
      <c r="L371" s="1781" t="s">
        <v>480</v>
      </c>
      <c r="M371" s="263"/>
      <c r="N371" s="256"/>
      <c r="O371" s="1544"/>
      <c r="P371" s="1544"/>
    </row>
    <row r="372" spans="1:16" s="1555" customFormat="1" ht="18.75" hidden="1" customHeight="1">
      <c r="A372" s="1700"/>
      <c r="B372" s="1700"/>
      <c r="C372" s="293" t="s">
        <v>1373</v>
      </c>
      <c r="D372" s="7835"/>
      <c r="E372" s="7643"/>
      <c r="F372" s="7778"/>
      <c r="G372" s="7806"/>
      <c r="H372" s="1415"/>
      <c r="I372" s="569" t="s">
        <v>1372</v>
      </c>
      <c r="J372" s="494"/>
      <c r="K372" s="1415"/>
      <c r="L372" s="131"/>
      <c r="M372" s="263"/>
      <c r="N372" s="256"/>
      <c r="O372" s="1544"/>
      <c r="P372" s="1544"/>
    </row>
    <row r="373" spans="1:16" s="1555" customFormat="1" ht="0.75" hidden="1" customHeight="1">
      <c r="A373" s="1700"/>
      <c r="B373" s="1700"/>
      <c r="C373" s="293" t="s">
        <v>1380</v>
      </c>
      <c r="D373" s="7835"/>
      <c r="E373" s="7643"/>
      <c r="F373" s="7778"/>
      <c r="G373" s="329"/>
      <c r="H373" s="1415"/>
      <c r="I373" s="569"/>
      <c r="J373" s="494"/>
      <c r="K373" s="1415"/>
      <c r="L373" s="131"/>
      <c r="M373" s="263"/>
      <c r="N373" s="256"/>
      <c r="O373" s="1544"/>
      <c r="P373" s="1544"/>
    </row>
    <row r="374" spans="1:16" s="1555" customFormat="1" ht="18.75" hidden="1" customHeight="1">
      <c r="A374" s="1700" t="s">
        <v>449</v>
      </c>
      <c r="B374" s="1700" t="s">
        <v>450</v>
      </c>
      <c r="C374" s="293"/>
      <c r="D374" s="7835"/>
      <c r="E374" s="7643"/>
      <c r="F374" s="7778" t="str">
        <f>INDEX(PT_DIFFERENTIATION_VTAR,MATCH(A374,PT_DIFFERENTIATION_VTAR_ID,0))</f>
        <v>Тариф на подключение (технологическое присоединение) к централизованной системе водоотведения</v>
      </c>
      <c r="G374" s="7806" t="str">
        <f>INDEX(PT_DIFFERENTIATION_NTAR,MATCH(B374,PT_DIFFERENTIATION_NTAR_ID,0))</f>
        <v/>
      </c>
      <c r="H374" s="1781"/>
      <c r="I374" s="1658"/>
      <c r="J374" s="1693"/>
      <c r="K374" s="1698"/>
      <c r="L374" s="1781" t="s">
        <v>480</v>
      </c>
      <c r="M374" s="263"/>
      <c r="N374" s="256"/>
      <c r="O374" s="1544"/>
      <c r="P374" s="1544"/>
    </row>
    <row r="375" spans="1:16" s="1555" customFormat="1" ht="18.75" hidden="1" customHeight="1">
      <c r="A375" s="1700"/>
      <c r="B375" s="1700"/>
      <c r="C375" s="293" t="s">
        <v>1373</v>
      </c>
      <c r="D375" s="7835"/>
      <c r="E375" s="7643"/>
      <c r="F375" s="7778"/>
      <c r="G375" s="7806"/>
      <c r="H375" s="1415"/>
      <c r="I375" s="569" t="s">
        <v>1372</v>
      </c>
      <c r="J375" s="494"/>
      <c r="K375" s="1415"/>
      <c r="L375" s="131"/>
      <c r="M375" s="263"/>
      <c r="N375" s="256"/>
      <c r="O375" s="1544"/>
      <c r="P375" s="1544"/>
    </row>
    <row r="376" spans="1:16" s="1555" customFormat="1" ht="0.75" customHeight="1">
      <c r="A376" s="1700"/>
      <c r="B376" s="1700"/>
      <c r="C376" s="293" t="s">
        <v>1380</v>
      </c>
      <c r="D376" s="7835"/>
      <c r="E376" s="7643"/>
      <c r="F376" s="7778"/>
      <c r="G376" s="329"/>
      <c r="H376" s="1415"/>
      <c r="I376" s="569"/>
      <c r="J376" s="494"/>
      <c r="K376" s="1415"/>
      <c r="L376" s="131"/>
      <c r="M376" s="263"/>
      <c r="N376" s="256"/>
      <c r="O376" s="1544"/>
      <c r="P376" s="1544"/>
    </row>
    <row r="377" spans="1:16" ht="25.5" customHeight="1">
      <c r="A377" s="1700"/>
      <c r="B377" s="1700"/>
      <c r="D377" s="300"/>
      <c r="E377" s="67" t="s">
        <v>90</v>
      </c>
      <c r="F377" s="783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377" s="7834"/>
      <c r="H377" s="7834"/>
      <c r="I377" s="7834"/>
      <c r="J377" s="7834"/>
      <c r="K377" s="7834"/>
      <c r="L377" s="7834"/>
      <c r="M377" s="211"/>
      <c r="N377" s="256"/>
    </row>
    <row r="378" spans="1:16" s="1555" customFormat="1" ht="60.75" hidden="1" customHeight="1">
      <c r="A378" s="1700" t="s">
        <v>263</v>
      </c>
      <c r="B378" s="1700" t="s">
        <v>264</v>
      </c>
      <c r="C378" s="293"/>
      <c r="D378" s="7835"/>
      <c r="E378" s="7643"/>
      <c r="F378" s="7778" t="str">
        <f>INDEX(PT_DIFFERENTIATION_VTAR,MATCH(A378,PT_DIFFERENTIATION_VTAR_ID,0))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78" s="7806" t="str">
        <f>INDEX(PT_DIFFERENTIATION_NTAR,MATCH(B378,PT_DIFFERENTIATION_NTAR_ID,0))</f>
        <v/>
      </c>
      <c r="H378" s="1781"/>
      <c r="I378" s="1658"/>
      <c r="J378" s="1693"/>
      <c r="K378" s="1698"/>
      <c r="L378" s="1781" t="s">
        <v>480</v>
      </c>
      <c r="M378" s="76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78" s="256"/>
      <c r="O378" s="1544"/>
      <c r="P378" s="1544"/>
    </row>
    <row r="379" spans="1:16" s="1555" customFormat="1" ht="18.75" hidden="1" customHeight="1">
      <c r="A379" s="1700"/>
      <c r="B379" s="1700"/>
      <c r="C379" s="293" t="s">
        <v>1373</v>
      </c>
      <c r="D379" s="7835"/>
      <c r="E379" s="7643"/>
      <c r="F379" s="7778"/>
      <c r="G379" s="7806"/>
      <c r="H379" s="1415"/>
      <c r="I379" s="569" t="s">
        <v>1372</v>
      </c>
      <c r="J379" s="494"/>
      <c r="K379" s="1415"/>
      <c r="L379" s="131"/>
      <c r="M379" s="7605"/>
      <c r="N379" s="256"/>
      <c r="O379" s="1544"/>
      <c r="P379" s="1544"/>
    </row>
    <row r="380" spans="1:16" s="1555" customFormat="1" ht="0.75" hidden="1" customHeight="1">
      <c r="A380" s="1700"/>
      <c r="B380" s="1700"/>
      <c r="C380" s="293" t="s">
        <v>1380</v>
      </c>
      <c r="D380" s="7835"/>
      <c r="E380" s="7643"/>
      <c r="F380" s="7778"/>
      <c r="G380" s="329"/>
      <c r="H380" s="1415"/>
      <c r="I380" s="569"/>
      <c r="J380" s="494"/>
      <c r="K380" s="1415"/>
      <c r="L380" s="131"/>
      <c r="M380" s="7605"/>
      <c r="N380" s="256"/>
      <c r="O380" s="1544"/>
      <c r="P380" s="1544"/>
    </row>
    <row r="381" spans="1:16" s="1555" customFormat="1" ht="45" hidden="1" customHeight="1">
      <c r="A381" s="1700" t="s">
        <v>269</v>
      </c>
      <c r="B381" s="1700" t="s">
        <v>270</v>
      </c>
      <c r="C381" s="293"/>
      <c r="D381" s="7835"/>
      <c r="E381" s="7643"/>
      <c r="F381" s="7778" t="str">
        <f>INDEX(PT_DIFFERENTIATION_VTAR,MATCH(A381,PT_DIFFERENTIATION_VTAR_ID,0))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81" s="7806" t="str">
        <f>INDEX(PT_DIFFERENTIATION_NTAR,MATCH(B381,PT_DIFFERENTIATION_NTAR_ID,0))</f>
        <v/>
      </c>
      <c r="H381" s="1781"/>
      <c r="I381" s="1658"/>
      <c r="J381" s="1693"/>
      <c r="K381" s="1698"/>
      <c r="L381" s="1781" t="s">
        <v>480</v>
      </c>
      <c r="M381" s="7606"/>
      <c r="N381" s="256"/>
      <c r="O381" s="1544"/>
      <c r="P381" s="1544"/>
    </row>
    <row r="382" spans="1:16" s="1555" customFormat="1" ht="18.75" hidden="1" customHeight="1">
      <c r="A382" s="1700"/>
      <c r="B382" s="1700"/>
      <c r="C382" s="293" t="s">
        <v>1373</v>
      </c>
      <c r="D382" s="7835"/>
      <c r="E382" s="7643"/>
      <c r="F382" s="7778"/>
      <c r="G382" s="7806"/>
      <c r="H382" s="1415"/>
      <c r="I382" s="569" t="s">
        <v>1372</v>
      </c>
      <c r="J382" s="494"/>
      <c r="K382" s="1415"/>
      <c r="L382" s="131"/>
      <c r="M382" s="1780"/>
      <c r="N382" s="256"/>
      <c r="O382" s="1544"/>
      <c r="P382" s="1544"/>
    </row>
    <row r="383" spans="1:16" s="1555" customFormat="1" ht="0.75" hidden="1" customHeight="1">
      <c r="A383" s="1700"/>
      <c r="B383" s="1700"/>
      <c r="C383" s="293" t="s">
        <v>1380</v>
      </c>
      <c r="D383" s="7835"/>
      <c r="E383" s="7643"/>
      <c r="F383" s="7778"/>
      <c r="G383" s="329"/>
      <c r="H383" s="1415"/>
      <c r="I383" s="569"/>
      <c r="J383" s="494"/>
      <c r="K383" s="1415"/>
      <c r="L383" s="131"/>
      <c r="M383" s="263"/>
      <c r="N383" s="256"/>
      <c r="O383" s="1544"/>
      <c r="P383" s="1544"/>
    </row>
    <row r="384" spans="1:16" s="1555" customFormat="1" ht="45" hidden="1" customHeight="1">
      <c r="A384" s="1700" t="s">
        <v>275</v>
      </c>
      <c r="B384" s="1700" t="s">
        <v>276</v>
      </c>
      <c r="C384" s="293"/>
      <c r="D384" s="7835"/>
      <c r="E384" s="7643"/>
      <c r="F384" s="7778" t="str">
        <f>INDEX(PT_DIFFERENTIATION_VTAR,MATCH(A384,PT_DIFFERENTIATION_VTAR_ID,0))</f>
        <v>Тарифы на теплоноситель, поставляемый теплоснабжающими организациями потребителям, другим теплоснабжающим организациям</v>
      </c>
      <c r="G384" s="7806" t="str">
        <f>INDEX(PT_DIFFERENTIATION_NTAR,MATCH(B384,PT_DIFFERENTIATION_NTAR_ID,0))</f>
        <v/>
      </c>
      <c r="H384" s="1781"/>
      <c r="I384" s="1658"/>
      <c r="J384" s="1693"/>
      <c r="K384" s="1698"/>
      <c r="L384" s="1781" t="s">
        <v>480</v>
      </c>
      <c r="M384" s="263"/>
      <c r="N384" s="256"/>
      <c r="O384" s="1544"/>
      <c r="P384" s="1544"/>
    </row>
    <row r="385" spans="1:16" s="1555" customFormat="1" ht="18.75" hidden="1" customHeight="1">
      <c r="A385" s="1700"/>
      <c r="B385" s="1700"/>
      <c r="C385" s="293" t="s">
        <v>1373</v>
      </c>
      <c r="D385" s="7835"/>
      <c r="E385" s="7643"/>
      <c r="F385" s="7778"/>
      <c r="G385" s="7806"/>
      <c r="H385" s="1415"/>
      <c r="I385" s="569" t="s">
        <v>1372</v>
      </c>
      <c r="J385" s="494"/>
      <c r="K385" s="1415"/>
      <c r="L385" s="131"/>
      <c r="M385" s="263"/>
      <c r="N385" s="256"/>
      <c r="O385" s="1544"/>
      <c r="P385" s="1544"/>
    </row>
    <row r="386" spans="1:16" s="1555" customFormat="1" ht="0.75" hidden="1" customHeight="1">
      <c r="A386" s="1700"/>
      <c r="B386" s="1700"/>
      <c r="C386" s="293" t="s">
        <v>1380</v>
      </c>
      <c r="D386" s="7835"/>
      <c r="E386" s="7643"/>
      <c r="F386" s="7778"/>
      <c r="G386" s="329"/>
      <c r="H386" s="1415"/>
      <c r="I386" s="569"/>
      <c r="J386" s="494"/>
      <c r="K386" s="1415"/>
      <c r="L386" s="131"/>
      <c r="M386" s="263"/>
      <c r="N386" s="256"/>
      <c r="O386" s="1544"/>
      <c r="P386" s="1544"/>
    </row>
    <row r="387" spans="1:16" s="1555" customFormat="1" ht="45" hidden="1" customHeight="1">
      <c r="A387" s="1700" t="s">
        <v>281</v>
      </c>
      <c r="B387" s="1700" t="s">
        <v>282</v>
      </c>
      <c r="C387" s="293"/>
      <c r="D387" s="7835"/>
      <c r="E387" s="7643"/>
      <c r="F387" s="7778" t="str">
        <f>INDEX(PT_DIFFERENTIATION_VTAR,MATCH(A387,PT_DIFFERENTIATION_VTAR_ID,0))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87" s="7806" t="str">
        <f>INDEX(PT_DIFFERENTIATION_NTAR,MATCH(B387,PT_DIFFERENTIATION_NTAR_ID,0))</f>
        <v/>
      </c>
      <c r="H387" s="1781"/>
      <c r="I387" s="1658"/>
      <c r="J387" s="1693"/>
      <c r="K387" s="1698"/>
      <c r="L387" s="1781" t="s">
        <v>480</v>
      </c>
      <c r="M387" s="263"/>
      <c r="N387" s="256"/>
      <c r="O387" s="1544"/>
      <c r="P387" s="1544"/>
    </row>
    <row r="388" spans="1:16" s="1555" customFormat="1" ht="18.75" hidden="1" customHeight="1">
      <c r="A388" s="1700"/>
      <c r="B388" s="1700"/>
      <c r="C388" s="293" t="s">
        <v>1373</v>
      </c>
      <c r="D388" s="7835"/>
      <c r="E388" s="7643"/>
      <c r="F388" s="7778"/>
      <c r="G388" s="7806"/>
      <c r="H388" s="1415"/>
      <c r="I388" s="569" t="s">
        <v>1372</v>
      </c>
      <c r="J388" s="494"/>
      <c r="K388" s="1415"/>
      <c r="L388" s="131"/>
      <c r="M388" s="263"/>
      <c r="N388" s="256"/>
      <c r="O388" s="1544"/>
      <c r="P388" s="1544"/>
    </row>
    <row r="389" spans="1:16" s="1555" customFormat="1" ht="0.75" hidden="1" customHeight="1">
      <c r="A389" s="1700"/>
      <c r="B389" s="1700"/>
      <c r="C389" s="293" t="s">
        <v>1380</v>
      </c>
      <c r="D389" s="7835"/>
      <c r="E389" s="7643"/>
      <c r="F389" s="7778"/>
      <c r="G389" s="329"/>
      <c r="H389" s="1415"/>
      <c r="I389" s="569"/>
      <c r="J389" s="494"/>
      <c r="K389" s="1415"/>
      <c r="L389" s="131"/>
      <c r="M389" s="263"/>
      <c r="N389" s="256"/>
      <c r="O389" s="1544"/>
      <c r="P389" s="1544"/>
    </row>
    <row r="390" spans="1:16" s="1555" customFormat="1" ht="18.75" hidden="1" customHeight="1">
      <c r="A390" s="1700" t="s">
        <v>287</v>
      </c>
      <c r="B390" s="1700" t="s">
        <v>288</v>
      </c>
      <c r="C390" s="293"/>
      <c r="D390" s="7835"/>
      <c r="E390" s="7643"/>
      <c r="F390" s="7778" t="str">
        <f>INDEX(PT_DIFFERENTIATION_VTAR,MATCH(A390,PT_DIFFERENTIATION_VTAR_ID,0))</f>
        <v>Тарифы на услуги по передаче тепловой энергии</v>
      </c>
      <c r="G390" s="7806" t="str">
        <f>INDEX(PT_DIFFERENTIATION_NTAR,MATCH(B390,PT_DIFFERENTIATION_NTAR_ID,0))</f>
        <v/>
      </c>
      <c r="H390" s="1781"/>
      <c r="I390" s="1658"/>
      <c r="J390" s="1693"/>
      <c r="K390" s="1698"/>
      <c r="L390" s="1781" t="s">
        <v>480</v>
      </c>
      <c r="M390" s="263"/>
      <c r="N390" s="256"/>
      <c r="O390" s="1544"/>
      <c r="P390" s="1544"/>
    </row>
    <row r="391" spans="1:16" s="1555" customFormat="1" ht="18.75" hidden="1" customHeight="1">
      <c r="A391" s="1700"/>
      <c r="B391" s="1700"/>
      <c r="C391" s="293" t="s">
        <v>1373</v>
      </c>
      <c r="D391" s="7835"/>
      <c r="E391" s="7643"/>
      <c r="F391" s="7778"/>
      <c r="G391" s="7806"/>
      <c r="H391" s="1415"/>
      <c r="I391" s="569" t="s">
        <v>1372</v>
      </c>
      <c r="J391" s="494"/>
      <c r="K391" s="1415"/>
      <c r="L391" s="131"/>
      <c r="M391" s="263"/>
      <c r="N391" s="256"/>
      <c r="O391" s="1544"/>
      <c r="P391" s="1544"/>
    </row>
    <row r="392" spans="1:16" s="1555" customFormat="1" ht="0.75" hidden="1" customHeight="1">
      <c r="A392" s="1700"/>
      <c r="B392" s="1700"/>
      <c r="C392" s="293" t="s">
        <v>1380</v>
      </c>
      <c r="D392" s="7835"/>
      <c r="E392" s="7643"/>
      <c r="F392" s="7778"/>
      <c r="G392" s="329"/>
      <c r="H392" s="1415"/>
      <c r="I392" s="569"/>
      <c r="J392" s="494"/>
      <c r="K392" s="1415"/>
      <c r="L392" s="131"/>
      <c r="M392" s="263"/>
      <c r="N392" s="256"/>
      <c r="O392" s="1544"/>
      <c r="P392" s="1544"/>
    </row>
    <row r="393" spans="1:16" s="1555" customFormat="1" ht="18.75" hidden="1" customHeight="1">
      <c r="A393" s="1700" t="s">
        <v>293</v>
      </c>
      <c r="B393" s="1700" t="s">
        <v>294</v>
      </c>
      <c r="C393" s="293"/>
      <c r="D393" s="7835"/>
      <c r="E393" s="7643"/>
      <c r="F393" s="7778" t="str">
        <f>INDEX(PT_DIFFERENTIATION_VTAR,MATCH(A393,PT_DIFFERENTIATION_VTAR_ID,0))</f>
        <v>Тарифы на услуги по передаче теплоносителя</v>
      </c>
      <c r="G393" s="7806" t="str">
        <f>INDEX(PT_DIFFERENTIATION_NTAR,MATCH(B393,PT_DIFFERENTIATION_NTAR_ID,0))</f>
        <v/>
      </c>
      <c r="H393" s="1781"/>
      <c r="I393" s="1658"/>
      <c r="J393" s="1693"/>
      <c r="K393" s="1698"/>
      <c r="L393" s="1781" t="s">
        <v>480</v>
      </c>
      <c r="M393" s="263"/>
      <c r="N393" s="256"/>
      <c r="O393" s="1544"/>
      <c r="P393" s="1544"/>
    </row>
    <row r="394" spans="1:16" s="1555" customFormat="1" ht="18.75" hidden="1" customHeight="1">
      <c r="A394" s="1700"/>
      <c r="B394" s="1700"/>
      <c r="C394" s="293" t="s">
        <v>1373</v>
      </c>
      <c r="D394" s="7835"/>
      <c r="E394" s="7643"/>
      <c r="F394" s="7778"/>
      <c r="G394" s="7806"/>
      <c r="H394" s="1415"/>
      <c r="I394" s="569" t="s">
        <v>1372</v>
      </c>
      <c r="J394" s="494"/>
      <c r="K394" s="1415"/>
      <c r="L394" s="131"/>
      <c r="M394" s="263"/>
      <c r="N394" s="256"/>
      <c r="O394" s="1544"/>
      <c r="P394" s="1544"/>
    </row>
    <row r="395" spans="1:16" s="1555" customFormat="1" ht="0.75" hidden="1" customHeight="1">
      <c r="A395" s="1700"/>
      <c r="B395" s="1700"/>
      <c r="C395" s="293" t="s">
        <v>1380</v>
      </c>
      <c r="D395" s="7835"/>
      <c r="E395" s="7643"/>
      <c r="F395" s="7778"/>
      <c r="G395" s="329"/>
      <c r="H395" s="1415"/>
      <c r="I395" s="569"/>
      <c r="J395" s="494"/>
      <c r="K395" s="1415"/>
      <c r="L395" s="131"/>
      <c r="M395" s="263"/>
      <c r="N395" s="256"/>
      <c r="O395" s="1544"/>
      <c r="P395" s="1544"/>
    </row>
    <row r="396" spans="1:16" s="1555" customFormat="1" ht="18.75" hidden="1" customHeight="1">
      <c r="A396" s="1700" t="s">
        <v>299</v>
      </c>
      <c r="B396" s="1700" t="s">
        <v>300</v>
      </c>
      <c r="C396" s="293"/>
      <c r="D396" s="7835"/>
      <c r="E396" s="7643"/>
      <c r="F396" s="7778" t="str">
        <f>INDEX(PT_DIFFERENTIATION_VTAR,MATCH(A396,PT_DIFFERENTIATION_VTAR_ID,0))</f>
        <v>Плата за услуги по поддержанию резервной тепловой мощности при отсутствии потребления тепловой энергии</v>
      </c>
      <c r="G396" s="7806" t="str">
        <f>INDEX(PT_DIFFERENTIATION_NTAR,MATCH(B396,PT_DIFFERENTIATION_NTAR_ID,0))</f>
        <v/>
      </c>
      <c r="H396" s="1781"/>
      <c r="I396" s="1658"/>
      <c r="J396" s="1693"/>
      <c r="K396" s="1698"/>
      <c r="L396" s="1781" t="s">
        <v>480</v>
      </c>
      <c r="M396" s="263"/>
      <c r="N396" s="256"/>
      <c r="O396" s="1544"/>
      <c r="P396" s="1544"/>
    </row>
    <row r="397" spans="1:16" s="1555" customFormat="1" ht="18.75" hidden="1" customHeight="1">
      <c r="A397" s="1700"/>
      <c r="B397" s="1700"/>
      <c r="C397" s="293" t="s">
        <v>1373</v>
      </c>
      <c r="D397" s="7835"/>
      <c r="E397" s="7643"/>
      <c r="F397" s="7778"/>
      <c r="G397" s="7806"/>
      <c r="H397" s="1415"/>
      <c r="I397" s="569" t="s">
        <v>1372</v>
      </c>
      <c r="J397" s="494"/>
      <c r="K397" s="1415"/>
      <c r="L397" s="131"/>
      <c r="M397" s="263"/>
      <c r="N397" s="256"/>
      <c r="O397" s="1544"/>
      <c r="P397" s="1544"/>
    </row>
    <row r="398" spans="1:16" s="1555" customFormat="1" ht="0.75" hidden="1" customHeight="1">
      <c r="A398" s="1700"/>
      <c r="B398" s="1700"/>
      <c r="C398" s="293" t="s">
        <v>1380</v>
      </c>
      <c r="D398" s="7835"/>
      <c r="E398" s="7643"/>
      <c r="F398" s="7778"/>
      <c r="G398" s="329"/>
      <c r="H398" s="1415"/>
      <c r="I398" s="569"/>
      <c r="J398" s="494"/>
      <c r="K398" s="1415"/>
      <c r="L398" s="131"/>
      <c r="M398" s="263"/>
      <c r="N398" s="256"/>
      <c r="O398" s="1544"/>
      <c r="P398" s="1544"/>
    </row>
    <row r="399" spans="1:16" s="1555" customFormat="1" ht="18.75" hidden="1" customHeight="1">
      <c r="A399" s="1700" t="s">
        <v>305</v>
      </c>
      <c r="B399" s="1700" t="s">
        <v>306</v>
      </c>
      <c r="C399" s="293"/>
      <c r="D399" s="7835"/>
      <c r="E399" s="7643"/>
      <c r="F399" s="7778" t="str">
        <f>INDEX(PT_DIFFERENTIATION_VTAR,MATCH(A399,PT_DIFFERENTIATION_VTAR_ID,0))</f>
        <v>Плата за подключение (технологическое присоединение) к системе теплоснабжения</v>
      </c>
      <c r="G399" s="7806" t="str">
        <f>INDEX(PT_DIFFERENTIATION_NTAR,MATCH(B399,PT_DIFFERENTIATION_NTAR_ID,0))</f>
        <v/>
      </c>
      <c r="H399" s="1781"/>
      <c r="I399" s="1658"/>
      <c r="J399" s="1693"/>
      <c r="K399" s="1698"/>
      <c r="L399" s="1781" t="s">
        <v>480</v>
      </c>
      <c r="M399" s="263"/>
      <c r="N399" s="256"/>
      <c r="O399" s="1544"/>
      <c r="P399" s="1544"/>
    </row>
    <row r="400" spans="1:16" s="1555" customFormat="1" ht="18.75" hidden="1" customHeight="1">
      <c r="A400" s="1700"/>
      <c r="B400" s="1700"/>
      <c r="C400" s="293" t="s">
        <v>1373</v>
      </c>
      <c r="D400" s="7835"/>
      <c r="E400" s="7643"/>
      <c r="F400" s="7778"/>
      <c r="G400" s="7806"/>
      <c r="H400" s="1415"/>
      <c r="I400" s="569" t="s">
        <v>1372</v>
      </c>
      <c r="J400" s="494"/>
      <c r="K400" s="1415"/>
      <c r="L400" s="131"/>
      <c r="M400" s="263"/>
      <c r="N400" s="256"/>
      <c r="O400" s="1544"/>
      <c r="P400" s="1544"/>
    </row>
    <row r="401" spans="1:16" s="1555" customFormat="1" ht="0.75" hidden="1" customHeight="1">
      <c r="A401" s="1700"/>
      <c r="B401" s="1700"/>
      <c r="C401" s="293" t="s">
        <v>1380</v>
      </c>
      <c r="D401" s="7835"/>
      <c r="E401" s="7643"/>
      <c r="F401" s="7778"/>
      <c r="G401" s="329"/>
      <c r="H401" s="1415"/>
      <c r="I401" s="569"/>
      <c r="J401" s="494"/>
      <c r="K401" s="1415"/>
      <c r="L401" s="131"/>
      <c r="M401" s="263"/>
      <c r="N401" s="256"/>
      <c r="O401" s="1544"/>
      <c r="P401" s="1544"/>
    </row>
    <row r="402" spans="1:16" s="1555" customFormat="1" ht="18.75" hidden="1" customHeight="1">
      <c r="A402" s="1700" t="s">
        <v>321</v>
      </c>
      <c r="B402" s="1700" t="s">
        <v>322</v>
      </c>
      <c r="C402" s="293"/>
      <c r="D402" s="7835"/>
      <c r="E402" s="7643"/>
      <c r="F402" s="7778" t="str">
        <f>INDEX(PT_DIFFERENTIATION_VTAR,MATCH(A402,PT_DIFFERENTIATION_VTAR_ID,0))</f>
        <v>Тариф на питьевую воду (питьевое водоснабжение)</v>
      </c>
      <c r="G402" s="7806" t="str">
        <f>INDEX(PT_DIFFERENTIATION_NTAR,MATCH(B402,PT_DIFFERENTIATION_NTAR_ID,0))</f>
        <v>Тарифы на питьевую воду для потребителей, осуществляющих деятельность в сфере теплоснабжения и электроснабжения на территории города Лермонтова</v>
      </c>
      <c r="H402" s="1781"/>
      <c r="I402" s="1658"/>
      <c r="J402" s="1693"/>
      <c r="K402" s="1698"/>
      <c r="L402" s="1781" t="s">
        <v>480</v>
      </c>
      <c r="M402" s="263"/>
      <c r="N402" s="256"/>
      <c r="O402" s="1544"/>
      <c r="P402" s="1544"/>
    </row>
    <row r="403" spans="1:16" s="1555" customFormat="1" ht="18.75" hidden="1" customHeight="1">
      <c r="A403" s="1700"/>
      <c r="B403" s="1700"/>
      <c r="C403" s="293" t="s">
        <v>1373</v>
      </c>
      <c r="D403" s="7835"/>
      <c r="E403" s="7643"/>
      <c r="F403" s="7778"/>
      <c r="G403" s="7806"/>
      <c r="H403" s="1415"/>
      <c r="I403" s="569" t="s">
        <v>1372</v>
      </c>
      <c r="J403" s="494"/>
      <c r="K403" s="1415"/>
      <c r="L403" s="131"/>
      <c r="M403" s="263"/>
      <c r="N403" s="256"/>
      <c r="O403" s="1544"/>
      <c r="P403" s="1544"/>
    </row>
    <row r="404" spans="1:16" s="1555" customFormat="1" ht="18.75" customHeight="1">
      <c r="A404" s="1742" t="s">
        <v>321</v>
      </c>
      <c r="B404" s="1742" t="s">
        <v>328</v>
      </c>
      <c r="C404" s="1607"/>
      <c r="D404" s="7836"/>
      <c r="E404" s="7837"/>
      <c r="F404" s="7837"/>
      <c r="G404" s="7806" t="str">
        <f>INDEX(PT_DIFFERENTIATION_NTAR,MATCH(B404,PT_DIFFERENTIATION_NTAR_ID,0))</f>
        <v>Тарифы на питьевую воду для потребителей Ставропольского края</v>
      </c>
      <c r="H404" s="1811"/>
      <c r="I404" s="1658"/>
      <c r="J404" s="1693"/>
      <c r="K404" s="1698"/>
      <c r="L404" s="1811" t="s">
        <v>480</v>
      </c>
      <c r="M404" s="1794"/>
      <c r="N404" s="537"/>
      <c r="O404" s="1544"/>
      <c r="P404" s="1544"/>
    </row>
    <row r="405" spans="1:16" s="1555" customFormat="1" ht="18.75" customHeight="1">
      <c r="A405" s="1742"/>
      <c r="B405" s="1742"/>
      <c r="C405" s="1607" t="s">
        <v>1373</v>
      </c>
      <c r="D405" s="7836"/>
      <c r="E405" s="7837"/>
      <c r="F405" s="7837"/>
      <c r="G405" s="7806"/>
      <c r="H405" s="7435"/>
      <c r="I405" s="7436" t="s">
        <v>1372</v>
      </c>
      <c r="J405" s="7437"/>
      <c r="K405" s="7438"/>
      <c r="L405" s="7439"/>
      <c r="M405" s="1794"/>
      <c r="N405" s="537"/>
      <c r="O405" s="1544"/>
      <c r="P405" s="1544"/>
    </row>
    <row r="406" spans="1:16" s="1555" customFormat="1" ht="18.75" customHeight="1">
      <c r="A406" s="1742" t="s">
        <v>321</v>
      </c>
      <c r="B406" s="1742" t="s">
        <v>333</v>
      </c>
      <c r="C406" s="1607"/>
      <c r="D406" s="7836"/>
      <c r="E406" s="7837"/>
      <c r="F406" s="7837"/>
      <c r="G406" s="7806" t="str">
        <f>INDEX(PT_DIFFERENTIATION_NTAR,MATCH(B406,PT_DIFFERENTIATION_NTAR_ID,0))</f>
        <v>Тарифы на питьевую воду для потребителей, присоединенных к централизованным системам водоснабжения села Калиновского Александровского муниципального округа</v>
      </c>
      <c r="H406" s="1811"/>
      <c r="I406" s="1658"/>
      <c r="J406" s="1693"/>
      <c r="K406" s="1698"/>
      <c r="L406" s="1811" t="s">
        <v>480</v>
      </c>
      <c r="M406" s="1794"/>
      <c r="N406" s="537"/>
      <c r="O406" s="1544"/>
      <c r="P406" s="1544"/>
    </row>
    <row r="407" spans="1:16" s="1555" customFormat="1" ht="18.75" customHeight="1">
      <c r="A407" s="1742"/>
      <c r="B407" s="1742"/>
      <c r="C407" s="1607" t="s">
        <v>1373</v>
      </c>
      <c r="D407" s="7836"/>
      <c r="E407" s="7837"/>
      <c r="F407" s="7837"/>
      <c r="G407" s="7806"/>
      <c r="H407" s="7440"/>
      <c r="I407" s="7441" t="s">
        <v>1372</v>
      </c>
      <c r="J407" s="7442"/>
      <c r="K407" s="7443"/>
      <c r="L407" s="7444"/>
      <c r="M407" s="1794"/>
      <c r="N407" s="537"/>
      <c r="O407" s="1544"/>
      <c r="P407" s="1544"/>
    </row>
    <row r="408" spans="1:16" s="1555" customFormat="1" ht="18.75" customHeight="1">
      <c r="A408" s="1742" t="s">
        <v>321</v>
      </c>
      <c r="B408" s="1742" t="s">
        <v>338</v>
      </c>
      <c r="C408" s="1607"/>
      <c r="D408" s="7836"/>
      <c r="E408" s="7837"/>
      <c r="F408" s="7837"/>
      <c r="G408" s="7806" t="str">
        <f>INDEX(PT_DIFFERENTIATION_NTAR,MATCH(B408,PT_DIFFERENTIATION_NTAR_ID,0))</f>
        <v>Тарифы на питьевую воду для потребителей, присоединенных к централизованным системам водоснабжения  поселка Малосадового, села Бургун-Маджары, поселка Кумская Долина и поселка Правокумского Левокумского муниципального округа</v>
      </c>
      <c r="H408" s="1811"/>
      <c r="I408" s="1658"/>
      <c r="J408" s="1693"/>
      <c r="K408" s="1698"/>
      <c r="L408" s="1811" t="s">
        <v>480</v>
      </c>
      <c r="M408" s="1794"/>
      <c r="N408" s="537"/>
      <c r="O408" s="1544"/>
      <c r="P408" s="1544"/>
    </row>
    <row r="409" spans="1:16" s="1555" customFormat="1" ht="18.75" customHeight="1">
      <c r="A409" s="1742"/>
      <c r="B409" s="1742"/>
      <c r="C409" s="1607" t="s">
        <v>1373</v>
      </c>
      <c r="D409" s="7836"/>
      <c r="E409" s="7837"/>
      <c r="F409" s="7837"/>
      <c r="G409" s="7806"/>
      <c r="H409" s="7445"/>
      <c r="I409" s="7446" t="s">
        <v>1372</v>
      </c>
      <c r="J409" s="7447"/>
      <c r="K409" s="7448"/>
      <c r="L409" s="7449"/>
      <c r="M409" s="1794"/>
      <c r="N409" s="537"/>
      <c r="O409" s="1544"/>
      <c r="P409" s="1544"/>
    </row>
    <row r="410" spans="1:16" s="1555" customFormat="1" ht="18.75" customHeight="1">
      <c r="A410" s="1742" t="s">
        <v>321</v>
      </c>
      <c r="B410" s="1742" t="s">
        <v>343</v>
      </c>
      <c r="C410" s="1607"/>
      <c r="D410" s="7836"/>
      <c r="E410" s="7837"/>
      <c r="F410" s="7837"/>
      <c r="G410" s="7806" t="str">
        <f>INDEX(PT_DIFFERENTIATION_NTAR,MATCH(B410,PT_DIFFERENTIATION_NTAR_ID,0))</f>
        <v xml:space="preserve">Тарифы на питьевую воду для потребителей, присоединенных к централизованным системам водоснабжения  села Николо-Александровского и поселка Ленинского Левокумского муниципального округа </v>
      </c>
      <c r="H410" s="1811"/>
      <c r="I410" s="1658"/>
      <c r="J410" s="1693"/>
      <c r="K410" s="1698"/>
      <c r="L410" s="1811" t="s">
        <v>480</v>
      </c>
      <c r="M410" s="1794"/>
      <c r="N410" s="537"/>
      <c r="O410" s="1544"/>
      <c r="P410" s="1544"/>
    </row>
    <row r="411" spans="1:16" s="1555" customFormat="1" ht="18.75" customHeight="1">
      <c r="A411" s="1742"/>
      <c r="B411" s="1742"/>
      <c r="C411" s="1607" t="s">
        <v>1373</v>
      </c>
      <c r="D411" s="7836"/>
      <c r="E411" s="7837"/>
      <c r="F411" s="7837"/>
      <c r="G411" s="7806"/>
      <c r="H411" s="7450"/>
      <c r="I411" s="7451" t="s">
        <v>1372</v>
      </c>
      <c r="J411" s="7452"/>
      <c r="K411" s="7453"/>
      <c r="L411" s="7454"/>
      <c r="M411" s="1794"/>
      <c r="N411" s="537"/>
      <c r="O411" s="1544"/>
      <c r="P411" s="1544"/>
    </row>
    <row r="412" spans="1:16" s="1555" customFormat="1" ht="18.75" customHeight="1">
      <c r="A412" s="1742" t="s">
        <v>321</v>
      </c>
      <c r="B412" s="1742" t="s">
        <v>348</v>
      </c>
      <c r="C412" s="1607"/>
      <c r="D412" s="7836"/>
      <c r="E412" s="7837"/>
      <c r="F412" s="7837"/>
      <c r="G412" s="7806" t="str">
        <f>INDEX(PT_DIFFERENTIATION_NTAR,MATCH(B412,PT_DIFFERENTIATION_NTAR_ID,0))</f>
        <v xml:space="preserve">Тарифы на питьевую воду для потребителей, присоединенных к централизованным системам водоснабжения хутора Андрей-Курган и поселка Левобалковского Нефтекумского муниципального округа </v>
      </c>
      <c r="H412" s="1811"/>
      <c r="I412" s="1658"/>
      <c r="J412" s="1693"/>
      <c r="K412" s="1698"/>
      <c r="L412" s="1811" t="s">
        <v>480</v>
      </c>
      <c r="M412" s="1794"/>
      <c r="N412" s="537"/>
      <c r="O412" s="1544"/>
      <c r="P412" s="1544"/>
    </row>
    <row r="413" spans="1:16" s="1555" customFormat="1" ht="18.75" customHeight="1">
      <c r="A413" s="1742"/>
      <c r="B413" s="1742"/>
      <c r="C413" s="1607" t="s">
        <v>1373</v>
      </c>
      <c r="D413" s="7836"/>
      <c r="E413" s="7837"/>
      <c r="F413" s="7837"/>
      <c r="G413" s="7806"/>
      <c r="H413" s="7455"/>
      <c r="I413" s="7456" t="s">
        <v>1372</v>
      </c>
      <c r="J413" s="7457"/>
      <c r="K413" s="7458"/>
      <c r="L413" s="7459"/>
      <c r="M413" s="1794"/>
      <c r="N413" s="537"/>
      <c r="O413" s="1544"/>
      <c r="P413" s="1544"/>
    </row>
    <row r="414" spans="1:16" s="1555" customFormat="1" ht="18.75" customHeight="1">
      <c r="A414" s="1742" t="s">
        <v>321</v>
      </c>
      <c r="B414" s="1742" t="s">
        <v>353</v>
      </c>
      <c r="C414" s="1607"/>
      <c r="D414" s="7836"/>
      <c r="E414" s="7837"/>
      <c r="F414" s="7837"/>
      <c r="G414" s="7806" t="str">
        <f>INDEX(PT_DIFFERENTIATION_NTAR,MATCH(B414,PT_DIFFERENTIATION_NTAR_ID,0))</f>
        <v xml:space="preserve">Тарифы на питьевую воду для потребителей, присоединенных к централизованным системам водоснабжения поселка Зункарь и аула Бейсей Нефтекумского муниципального округа </v>
      </c>
      <c r="H414" s="1811"/>
      <c r="I414" s="1658"/>
      <c r="J414" s="1693"/>
      <c r="K414" s="1698"/>
      <c r="L414" s="1811" t="s">
        <v>480</v>
      </c>
      <c r="M414" s="1794"/>
      <c r="N414" s="537"/>
      <c r="O414" s="1544"/>
      <c r="P414" s="1544"/>
    </row>
    <row r="415" spans="1:16" s="1555" customFormat="1" ht="18.75" customHeight="1">
      <c r="A415" s="1742"/>
      <c r="B415" s="1742"/>
      <c r="C415" s="1607" t="s">
        <v>1373</v>
      </c>
      <c r="D415" s="7836"/>
      <c r="E415" s="7837"/>
      <c r="F415" s="7837"/>
      <c r="G415" s="7806"/>
      <c r="H415" s="7460"/>
      <c r="I415" s="7461" t="s">
        <v>1372</v>
      </c>
      <c r="J415" s="7462"/>
      <c r="K415" s="7463"/>
      <c r="L415" s="7464"/>
      <c r="M415" s="1794"/>
      <c r="N415" s="537"/>
      <c r="O415" s="1544"/>
      <c r="P415" s="1544"/>
    </row>
    <row r="416" spans="1:16" s="1555" customFormat="1" ht="18.75" customHeight="1">
      <c r="A416" s="1742" t="s">
        <v>321</v>
      </c>
      <c r="B416" s="1742" t="s">
        <v>358</v>
      </c>
      <c r="C416" s="1607"/>
      <c r="D416" s="7836"/>
      <c r="E416" s="7837"/>
      <c r="F416" s="7837"/>
      <c r="G416" s="7806" t="str">
        <f>INDEX(PT_DIFFERENTIATION_NTAR,MATCH(B416,PT_DIFFERENTIATION_NTAR_ID,0))</f>
        <v xml:space="preserve">Тарифы на питьевую воду для потребителей, присоединенных к централизованным системам водоснабжения села Кара-Тюбе и аула Бияш Нефтекумского муниципального округа </v>
      </c>
      <c r="H416" s="1811"/>
      <c r="I416" s="1658"/>
      <c r="J416" s="1693"/>
      <c r="K416" s="1698"/>
      <c r="L416" s="1811" t="s">
        <v>480</v>
      </c>
      <c r="M416" s="1794"/>
      <c r="N416" s="537"/>
      <c r="O416" s="1544"/>
      <c r="P416" s="1544"/>
    </row>
    <row r="417" spans="1:16" s="1555" customFormat="1" ht="18.75" customHeight="1">
      <c r="A417" s="1742"/>
      <c r="B417" s="1742"/>
      <c r="C417" s="1607" t="s">
        <v>1373</v>
      </c>
      <c r="D417" s="7836"/>
      <c r="E417" s="7837"/>
      <c r="F417" s="7837"/>
      <c r="G417" s="7806"/>
      <c r="H417" s="7465"/>
      <c r="I417" s="7466" t="s">
        <v>1372</v>
      </c>
      <c r="J417" s="7467"/>
      <c r="K417" s="7468"/>
      <c r="L417" s="7469"/>
      <c r="M417" s="1794"/>
      <c r="N417" s="537"/>
      <c r="O417" s="1544"/>
      <c r="P417" s="1544"/>
    </row>
    <row r="418" spans="1:16" s="1555" customFormat="1" ht="18.75" customHeight="1">
      <c r="A418" s="1742" t="s">
        <v>321</v>
      </c>
      <c r="B418" s="1742" t="s">
        <v>363</v>
      </c>
      <c r="C418" s="1607"/>
      <c r="D418" s="7836"/>
      <c r="E418" s="7837"/>
      <c r="F418" s="7837"/>
      <c r="G418" s="7806" t="str">
        <f>INDEX(PT_DIFFERENTIATION_NTAR,MATCH(B418,PT_DIFFERENTIATION_NTAR_ID,0))</f>
        <v>Тарифы на питьевую воду для потребителей, присоединенных к централизованным системам водоснабжения поселка Горьковского, поселка Дружба, поселка Заречного и поселка Рассвет Новоалександровского муниципального округа</v>
      </c>
      <c r="H418" s="1811"/>
      <c r="I418" s="1658"/>
      <c r="J418" s="1693"/>
      <c r="K418" s="1698"/>
      <c r="L418" s="1811" t="s">
        <v>480</v>
      </c>
      <c r="M418" s="1794"/>
      <c r="N418" s="537"/>
      <c r="O418" s="1544"/>
      <c r="P418" s="1544"/>
    </row>
    <row r="419" spans="1:16" s="1555" customFormat="1" ht="18.75" customHeight="1">
      <c r="A419" s="1742"/>
      <c r="B419" s="1742"/>
      <c r="C419" s="1607" t="s">
        <v>1373</v>
      </c>
      <c r="D419" s="7836"/>
      <c r="E419" s="7837"/>
      <c r="F419" s="7837"/>
      <c r="G419" s="7806"/>
      <c r="H419" s="7470"/>
      <c r="I419" s="7471" t="s">
        <v>1372</v>
      </c>
      <c r="J419" s="7472"/>
      <c r="K419" s="7473"/>
      <c r="L419" s="7474"/>
      <c r="M419" s="1794"/>
      <c r="N419" s="537"/>
      <c r="O419" s="1544"/>
      <c r="P419" s="1544"/>
    </row>
    <row r="420" spans="1:16" s="1555" customFormat="1" ht="18.75" customHeight="1">
      <c r="A420" s="1742" t="s">
        <v>321</v>
      </c>
      <c r="B420" s="1742" t="s">
        <v>368</v>
      </c>
      <c r="C420" s="1607"/>
      <c r="D420" s="7836"/>
      <c r="E420" s="7837"/>
      <c r="F420" s="7837"/>
      <c r="G420" s="7806" t="str">
        <f>INDEX(PT_DIFFERENTIATION_NTAR,MATCH(B420,PT_DIFFERENTIATION_NTAR_ID,0))</f>
        <v>Тарифы на питьевую воду для потребителей, присоединенных к централизованным системам водоснабжения села Высоцкого, села Ореховки и хутора Казинки Петровского муниципального округа</v>
      </c>
      <c r="H420" s="1811"/>
      <c r="I420" s="1658"/>
      <c r="J420" s="1693"/>
      <c r="K420" s="1698"/>
      <c r="L420" s="1811" t="s">
        <v>480</v>
      </c>
      <c r="M420" s="1794"/>
      <c r="N420" s="537"/>
      <c r="O420" s="1544"/>
      <c r="P420" s="1544"/>
    </row>
    <row r="421" spans="1:16" s="1555" customFormat="1" ht="18.75" customHeight="1">
      <c r="A421" s="1742"/>
      <c r="B421" s="1742"/>
      <c r="C421" s="1607" t="s">
        <v>1373</v>
      </c>
      <c r="D421" s="7836"/>
      <c r="E421" s="7837"/>
      <c r="F421" s="7837"/>
      <c r="G421" s="7806"/>
      <c r="H421" s="7475"/>
      <c r="I421" s="7476" t="s">
        <v>1372</v>
      </c>
      <c r="J421" s="7477"/>
      <c r="K421" s="7478"/>
      <c r="L421" s="7479"/>
      <c r="M421" s="1794"/>
      <c r="N421" s="537"/>
      <c r="O421" s="1544"/>
      <c r="P421" s="1544"/>
    </row>
    <row r="422" spans="1:16" s="1555" customFormat="1" ht="18.75" customHeight="1">
      <c r="A422" s="1742" t="s">
        <v>321</v>
      </c>
      <c r="B422" s="1742" t="s">
        <v>373</v>
      </c>
      <c r="C422" s="1607"/>
      <c r="D422" s="7836"/>
      <c r="E422" s="7837"/>
      <c r="F422" s="7837"/>
      <c r="G422" s="7806" t="str">
        <f>INDEX(PT_DIFFERENTIATION_NTAR,MATCH(B422,PT_DIFFERENTIATION_NTAR_ID,0))</f>
        <v>Тарифы на питьевую воду для потребителей, присоединенных к централизованным системам водоснабжения села Гофицкого Петровского муниципального округа</v>
      </c>
      <c r="H422" s="1811"/>
      <c r="I422" s="1658"/>
      <c r="J422" s="1693"/>
      <c r="K422" s="1698"/>
      <c r="L422" s="1811" t="s">
        <v>480</v>
      </c>
      <c r="M422" s="1794"/>
      <c r="N422" s="537"/>
      <c r="O422" s="1544"/>
      <c r="P422" s="1544"/>
    </row>
    <row r="423" spans="1:16" s="1555" customFormat="1" ht="18.75" customHeight="1">
      <c r="A423" s="1742"/>
      <c r="B423" s="1742"/>
      <c r="C423" s="1607" t="s">
        <v>1373</v>
      </c>
      <c r="D423" s="7836"/>
      <c r="E423" s="7837"/>
      <c r="F423" s="7837"/>
      <c r="G423" s="7806"/>
      <c r="H423" s="7480"/>
      <c r="I423" s="7481" t="s">
        <v>1372</v>
      </c>
      <c r="J423" s="7482"/>
      <c r="K423" s="7483"/>
      <c r="L423" s="7484"/>
      <c r="M423" s="1794"/>
      <c r="N423" s="537"/>
      <c r="O423" s="1544"/>
      <c r="P423" s="1544"/>
    </row>
    <row r="424" spans="1:16" s="1555" customFormat="1" ht="18.75" customHeight="1">
      <c r="A424" s="1742" t="s">
        <v>321</v>
      </c>
      <c r="B424" s="1742" t="s">
        <v>378</v>
      </c>
      <c r="C424" s="1607"/>
      <c r="D424" s="7836"/>
      <c r="E424" s="7837"/>
      <c r="F424" s="7837"/>
      <c r="G424" s="7806" t="str">
        <f>INDEX(PT_DIFFERENTIATION_NTAR,MATCH(B424,PT_DIFFERENTIATION_NTAR_ID,0))</f>
        <v>Тарифы на питьевую воду для потребителей, присоединенных к централизованным системам водоснабжения села Донская Балка Петровского муниципального округа</v>
      </c>
      <c r="H424" s="1811"/>
      <c r="I424" s="1658"/>
      <c r="J424" s="1693"/>
      <c r="K424" s="1698"/>
      <c r="L424" s="1811" t="s">
        <v>480</v>
      </c>
      <c r="M424" s="1794"/>
      <c r="N424" s="537"/>
      <c r="O424" s="1544"/>
      <c r="P424" s="1544"/>
    </row>
    <row r="425" spans="1:16" s="1555" customFormat="1" ht="18.75" customHeight="1">
      <c r="A425" s="1742"/>
      <c r="B425" s="1742"/>
      <c r="C425" s="1607" t="s">
        <v>1373</v>
      </c>
      <c r="D425" s="7836"/>
      <c r="E425" s="7837"/>
      <c r="F425" s="7837"/>
      <c r="G425" s="7806"/>
      <c r="H425" s="7485"/>
      <c r="I425" s="7486" t="s">
        <v>1372</v>
      </c>
      <c r="J425" s="7487"/>
      <c r="K425" s="7488"/>
      <c r="L425" s="7489"/>
      <c r="M425" s="1794"/>
      <c r="N425" s="537"/>
      <c r="O425" s="1544"/>
      <c r="P425" s="1544"/>
    </row>
    <row r="426" spans="1:16" s="1555" customFormat="1" ht="18.75" customHeight="1">
      <c r="A426" s="1742" t="s">
        <v>321</v>
      </c>
      <c r="B426" s="1742" t="s">
        <v>383</v>
      </c>
      <c r="C426" s="1607"/>
      <c r="D426" s="7836"/>
      <c r="E426" s="7837"/>
      <c r="F426" s="7837"/>
      <c r="G426" s="7806" t="str">
        <f>INDEX(PT_DIFFERENTIATION_NTAR,MATCH(B426,PT_DIFFERENTIATION_NTAR_ID,0))</f>
        <v>Тарифы на питьевую воду для потребителей, присоединенных к централизованным системам водоснабжения села Константиновского и села Кугуты Петровского муниципального округа, ранее эксплуатируемым ГУП СК "Пчелка"</v>
      </c>
      <c r="H426" s="1811"/>
      <c r="I426" s="1658"/>
      <c r="J426" s="1693"/>
      <c r="K426" s="1698"/>
      <c r="L426" s="1811" t="s">
        <v>480</v>
      </c>
      <c r="M426" s="1794"/>
      <c r="N426" s="537"/>
      <c r="O426" s="1544"/>
      <c r="P426" s="1544"/>
    </row>
    <row r="427" spans="1:16" s="1555" customFormat="1" ht="18.75" customHeight="1">
      <c r="A427" s="1742"/>
      <c r="B427" s="1742"/>
      <c r="C427" s="1607" t="s">
        <v>1373</v>
      </c>
      <c r="D427" s="7836"/>
      <c r="E427" s="7837"/>
      <c r="F427" s="7837"/>
      <c r="G427" s="7806"/>
      <c r="H427" s="7490"/>
      <c r="I427" s="7491" t="s">
        <v>1372</v>
      </c>
      <c r="J427" s="7492"/>
      <c r="K427" s="7493"/>
      <c r="L427" s="7494"/>
      <c r="M427" s="1794"/>
      <c r="N427" s="537"/>
      <c r="O427" s="1544"/>
      <c r="P427" s="1544"/>
    </row>
    <row r="428" spans="1:16" s="1555" customFormat="1" ht="18.75" customHeight="1">
      <c r="A428" s="1742" t="s">
        <v>321</v>
      </c>
      <c r="B428" s="1742" t="s">
        <v>388</v>
      </c>
      <c r="C428" s="1607"/>
      <c r="D428" s="7836"/>
      <c r="E428" s="7837"/>
      <c r="F428" s="7837"/>
      <c r="G428" s="7806" t="str">
        <f>INDEX(PT_DIFFERENTIATION_NTAR,MATCH(B428,PT_DIFFERENTIATION_NTAR_ID,0))</f>
        <v>Тарифы на питьевую воду для потребителей, присоединенных к централизованным системам водоснабжения села Просянки Петровского муниципального округа</v>
      </c>
      <c r="H428" s="1811"/>
      <c r="I428" s="1658"/>
      <c r="J428" s="1693"/>
      <c r="K428" s="1698"/>
      <c r="L428" s="1811" t="s">
        <v>480</v>
      </c>
      <c r="M428" s="1794"/>
      <c r="N428" s="537"/>
      <c r="O428" s="1544"/>
      <c r="P428" s="1544"/>
    </row>
    <row r="429" spans="1:16" s="1555" customFormat="1" ht="18.75" customHeight="1">
      <c r="A429" s="1742"/>
      <c r="B429" s="1742"/>
      <c r="C429" s="1607" t="s">
        <v>1373</v>
      </c>
      <c r="D429" s="7836"/>
      <c r="E429" s="7837"/>
      <c r="F429" s="7837"/>
      <c r="G429" s="7806"/>
      <c r="H429" s="7495"/>
      <c r="I429" s="7496" t="s">
        <v>1372</v>
      </c>
      <c r="J429" s="7497"/>
      <c r="K429" s="7498"/>
      <c r="L429" s="7499"/>
      <c r="M429" s="1794"/>
      <c r="N429" s="537"/>
      <c r="O429" s="1544"/>
      <c r="P429" s="1544"/>
    </row>
    <row r="430" spans="1:16" s="1555" customFormat="1" ht="18.75" customHeight="1">
      <c r="A430" s="1742" t="s">
        <v>321</v>
      </c>
      <c r="B430" s="1742" t="s">
        <v>393</v>
      </c>
      <c r="C430" s="1607"/>
      <c r="D430" s="7836"/>
      <c r="E430" s="7837"/>
      <c r="F430" s="7837"/>
      <c r="G430" s="7806" t="str">
        <f>INDEX(PT_DIFFERENTIATION_NTAR,MATCH(B430,PT_DIFFERENTIATION_NTAR_ID,0))</f>
        <v>Тарифы на питьевую воду для потребителей, присоединенных к централизованным системам водоснабжения села Сухая Буйвола Петровского муниципального округа</v>
      </c>
      <c r="H430" s="1811"/>
      <c r="I430" s="1658"/>
      <c r="J430" s="1693"/>
      <c r="K430" s="1698"/>
      <c r="L430" s="1811" t="s">
        <v>480</v>
      </c>
      <c r="M430" s="1794"/>
      <c r="N430" s="537"/>
      <c r="O430" s="1544"/>
      <c r="P430" s="1544"/>
    </row>
    <row r="431" spans="1:16" s="1555" customFormat="1" ht="18.75" customHeight="1">
      <c r="A431" s="1742"/>
      <c r="B431" s="1742"/>
      <c r="C431" s="1607" t="s">
        <v>1373</v>
      </c>
      <c r="D431" s="7836"/>
      <c r="E431" s="7837"/>
      <c r="F431" s="7837"/>
      <c r="G431" s="7806"/>
      <c r="H431" s="7500"/>
      <c r="I431" s="7501" t="s">
        <v>1372</v>
      </c>
      <c r="J431" s="7502"/>
      <c r="K431" s="7503"/>
      <c r="L431" s="7504"/>
      <c r="M431" s="1794"/>
      <c r="N431" s="537"/>
      <c r="O431" s="1544"/>
      <c r="P431" s="1544"/>
    </row>
    <row r="432" spans="1:16" s="1555" customFormat="1" ht="18.75" customHeight="1">
      <c r="A432" s="1742" t="s">
        <v>321</v>
      </c>
      <c r="B432" s="1742" t="s">
        <v>398</v>
      </c>
      <c r="C432" s="1607"/>
      <c r="D432" s="7836"/>
      <c r="E432" s="7837"/>
      <c r="F432" s="7837"/>
      <c r="G432" s="7806" t="str">
        <f>INDEX(PT_DIFFERENTIATION_NTAR,MATCH(B432,PT_DIFFERENTIATION_NTAR_ID,0))</f>
        <v>Тарифы на питьевую воду для потребителей, присоединенных к централизованным системам водоснабжения "водозабор Юца", "станция Расшеватка", города Светлограда Петровского муниципального округа, города Георгиевска и села Краснокумского Георгиевского муниципального округа, ранее эксплуатируемым ОАО "РЖД"</v>
      </c>
      <c r="H432" s="1811"/>
      <c r="I432" s="1658"/>
      <c r="J432" s="1693"/>
      <c r="K432" s="1698"/>
      <c r="L432" s="1811" t="s">
        <v>480</v>
      </c>
      <c r="M432" s="1794"/>
      <c r="N432" s="537"/>
      <c r="O432" s="1544"/>
      <c r="P432" s="1544"/>
    </row>
    <row r="433" spans="1:16" s="1555" customFormat="1" ht="18.75" customHeight="1">
      <c r="A433" s="1742"/>
      <c r="B433" s="1742"/>
      <c r="C433" s="1607" t="s">
        <v>1373</v>
      </c>
      <c r="D433" s="7836"/>
      <c r="E433" s="7837"/>
      <c r="F433" s="7837"/>
      <c r="G433" s="7806"/>
      <c r="H433" s="7505"/>
      <c r="I433" s="7506" t="s">
        <v>1372</v>
      </c>
      <c r="J433" s="7507"/>
      <c r="K433" s="7508"/>
      <c r="L433" s="7509"/>
      <c r="M433" s="1794"/>
      <c r="N433" s="537"/>
      <c r="O433" s="1544"/>
      <c r="P433" s="1544"/>
    </row>
    <row r="434" spans="1:16" s="1555" customFormat="1" ht="0.75" hidden="1" customHeight="1">
      <c r="A434" s="1700"/>
      <c r="B434" s="1700"/>
      <c r="C434" s="293" t="s">
        <v>1380</v>
      </c>
      <c r="D434" s="7835"/>
      <c r="E434" s="7643"/>
      <c r="F434" s="7778"/>
      <c r="G434" s="329"/>
      <c r="H434" s="1415"/>
      <c r="I434" s="569"/>
      <c r="J434" s="494"/>
      <c r="K434" s="1415"/>
      <c r="L434" s="131"/>
      <c r="M434" s="263"/>
      <c r="N434" s="256"/>
      <c r="O434" s="1544"/>
      <c r="P434" s="1544"/>
    </row>
    <row r="435" spans="1:16" s="1555" customFormat="1" ht="18.75" hidden="1" customHeight="1">
      <c r="A435" s="1700" t="s">
        <v>404</v>
      </c>
      <c r="B435" s="1700" t="s">
        <v>405</v>
      </c>
      <c r="C435" s="293"/>
      <c r="D435" s="7835"/>
      <c r="E435" s="7643"/>
      <c r="F435" s="7778" t="str">
        <f>INDEX(PT_DIFFERENTIATION_VTAR,MATCH(A435,PT_DIFFERENTIATION_VTAR_ID,0))</f>
        <v>Тариф на техническую воду</v>
      </c>
      <c r="G435" s="7806" t="str">
        <f>INDEX(PT_DIFFERENTIATION_NTAR,MATCH(B435,PT_DIFFERENTIATION_NTAR_ID,0))</f>
        <v/>
      </c>
      <c r="H435" s="1781"/>
      <c r="I435" s="1658"/>
      <c r="J435" s="1693"/>
      <c r="K435" s="1698"/>
      <c r="L435" s="1781" t="s">
        <v>480</v>
      </c>
      <c r="M435" s="263"/>
      <c r="N435" s="256"/>
      <c r="O435" s="1544"/>
      <c r="P435" s="1544"/>
    </row>
    <row r="436" spans="1:16" s="1555" customFormat="1" ht="18.75" hidden="1" customHeight="1">
      <c r="A436" s="1700"/>
      <c r="B436" s="1700"/>
      <c r="C436" s="293" t="s">
        <v>1373</v>
      </c>
      <c r="D436" s="7835"/>
      <c r="E436" s="7643"/>
      <c r="F436" s="7778"/>
      <c r="G436" s="7806"/>
      <c r="H436" s="1415"/>
      <c r="I436" s="569" t="s">
        <v>1372</v>
      </c>
      <c r="J436" s="494"/>
      <c r="K436" s="1415"/>
      <c r="L436" s="131"/>
      <c r="M436" s="263"/>
      <c r="N436" s="256"/>
      <c r="O436" s="1544"/>
      <c r="P436" s="1544"/>
    </row>
    <row r="437" spans="1:16" s="1555" customFormat="1" ht="0.75" hidden="1" customHeight="1">
      <c r="A437" s="1700"/>
      <c r="B437" s="1700"/>
      <c r="C437" s="293" t="s">
        <v>1380</v>
      </c>
      <c r="D437" s="7835"/>
      <c r="E437" s="7643"/>
      <c r="F437" s="7778"/>
      <c r="G437" s="329"/>
      <c r="H437" s="1415"/>
      <c r="I437" s="569"/>
      <c r="J437" s="494"/>
      <c r="K437" s="1415"/>
      <c r="L437" s="131"/>
      <c r="M437" s="263"/>
      <c r="N437" s="256"/>
      <c r="O437" s="1544"/>
      <c r="P437" s="1544"/>
    </row>
    <row r="438" spans="1:16" s="1555" customFormat="1" ht="18.75" hidden="1" customHeight="1">
      <c r="A438" s="1700" t="s">
        <v>409</v>
      </c>
      <c r="B438" s="1700" t="s">
        <v>410</v>
      </c>
      <c r="C438" s="293"/>
      <c r="D438" s="7835"/>
      <c r="E438" s="7643"/>
      <c r="F438" s="7778" t="str">
        <f>INDEX(PT_DIFFERENTIATION_VTAR,MATCH(A438,PT_DIFFERENTIATION_VTAR_ID,0))</f>
        <v>Тариф на транспортировку воды</v>
      </c>
      <c r="G438" s="7806" t="str">
        <f>INDEX(PT_DIFFERENTIATION_NTAR,MATCH(B438,PT_DIFFERENTIATION_NTAR_ID,0))</f>
        <v/>
      </c>
      <c r="H438" s="1781"/>
      <c r="I438" s="1658"/>
      <c r="J438" s="1693"/>
      <c r="K438" s="1698"/>
      <c r="L438" s="1781" t="s">
        <v>480</v>
      </c>
      <c r="M438" s="263"/>
      <c r="N438" s="256"/>
      <c r="O438" s="1544"/>
      <c r="P438" s="1544"/>
    </row>
    <row r="439" spans="1:16" s="1555" customFormat="1" ht="18.75" hidden="1" customHeight="1">
      <c r="A439" s="1700"/>
      <c r="B439" s="1700"/>
      <c r="C439" s="293" t="s">
        <v>1373</v>
      </c>
      <c r="D439" s="7835"/>
      <c r="E439" s="7643"/>
      <c r="F439" s="7778"/>
      <c r="G439" s="7806"/>
      <c r="H439" s="1415"/>
      <c r="I439" s="569" t="s">
        <v>1372</v>
      </c>
      <c r="J439" s="494"/>
      <c r="K439" s="1415"/>
      <c r="L439" s="131"/>
      <c r="M439" s="263"/>
      <c r="N439" s="256"/>
      <c r="O439" s="1544"/>
      <c r="P439" s="1544"/>
    </row>
    <row r="440" spans="1:16" s="1555" customFormat="1" ht="0.75" hidden="1" customHeight="1">
      <c r="A440" s="1700"/>
      <c r="B440" s="1700"/>
      <c r="C440" s="293" t="s">
        <v>1380</v>
      </c>
      <c r="D440" s="7835"/>
      <c r="E440" s="7643"/>
      <c r="F440" s="7778"/>
      <c r="G440" s="329"/>
      <c r="H440" s="1415"/>
      <c r="I440" s="569"/>
      <c r="J440" s="494"/>
      <c r="K440" s="1415"/>
      <c r="L440" s="131"/>
      <c r="M440" s="263"/>
      <c r="N440" s="256"/>
      <c r="O440" s="1544"/>
      <c r="P440" s="1544"/>
    </row>
    <row r="441" spans="1:16" s="1555" customFormat="1" ht="18.75" hidden="1" customHeight="1">
      <c r="A441" s="1700" t="s">
        <v>414</v>
      </c>
      <c r="B441" s="1700" t="s">
        <v>415</v>
      </c>
      <c r="C441" s="293"/>
      <c r="D441" s="7835"/>
      <c r="E441" s="7643"/>
      <c r="F441" s="7778" t="str">
        <f>INDEX(PT_DIFFERENTIATION_VTAR,MATCH(A441,PT_DIFFERENTIATION_VTAR_ID,0))</f>
        <v>Тариф на подвоз воды</v>
      </c>
      <c r="G441" s="7806" t="str">
        <f>INDEX(PT_DIFFERENTIATION_NTAR,MATCH(B441,PT_DIFFERENTIATION_NTAR_ID,0))</f>
        <v/>
      </c>
      <c r="H441" s="1781"/>
      <c r="I441" s="1658"/>
      <c r="J441" s="1693"/>
      <c r="K441" s="1698"/>
      <c r="L441" s="1781" t="s">
        <v>480</v>
      </c>
      <c r="M441" s="263"/>
      <c r="N441" s="256"/>
      <c r="O441" s="1544"/>
      <c r="P441" s="1544"/>
    </row>
    <row r="442" spans="1:16" s="1555" customFormat="1" ht="18.75" hidden="1" customHeight="1">
      <c r="A442" s="1700"/>
      <c r="B442" s="1700"/>
      <c r="C442" s="293" t="s">
        <v>1373</v>
      </c>
      <c r="D442" s="7835"/>
      <c r="E442" s="7643"/>
      <c r="F442" s="7778"/>
      <c r="G442" s="7806"/>
      <c r="H442" s="1415"/>
      <c r="I442" s="569" t="s">
        <v>1372</v>
      </c>
      <c r="J442" s="494"/>
      <c r="K442" s="1415"/>
      <c r="L442" s="131"/>
      <c r="M442" s="263"/>
      <c r="N442" s="256"/>
      <c r="O442" s="1544"/>
      <c r="P442" s="1544"/>
    </row>
    <row r="443" spans="1:16" s="1555" customFormat="1" ht="0.75" hidden="1" customHeight="1">
      <c r="A443" s="1700"/>
      <c r="B443" s="1700"/>
      <c r="C443" s="293" t="s">
        <v>1380</v>
      </c>
      <c r="D443" s="7835"/>
      <c r="E443" s="7643"/>
      <c r="F443" s="7778"/>
      <c r="G443" s="329"/>
      <c r="H443" s="1415"/>
      <c r="I443" s="569"/>
      <c r="J443" s="494"/>
      <c r="K443" s="1415"/>
      <c r="L443" s="131"/>
      <c r="M443" s="263"/>
      <c r="N443" s="256"/>
      <c r="O443" s="1544"/>
      <c r="P443" s="1544"/>
    </row>
    <row r="444" spans="1:16" s="1555" customFormat="1" ht="18.75" hidden="1" customHeight="1">
      <c r="A444" s="1700" t="s">
        <v>419</v>
      </c>
      <c r="B444" s="1700" t="s">
        <v>420</v>
      </c>
      <c r="C444" s="293"/>
      <c r="D444" s="7835"/>
      <c r="E444" s="7643"/>
      <c r="F444" s="7778" t="str">
        <f>INDEX(PT_DIFFERENTIATION_VTAR,MATCH(A444,PT_DIFFERENTIATION_VTAR_ID,0))</f>
        <v>Тариф на подключение (технологическое присоединение) к централизованной системе холодного водоснабжения</v>
      </c>
      <c r="G444" s="7806" t="str">
        <f>INDEX(PT_DIFFERENTIATION_NTAR,MATCH(B444,PT_DIFFERENTIATION_NTAR_ID,0))</f>
        <v/>
      </c>
      <c r="H444" s="1781"/>
      <c r="I444" s="1658"/>
      <c r="J444" s="1693"/>
      <c r="K444" s="1698"/>
      <c r="L444" s="1781" t="s">
        <v>480</v>
      </c>
      <c r="M444" s="263"/>
      <c r="N444" s="256"/>
      <c r="O444" s="1544"/>
      <c r="P444" s="1544"/>
    </row>
    <row r="445" spans="1:16" s="1555" customFormat="1" ht="18.75" hidden="1" customHeight="1">
      <c r="A445" s="1700"/>
      <c r="B445" s="1700"/>
      <c r="C445" s="293" t="s">
        <v>1373</v>
      </c>
      <c r="D445" s="7835"/>
      <c r="E445" s="7643"/>
      <c r="F445" s="7778"/>
      <c r="G445" s="7806"/>
      <c r="H445" s="1415"/>
      <c r="I445" s="569" t="s">
        <v>1372</v>
      </c>
      <c r="J445" s="494"/>
      <c r="K445" s="1415"/>
      <c r="L445" s="131"/>
      <c r="M445" s="263"/>
      <c r="N445" s="256"/>
      <c r="O445" s="1544"/>
      <c r="P445" s="1544"/>
    </row>
    <row r="446" spans="1:16" s="1555" customFormat="1" ht="0.75" hidden="1" customHeight="1">
      <c r="A446" s="1700"/>
      <c r="B446" s="1700"/>
      <c r="C446" s="293" t="s">
        <v>1380</v>
      </c>
      <c r="D446" s="7835"/>
      <c r="E446" s="7643"/>
      <c r="F446" s="7778"/>
      <c r="G446" s="329"/>
      <c r="H446" s="1415"/>
      <c r="I446" s="569"/>
      <c r="J446" s="494"/>
      <c r="K446" s="1415"/>
      <c r="L446" s="131"/>
      <c r="M446" s="263"/>
      <c r="N446" s="256"/>
      <c r="O446" s="1544"/>
      <c r="P446" s="1544"/>
    </row>
    <row r="447" spans="1:16" s="1555" customFormat="1" ht="18.75" hidden="1" customHeight="1">
      <c r="A447" s="1700" t="s">
        <v>424</v>
      </c>
      <c r="B447" s="1700" t="s">
        <v>425</v>
      </c>
      <c r="C447" s="293"/>
      <c r="D447" s="7835"/>
      <c r="E447" s="7643"/>
      <c r="F447" s="7778" t="str">
        <f>INDEX(PT_DIFFERENTIATION_VTAR,MATCH(A447,PT_DIFFERENTIATION_VTAR_ID,0))</f>
        <v>Тариф на горячую воду (горячее водоснабжение)</v>
      </c>
      <c r="G447" s="7806" t="str">
        <f>INDEX(PT_DIFFERENTIATION_NTAR,MATCH(B447,PT_DIFFERENTIATION_NTAR_ID,0))</f>
        <v/>
      </c>
      <c r="H447" s="1781"/>
      <c r="I447" s="1658"/>
      <c r="J447" s="1693"/>
      <c r="K447" s="1698"/>
      <c r="L447" s="1781" t="s">
        <v>480</v>
      </c>
      <c r="M447" s="263"/>
      <c r="N447" s="256"/>
      <c r="O447" s="1544"/>
      <c r="P447" s="1544"/>
    </row>
    <row r="448" spans="1:16" s="1555" customFormat="1" ht="18.75" hidden="1" customHeight="1">
      <c r="A448" s="1700"/>
      <c r="B448" s="1700"/>
      <c r="C448" s="293" t="s">
        <v>1373</v>
      </c>
      <c r="D448" s="7835"/>
      <c r="E448" s="7643"/>
      <c r="F448" s="7778"/>
      <c r="G448" s="7806"/>
      <c r="H448" s="1415"/>
      <c r="I448" s="569" t="s">
        <v>1372</v>
      </c>
      <c r="J448" s="494"/>
      <c r="K448" s="1415"/>
      <c r="L448" s="131"/>
      <c r="M448" s="263"/>
      <c r="N448" s="256"/>
      <c r="O448" s="1544"/>
      <c r="P448" s="1544"/>
    </row>
    <row r="449" spans="1:16" s="1555" customFormat="1" ht="0.75" hidden="1" customHeight="1">
      <c r="A449" s="1700"/>
      <c r="B449" s="1700"/>
      <c r="C449" s="293" t="s">
        <v>1380</v>
      </c>
      <c r="D449" s="7835"/>
      <c r="E449" s="7643"/>
      <c r="F449" s="7778"/>
      <c r="G449" s="329"/>
      <c r="H449" s="1415"/>
      <c r="I449" s="569"/>
      <c r="J449" s="494"/>
      <c r="K449" s="1415"/>
      <c r="L449" s="131"/>
      <c r="M449" s="263"/>
      <c r="N449" s="256"/>
      <c r="O449" s="1544"/>
      <c r="P449" s="1544"/>
    </row>
    <row r="450" spans="1:16" s="1555" customFormat="1" ht="18.75" hidden="1" customHeight="1">
      <c r="A450" s="1700" t="s">
        <v>429</v>
      </c>
      <c r="B450" s="1700" t="s">
        <v>430</v>
      </c>
      <c r="C450" s="293"/>
      <c r="D450" s="7835"/>
      <c r="E450" s="7643"/>
      <c r="F450" s="7778" t="str">
        <f>INDEX(PT_DIFFERENTIATION_VTAR,MATCH(A450,PT_DIFFERENTIATION_VTAR_ID,0))</f>
        <v>Тариф на транспортировку горячей воды</v>
      </c>
      <c r="G450" s="7806" t="str">
        <f>INDEX(PT_DIFFERENTIATION_NTAR,MATCH(B450,PT_DIFFERENTIATION_NTAR_ID,0))</f>
        <v/>
      </c>
      <c r="H450" s="1781"/>
      <c r="I450" s="1658"/>
      <c r="J450" s="1693"/>
      <c r="K450" s="1698"/>
      <c r="L450" s="1781" t="s">
        <v>480</v>
      </c>
      <c r="M450" s="263"/>
      <c r="N450" s="256"/>
      <c r="O450" s="1544"/>
      <c r="P450" s="1544"/>
    </row>
    <row r="451" spans="1:16" s="1555" customFormat="1" ht="18.75" hidden="1" customHeight="1">
      <c r="A451" s="1700"/>
      <c r="B451" s="1700"/>
      <c r="C451" s="293" t="s">
        <v>1373</v>
      </c>
      <c r="D451" s="7835"/>
      <c r="E451" s="7643"/>
      <c r="F451" s="7778"/>
      <c r="G451" s="7806"/>
      <c r="H451" s="1415"/>
      <c r="I451" s="569" t="s">
        <v>1372</v>
      </c>
      <c r="J451" s="494"/>
      <c r="K451" s="1415"/>
      <c r="L451" s="131"/>
      <c r="M451" s="263"/>
      <c r="N451" s="256"/>
      <c r="O451" s="1544"/>
      <c r="P451" s="1544"/>
    </row>
    <row r="452" spans="1:16" s="1555" customFormat="1" ht="0.75" hidden="1" customHeight="1">
      <c r="A452" s="1700"/>
      <c r="B452" s="1700"/>
      <c r="C452" s="293" t="s">
        <v>1380</v>
      </c>
      <c r="D452" s="7835"/>
      <c r="E452" s="7643"/>
      <c r="F452" s="7778"/>
      <c r="G452" s="329"/>
      <c r="H452" s="1415"/>
      <c r="I452" s="569"/>
      <c r="J452" s="494"/>
      <c r="K452" s="1415"/>
      <c r="L452" s="131"/>
      <c r="M452" s="263"/>
      <c r="N452" s="256"/>
      <c r="O452" s="1544"/>
      <c r="P452" s="1544"/>
    </row>
    <row r="453" spans="1:16" s="1555" customFormat="1" ht="18.75" hidden="1" customHeight="1">
      <c r="A453" s="1700" t="s">
        <v>434</v>
      </c>
      <c r="B453" s="1700" t="s">
        <v>435</v>
      </c>
      <c r="C453" s="293"/>
      <c r="D453" s="7835"/>
      <c r="E453" s="7643"/>
      <c r="F453" s="7778" t="str">
        <f>INDEX(PT_DIFFERENTIATION_VTAR,MATCH(A453,PT_DIFFERENTIATION_VTAR_ID,0))</f>
        <v>Тариф на подключение (технологическое присоединение) к централизованной системе горячего водоснабжения</v>
      </c>
      <c r="G453" s="7806" t="str">
        <f>INDEX(PT_DIFFERENTIATION_NTAR,MATCH(B453,PT_DIFFERENTIATION_NTAR_ID,0))</f>
        <v/>
      </c>
      <c r="H453" s="1781"/>
      <c r="I453" s="1658"/>
      <c r="J453" s="1693"/>
      <c r="K453" s="1698"/>
      <c r="L453" s="1781" t="s">
        <v>480</v>
      </c>
      <c r="M453" s="263"/>
      <c r="N453" s="256"/>
      <c r="O453" s="1544"/>
      <c r="P453" s="1544"/>
    </row>
    <row r="454" spans="1:16" s="1555" customFormat="1" ht="18.75" hidden="1" customHeight="1">
      <c r="A454" s="1700"/>
      <c r="B454" s="1700"/>
      <c r="C454" s="293" t="s">
        <v>1373</v>
      </c>
      <c r="D454" s="7835"/>
      <c r="E454" s="7643"/>
      <c r="F454" s="7778"/>
      <c r="G454" s="7806"/>
      <c r="H454" s="1415"/>
      <c r="I454" s="569" t="s">
        <v>1372</v>
      </c>
      <c r="J454" s="494"/>
      <c r="K454" s="1415"/>
      <c r="L454" s="131"/>
      <c r="M454" s="263"/>
      <c r="N454" s="256"/>
      <c r="O454" s="1544"/>
      <c r="P454" s="1544"/>
    </row>
    <row r="455" spans="1:16" s="1555" customFormat="1" ht="0.75" hidden="1" customHeight="1">
      <c r="A455" s="1700"/>
      <c r="B455" s="1700"/>
      <c r="C455" s="293" t="s">
        <v>1380</v>
      </c>
      <c r="D455" s="7835"/>
      <c r="E455" s="7643"/>
      <c r="F455" s="7778"/>
      <c r="G455" s="329"/>
      <c r="H455" s="1415"/>
      <c r="I455" s="569"/>
      <c r="J455" s="494"/>
      <c r="K455" s="1415"/>
      <c r="L455" s="131"/>
      <c r="M455" s="263"/>
      <c r="N455" s="256"/>
      <c r="O455" s="1544"/>
      <c r="P455" s="1544"/>
    </row>
    <row r="456" spans="1:16" s="1555" customFormat="1" ht="18.75" hidden="1" customHeight="1">
      <c r="A456" s="1700" t="s">
        <v>439</v>
      </c>
      <c r="B456" s="1700" t="s">
        <v>440</v>
      </c>
      <c r="C456" s="293"/>
      <c r="D456" s="7835"/>
      <c r="E456" s="7643"/>
      <c r="F456" s="7778" t="str">
        <f>INDEX(PT_DIFFERENTIATION_VTAR,MATCH(A456,PT_DIFFERENTIATION_VTAR_ID,0))</f>
        <v>Тариф на водоотведение</v>
      </c>
      <c r="G456" s="7806" t="str">
        <f>INDEX(PT_DIFFERENTIATION_NTAR,MATCH(B456,PT_DIFFERENTIATION_NTAR_ID,0))</f>
        <v/>
      </c>
      <c r="H456" s="1781"/>
      <c r="I456" s="1658"/>
      <c r="J456" s="1693"/>
      <c r="K456" s="1698"/>
      <c r="L456" s="1781" t="s">
        <v>480</v>
      </c>
      <c r="M456" s="263"/>
      <c r="N456" s="256"/>
      <c r="O456" s="1544"/>
      <c r="P456" s="1544"/>
    </row>
    <row r="457" spans="1:16" s="1555" customFormat="1" ht="18.75" hidden="1" customHeight="1">
      <c r="A457" s="1700"/>
      <c r="B457" s="1700"/>
      <c r="C457" s="293" t="s">
        <v>1373</v>
      </c>
      <c r="D457" s="7835"/>
      <c r="E457" s="7643"/>
      <c r="F457" s="7778"/>
      <c r="G457" s="7806"/>
      <c r="H457" s="1415"/>
      <c r="I457" s="569" t="s">
        <v>1372</v>
      </c>
      <c r="J457" s="494"/>
      <c r="K457" s="1415"/>
      <c r="L457" s="131"/>
      <c r="M457" s="263"/>
      <c r="N457" s="256"/>
      <c r="O457" s="1544"/>
      <c r="P457" s="1544"/>
    </row>
    <row r="458" spans="1:16" s="1555" customFormat="1" ht="0.75" hidden="1" customHeight="1">
      <c r="A458" s="1700"/>
      <c r="B458" s="1700"/>
      <c r="C458" s="293" t="s">
        <v>1380</v>
      </c>
      <c r="D458" s="7835"/>
      <c r="E458" s="7643"/>
      <c r="F458" s="7778"/>
      <c r="G458" s="329"/>
      <c r="H458" s="1415"/>
      <c r="I458" s="569"/>
      <c r="J458" s="494"/>
      <c r="K458" s="1415"/>
      <c r="L458" s="131"/>
      <c r="M458" s="263"/>
      <c r="N458" s="256"/>
      <c r="O458" s="1544"/>
      <c r="P458" s="1544"/>
    </row>
    <row r="459" spans="1:16" s="1555" customFormat="1" ht="18.75" hidden="1" customHeight="1">
      <c r="A459" s="1700" t="s">
        <v>444</v>
      </c>
      <c r="B459" s="1700" t="s">
        <v>445</v>
      </c>
      <c r="C459" s="293"/>
      <c r="D459" s="7835"/>
      <c r="E459" s="7643"/>
      <c r="F459" s="7778" t="str">
        <f>INDEX(PT_DIFFERENTIATION_VTAR,MATCH(A459,PT_DIFFERENTIATION_VTAR_ID,0))</f>
        <v>Тариф на транспортировку сточных вод</v>
      </c>
      <c r="G459" s="7806" t="str">
        <f>INDEX(PT_DIFFERENTIATION_NTAR,MATCH(B459,PT_DIFFERENTIATION_NTAR_ID,0))</f>
        <v/>
      </c>
      <c r="H459" s="1781"/>
      <c r="I459" s="1658"/>
      <c r="J459" s="1693"/>
      <c r="K459" s="1698"/>
      <c r="L459" s="1781" t="s">
        <v>480</v>
      </c>
      <c r="M459" s="263"/>
      <c r="N459" s="256"/>
      <c r="O459" s="1544"/>
      <c r="P459" s="1544"/>
    </row>
    <row r="460" spans="1:16" s="1555" customFormat="1" ht="18.75" hidden="1" customHeight="1">
      <c r="A460" s="1700"/>
      <c r="B460" s="1700"/>
      <c r="C460" s="293" t="s">
        <v>1373</v>
      </c>
      <c r="D460" s="7835"/>
      <c r="E460" s="7643"/>
      <c r="F460" s="7778"/>
      <c r="G460" s="7806"/>
      <c r="H460" s="1415"/>
      <c r="I460" s="569" t="s">
        <v>1372</v>
      </c>
      <c r="J460" s="494"/>
      <c r="K460" s="1415"/>
      <c r="L460" s="131"/>
      <c r="M460" s="263"/>
      <c r="N460" s="256"/>
      <c r="O460" s="1544"/>
      <c r="P460" s="1544"/>
    </row>
    <row r="461" spans="1:16" s="1555" customFormat="1" ht="0.75" hidden="1" customHeight="1">
      <c r="A461" s="1700"/>
      <c r="B461" s="1700"/>
      <c r="C461" s="293" t="s">
        <v>1380</v>
      </c>
      <c r="D461" s="7835"/>
      <c r="E461" s="7643"/>
      <c r="F461" s="7778"/>
      <c r="G461" s="329"/>
      <c r="H461" s="1415"/>
      <c r="I461" s="569"/>
      <c r="J461" s="494"/>
      <c r="K461" s="1415"/>
      <c r="L461" s="131"/>
      <c r="M461" s="263"/>
      <c r="N461" s="256"/>
      <c r="O461" s="1544"/>
      <c r="P461" s="1544"/>
    </row>
    <row r="462" spans="1:16" s="1555" customFormat="1" ht="18.75" hidden="1" customHeight="1">
      <c r="A462" s="1700" t="s">
        <v>449</v>
      </c>
      <c r="B462" s="1700" t="s">
        <v>450</v>
      </c>
      <c r="C462" s="293"/>
      <c r="D462" s="7835"/>
      <c r="E462" s="7643"/>
      <c r="F462" s="7778" t="str">
        <f>INDEX(PT_DIFFERENTIATION_VTAR,MATCH(A462,PT_DIFFERENTIATION_VTAR_ID,0))</f>
        <v>Тариф на подключение (технологическое присоединение) к централизованной системе водоотведения</v>
      </c>
      <c r="G462" s="7806" t="str">
        <f>INDEX(PT_DIFFERENTIATION_NTAR,MATCH(B462,PT_DIFFERENTIATION_NTAR_ID,0))</f>
        <v/>
      </c>
      <c r="H462" s="1781"/>
      <c r="I462" s="1658"/>
      <c r="J462" s="1693"/>
      <c r="K462" s="1698"/>
      <c r="L462" s="1781" t="s">
        <v>480</v>
      </c>
      <c r="M462" s="263"/>
      <c r="N462" s="256"/>
      <c r="O462" s="1544"/>
      <c r="P462" s="1544"/>
    </row>
    <row r="463" spans="1:16" s="1555" customFormat="1" ht="18.75" hidden="1" customHeight="1">
      <c r="A463" s="1700"/>
      <c r="B463" s="1700"/>
      <c r="C463" s="293" t="s">
        <v>1373</v>
      </c>
      <c r="D463" s="7835"/>
      <c r="E463" s="7643"/>
      <c r="F463" s="7778"/>
      <c r="G463" s="7806"/>
      <c r="H463" s="1415"/>
      <c r="I463" s="569" t="s">
        <v>1372</v>
      </c>
      <c r="J463" s="494"/>
      <c r="K463" s="1415"/>
      <c r="L463" s="131"/>
      <c r="M463" s="263"/>
      <c r="N463" s="256"/>
      <c r="O463" s="1544"/>
      <c r="P463" s="1544"/>
    </row>
    <row r="464" spans="1:16" s="1555" customFormat="1" ht="0.75" customHeight="1">
      <c r="A464" s="1700"/>
      <c r="B464" s="1700"/>
      <c r="C464" s="293" t="s">
        <v>1380</v>
      </c>
      <c r="D464" s="7835"/>
      <c r="E464" s="7643"/>
      <c r="F464" s="7778"/>
      <c r="G464" s="329"/>
      <c r="H464" s="1415"/>
      <c r="I464" s="569"/>
      <c r="J464" s="494"/>
      <c r="K464" s="1415"/>
      <c r="L464" s="131"/>
      <c r="M464" s="263"/>
      <c r="N464" s="256"/>
      <c r="O464" s="1544"/>
      <c r="P464" s="1544"/>
    </row>
    <row r="465" spans="1:16" s="1742" customFormat="1" ht="3" customHeight="1">
      <c r="A465" s="1700"/>
      <c r="B465" s="1700"/>
      <c r="C465" s="1701"/>
      <c r="E465" s="331"/>
      <c r="F465" s="331"/>
      <c r="G465" s="331"/>
      <c r="H465" s="331"/>
      <c r="I465" s="331"/>
      <c r="J465" s="331"/>
      <c r="K465" s="331"/>
      <c r="L465" s="331"/>
      <c r="M465" s="331"/>
      <c r="O465" s="113"/>
      <c r="P465" s="113"/>
    </row>
    <row r="466" spans="1:16" ht="24.75" customHeight="1">
      <c r="E466" s="119"/>
      <c r="F466" s="7709"/>
      <c r="G466" s="7709"/>
      <c r="H466" s="7709"/>
      <c r="I466" s="7709"/>
      <c r="J466" s="7709"/>
      <c r="K466" s="7709"/>
      <c r="L466" s="7709"/>
      <c r="M466" s="7709"/>
    </row>
  </sheetData>
  <sheetProtection formatColumns="0" formatRows="0" insertRows="0" deleteColumns="0" deleteRows="0" sort="0" autoFilter="0"/>
  <mergeCells count="483">
    <mergeCell ref="G338:G339"/>
    <mergeCell ref="G426:G427"/>
    <mergeCell ref="G74:G75"/>
    <mergeCell ref="G164:G165"/>
    <mergeCell ref="G252:G253"/>
    <mergeCell ref="G340:G341"/>
    <mergeCell ref="G428:G429"/>
    <mergeCell ref="G76:G77"/>
    <mergeCell ref="G166:G167"/>
    <mergeCell ref="G254:G255"/>
    <mergeCell ref="G342:G343"/>
    <mergeCell ref="G78:G79"/>
    <mergeCell ref="G168:G169"/>
    <mergeCell ref="G256:G257"/>
    <mergeCell ref="G344:G345"/>
    <mergeCell ref="G62:G63"/>
    <mergeCell ref="G152:G153"/>
    <mergeCell ref="G240:G241"/>
    <mergeCell ref="G328:G329"/>
    <mergeCell ref="G416:G417"/>
    <mergeCell ref="G64:G65"/>
    <mergeCell ref="G154:G155"/>
    <mergeCell ref="G242:G243"/>
    <mergeCell ref="G330:G331"/>
    <mergeCell ref="G66:G67"/>
    <mergeCell ref="G156:G157"/>
    <mergeCell ref="G244:G245"/>
    <mergeCell ref="G332:G333"/>
    <mergeCell ref="G68:G69"/>
    <mergeCell ref="G158:G159"/>
    <mergeCell ref="G246:G247"/>
    <mergeCell ref="G334:G335"/>
    <mergeCell ref="G70:G71"/>
    <mergeCell ref="G160:G161"/>
    <mergeCell ref="G248:G249"/>
    <mergeCell ref="G336:G337"/>
    <mergeCell ref="G72:G73"/>
    <mergeCell ref="G162:G163"/>
    <mergeCell ref="G250:G251"/>
    <mergeCell ref="G50:G51"/>
    <mergeCell ref="G140:G141"/>
    <mergeCell ref="G228:G229"/>
    <mergeCell ref="G316:G317"/>
    <mergeCell ref="G404:G405"/>
    <mergeCell ref="G52:G53"/>
    <mergeCell ref="G142:G143"/>
    <mergeCell ref="G230:G231"/>
    <mergeCell ref="G318:G319"/>
    <mergeCell ref="G54:G55"/>
    <mergeCell ref="G144:G145"/>
    <mergeCell ref="G232:G233"/>
    <mergeCell ref="G320:G321"/>
    <mergeCell ref="G56:G57"/>
    <mergeCell ref="G146:G147"/>
    <mergeCell ref="G234:G235"/>
    <mergeCell ref="G322:G323"/>
    <mergeCell ref="G58:G59"/>
    <mergeCell ref="G148:G149"/>
    <mergeCell ref="G236:G237"/>
    <mergeCell ref="G324:G325"/>
    <mergeCell ref="G60:G61"/>
    <mergeCell ref="G150:G151"/>
    <mergeCell ref="G238:G239"/>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96:D98"/>
    <mergeCell ref="E96:E98"/>
    <mergeCell ref="F96:F98"/>
    <mergeCell ref="F466:M466"/>
    <mergeCell ref="F377:L377"/>
    <mergeCell ref="D378:D380"/>
    <mergeCell ref="E378:E380"/>
    <mergeCell ref="F378:F380"/>
    <mergeCell ref="D381:D383"/>
    <mergeCell ref="E381:E383"/>
    <mergeCell ref="F381:F383"/>
    <mergeCell ref="D384:D386"/>
    <mergeCell ref="D390:D392"/>
    <mergeCell ref="E390:E392"/>
    <mergeCell ref="F390:F392"/>
    <mergeCell ref="D393:D395"/>
    <mergeCell ref="E393:E395"/>
    <mergeCell ref="F393:F395"/>
    <mergeCell ref="E384:E386"/>
    <mergeCell ref="F384:F386"/>
    <mergeCell ref="D387:D389"/>
    <mergeCell ref="E387:E389"/>
    <mergeCell ref="D117:D119"/>
    <mergeCell ref="E117:E119"/>
    <mergeCell ref="G45:G46"/>
    <mergeCell ref="G48:G49"/>
    <mergeCell ref="G81:G82"/>
    <mergeCell ref="G84:G85"/>
    <mergeCell ref="M290:M293"/>
    <mergeCell ref="M114:M117"/>
    <mergeCell ref="F201:L201"/>
    <mergeCell ref="M202:M205"/>
    <mergeCell ref="F289:L289"/>
    <mergeCell ref="F48:F80"/>
    <mergeCell ref="F81:F83"/>
    <mergeCell ref="F102:F104"/>
    <mergeCell ref="F105:F107"/>
    <mergeCell ref="F117:F119"/>
    <mergeCell ref="F120:F122"/>
    <mergeCell ref="M24:M110"/>
    <mergeCell ref="G42:G43"/>
    <mergeCell ref="G183:G184"/>
    <mergeCell ref="G186:G187"/>
    <mergeCell ref="G189:G190"/>
    <mergeCell ref="G192:G193"/>
    <mergeCell ref="G208:G209"/>
    <mergeCell ref="G211:G212"/>
    <mergeCell ref="G214:G215"/>
    <mergeCell ref="D45:D47"/>
    <mergeCell ref="E45:E47"/>
    <mergeCell ref="F45:F47"/>
    <mergeCell ref="D90:D92"/>
    <mergeCell ref="E90:E92"/>
    <mergeCell ref="F90:F92"/>
    <mergeCell ref="D93:D95"/>
    <mergeCell ref="E93:E95"/>
    <mergeCell ref="F93:F95"/>
    <mergeCell ref="D84:D86"/>
    <mergeCell ref="E84:E86"/>
    <mergeCell ref="F84:F86"/>
    <mergeCell ref="D87:D89"/>
    <mergeCell ref="E87:E89"/>
    <mergeCell ref="F87:F89"/>
    <mergeCell ref="D48:D80"/>
    <mergeCell ref="E48:E80"/>
    <mergeCell ref="D81:D83"/>
    <mergeCell ref="E81:E83"/>
    <mergeCell ref="D99:D101"/>
    <mergeCell ref="E99:E101"/>
    <mergeCell ref="F99:F101"/>
    <mergeCell ref="F123:F125"/>
    <mergeCell ref="D126:D128"/>
    <mergeCell ref="E126:E128"/>
    <mergeCell ref="F126:F128"/>
    <mergeCell ref="D108:D110"/>
    <mergeCell ref="E108:E110"/>
    <mergeCell ref="F108:F110"/>
    <mergeCell ref="D114:D116"/>
    <mergeCell ref="E114:E116"/>
    <mergeCell ref="F114:F116"/>
    <mergeCell ref="D123:D125"/>
    <mergeCell ref="E123:E125"/>
    <mergeCell ref="F111:L111"/>
    <mergeCell ref="H112:I112"/>
    <mergeCell ref="F113:L113"/>
    <mergeCell ref="D102:D104"/>
    <mergeCell ref="E102:E104"/>
    <mergeCell ref="D105:D107"/>
    <mergeCell ref="E105:E107"/>
    <mergeCell ref="D120:D122"/>
    <mergeCell ref="E120:E122"/>
    <mergeCell ref="D135:D137"/>
    <mergeCell ref="E135:E137"/>
    <mergeCell ref="F135:F137"/>
    <mergeCell ref="D138:D170"/>
    <mergeCell ref="E138:E170"/>
    <mergeCell ref="F138:F170"/>
    <mergeCell ref="D129:D131"/>
    <mergeCell ref="E129:E131"/>
    <mergeCell ref="F129:F131"/>
    <mergeCell ref="D132:D134"/>
    <mergeCell ref="E132:E134"/>
    <mergeCell ref="F132:F134"/>
    <mergeCell ref="D171:D173"/>
    <mergeCell ref="E171:E173"/>
    <mergeCell ref="F171:F173"/>
    <mergeCell ref="D174:D176"/>
    <mergeCell ref="E174:E176"/>
    <mergeCell ref="F174:F176"/>
    <mergeCell ref="G174:G175"/>
    <mergeCell ref="G177:G178"/>
    <mergeCell ref="G180:G181"/>
    <mergeCell ref="D177:D179"/>
    <mergeCell ref="E177:E179"/>
    <mergeCell ref="F177:F179"/>
    <mergeCell ref="D180:D182"/>
    <mergeCell ref="E180:E182"/>
    <mergeCell ref="F180:F182"/>
    <mergeCell ref="D189:D191"/>
    <mergeCell ref="E189:E191"/>
    <mergeCell ref="F189:F191"/>
    <mergeCell ref="D192:D194"/>
    <mergeCell ref="E192:E194"/>
    <mergeCell ref="F192:F194"/>
    <mergeCell ref="D183:D185"/>
    <mergeCell ref="E183:E185"/>
    <mergeCell ref="F183:F185"/>
    <mergeCell ref="D186:D188"/>
    <mergeCell ref="E186:E188"/>
    <mergeCell ref="F186:F188"/>
    <mergeCell ref="G217:G218"/>
    <mergeCell ref="D205:D207"/>
    <mergeCell ref="E205:E207"/>
    <mergeCell ref="F205:F207"/>
    <mergeCell ref="D195:D197"/>
    <mergeCell ref="E195:E197"/>
    <mergeCell ref="F195:F197"/>
    <mergeCell ref="D198:D200"/>
    <mergeCell ref="E198:E200"/>
    <mergeCell ref="F198:F200"/>
    <mergeCell ref="D202:D204"/>
    <mergeCell ref="E202:E204"/>
    <mergeCell ref="F202:F204"/>
    <mergeCell ref="G195:G196"/>
    <mergeCell ref="G198:G199"/>
    <mergeCell ref="G202:G203"/>
    <mergeCell ref="G205:G206"/>
    <mergeCell ref="D214:D216"/>
    <mergeCell ref="E214:E216"/>
    <mergeCell ref="F214:F216"/>
    <mergeCell ref="D217:D219"/>
    <mergeCell ref="E217:E219"/>
    <mergeCell ref="F217:F219"/>
    <mergeCell ref="D208:D210"/>
    <mergeCell ref="E208:E210"/>
    <mergeCell ref="F208:F210"/>
    <mergeCell ref="D211:D213"/>
    <mergeCell ref="E211:E213"/>
    <mergeCell ref="F211:F213"/>
    <mergeCell ref="D220:D222"/>
    <mergeCell ref="E220:E222"/>
    <mergeCell ref="F220:F222"/>
    <mergeCell ref="D223:D225"/>
    <mergeCell ref="E223:E225"/>
    <mergeCell ref="F223:F225"/>
    <mergeCell ref="G220:G221"/>
    <mergeCell ref="G223:G224"/>
    <mergeCell ref="G226:G227"/>
    <mergeCell ref="G262:G263"/>
    <mergeCell ref="G265:G266"/>
    <mergeCell ref="G268:G269"/>
    <mergeCell ref="G271:G272"/>
    <mergeCell ref="D226:D258"/>
    <mergeCell ref="E226:E258"/>
    <mergeCell ref="F226:F258"/>
    <mergeCell ref="D259:D261"/>
    <mergeCell ref="E259:E261"/>
    <mergeCell ref="F259:F261"/>
    <mergeCell ref="G259:G260"/>
    <mergeCell ref="D268:D270"/>
    <mergeCell ref="E268:E270"/>
    <mergeCell ref="F268:F270"/>
    <mergeCell ref="D271:D273"/>
    <mergeCell ref="E271:E273"/>
    <mergeCell ref="F271:F273"/>
    <mergeCell ref="D262:D264"/>
    <mergeCell ref="E262:E264"/>
    <mergeCell ref="F262:F264"/>
    <mergeCell ref="D265:D267"/>
    <mergeCell ref="E265:E267"/>
    <mergeCell ref="F265:F267"/>
    <mergeCell ref="D274:D276"/>
    <mergeCell ref="E274:E276"/>
    <mergeCell ref="F274:F276"/>
    <mergeCell ref="D277:D279"/>
    <mergeCell ref="E277:E279"/>
    <mergeCell ref="F277:F279"/>
    <mergeCell ref="G274:G275"/>
    <mergeCell ref="G277:G278"/>
    <mergeCell ref="G280:G281"/>
    <mergeCell ref="G286:G287"/>
    <mergeCell ref="G290:G291"/>
    <mergeCell ref="G293:G294"/>
    <mergeCell ref="G296:G297"/>
    <mergeCell ref="D280:D282"/>
    <mergeCell ref="E280:E282"/>
    <mergeCell ref="F280:F282"/>
    <mergeCell ref="D283:D285"/>
    <mergeCell ref="E283:E285"/>
    <mergeCell ref="F283:F285"/>
    <mergeCell ref="G283:G284"/>
    <mergeCell ref="D293:D295"/>
    <mergeCell ref="E293:E295"/>
    <mergeCell ref="F293:F295"/>
    <mergeCell ref="D296:D298"/>
    <mergeCell ref="E296:E298"/>
    <mergeCell ref="F296:F298"/>
    <mergeCell ref="D286:D288"/>
    <mergeCell ref="E286:E288"/>
    <mergeCell ref="F286:F288"/>
    <mergeCell ref="D290:D292"/>
    <mergeCell ref="E290:E292"/>
    <mergeCell ref="F290:F292"/>
    <mergeCell ref="D299:D301"/>
    <mergeCell ref="E299:E301"/>
    <mergeCell ref="F299:F301"/>
    <mergeCell ref="D302:D304"/>
    <mergeCell ref="E302:E304"/>
    <mergeCell ref="F302:F304"/>
    <mergeCell ref="G299:G300"/>
    <mergeCell ref="G302:G303"/>
    <mergeCell ref="G305:G306"/>
    <mergeCell ref="G311:G312"/>
    <mergeCell ref="G314:G315"/>
    <mergeCell ref="G347:G348"/>
    <mergeCell ref="G350:G351"/>
    <mergeCell ref="D305:D307"/>
    <mergeCell ref="E305:E307"/>
    <mergeCell ref="F305:F307"/>
    <mergeCell ref="D308:D310"/>
    <mergeCell ref="E308:E310"/>
    <mergeCell ref="F308:F310"/>
    <mergeCell ref="G308:G309"/>
    <mergeCell ref="D347:D349"/>
    <mergeCell ref="E347:E349"/>
    <mergeCell ref="F347:F349"/>
    <mergeCell ref="D350:D352"/>
    <mergeCell ref="E350:E352"/>
    <mergeCell ref="F350:F352"/>
    <mergeCell ref="D311:D313"/>
    <mergeCell ref="E311:E313"/>
    <mergeCell ref="F311:F313"/>
    <mergeCell ref="D314:D346"/>
    <mergeCell ref="E314:E346"/>
    <mergeCell ref="F314:F346"/>
    <mergeCell ref="G326:G327"/>
    <mergeCell ref="D353:D355"/>
    <mergeCell ref="E353:E355"/>
    <mergeCell ref="F353:F355"/>
    <mergeCell ref="D356:D358"/>
    <mergeCell ref="E356:E358"/>
    <mergeCell ref="F356:F358"/>
    <mergeCell ref="G353:G354"/>
    <mergeCell ref="G356:G357"/>
    <mergeCell ref="G359:G360"/>
    <mergeCell ref="G365:G366"/>
    <mergeCell ref="G368:G369"/>
    <mergeCell ref="G371:G372"/>
    <mergeCell ref="G374:G375"/>
    <mergeCell ref="D359:D361"/>
    <mergeCell ref="E359:E361"/>
    <mergeCell ref="F359:F361"/>
    <mergeCell ref="D362:D364"/>
    <mergeCell ref="E362:E364"/>
    <mergeCell ref="F362:F364"/>
    <mergeCell ref="G362:G363"/>
    <mergeCell ref="D371:D373"/>
    <mergeCell ref="E371:E373"/>
    <mergeCell ref="F371:F373"/>
    <mergeCell ref="D374:D376"/>
    <mergeCell ref="E374:E376"/>
    <mergeCell ref="F374:F376"/>
    <mergeCell ref="D365:D367"/>
    <mergeCell ref="E365:E367"/>
    <mergeCell ref="F365:F367"/>
    <mergeCell ref="D368:D370"/>
    <mergeCell ref="E368:E370"/>
    <mergeCell ref="F368:F370"/>
    <mergeCell ref="F438:F440"/>
    <mergeCell ref="D441:D443"/>
    <mergeCell ref="E441:E443"/>
    <mergeCell ref="F441:F443"/>
    <mergeCell ref="G438:G439"/>
    <mergeCell ref="G441:G442"/>
    <mergeCell ref="G444:G445"/>
    <mergeCell ref="G447:G448"/>
    <mergeCell ref="F387:F389"/>
    <mergeCell ref="D402:D434"/>
    <mergeCell ref="E402:E434"/>
    <mergeCell ref="F402:F434"/>
    <mergeCell ref="D435:D437"/>
    <mergeCell ref="E435:E437"/>
    <mergeCell ref="F435:F437"/>
    <mergeCell ref="D396:D398"/>
    <mergeCell ref="E396:E398"/>
    <mergeCell ref="F396:F398"/>
    <mergeCell ref="D399:D401"/>
    <mergeCell ref="E399:E401"/>
    <mergeCell ref="F399:F401"/>
    <mergeCell ref="G435:G436"/>
    <mergeCell ref="G406:G407"/>
    <mergeCell ref="G408:G409"/>
    <mergeCell ref="D462:D464"/>
    <mergeCell ref="E462:E464"/>
    <mergeCell ref="F462:F464"/>
    <mergeCell ref="M378:M381"/>
    <mergeCell ref="D456:D458"/>
    <mergeCell ref="E456:E458"/>
    <mergeCell ref="F456:F458"/>
    <mergeCell ref="D459:D461"/>
    <mergeCell ref="E459:E461"/>
    <mergeCell ref="F459:F461"/>
    <mergeCell ref="D450:D452"/>
    <mergeCell ref="E450:E452"/>
    <mergeCell ref="F450:F452"/>
    <mergeCell ref="D453:D455"/>
    <mergeCell ref="E453:E455"/>
    <mergeCell ref="F453:F455"/>
    <mergeCell ref="D444:D446"/>
    <mergeCell ref="E444:E446"/>
    <mergeCell ref="F444:F446"/>
    <mergeCell ref="D447:D449"/>
    <mergeCell ref="E447:E449"/>
    <mergeCell ref="F447:F449"/>
    <mergeCell ref="D438:D440"/>
    <mergeCell ref="E438:E440"/>
    <mergeCell ref="G87:G88"/>
    <mergeCell ref="G90:G91"/>
    <mergeCell ref="G93:G94"/>
    <mergeCell ref="G96:G97"/>
    <mergeCell ref="G99:G100"/>
    <mergeCell ref="G102:G103"/>
    <mergeCell ref="G105:G106"/>
    <mergeCell ref="G108:G109"/>
    <mergeCell ref="G114:G115"/>
    <mergeCell ref="G117:G118"/>
    <mergeCell ref="G120:G121"/>
    <mergeCell ref="G123:G124"/>
    <mergeCell ref="G126:G127"/>
    <mergeCell ref="G129:G130"/>
    <mergeCell ref="G132:G133"/>
    <mergeCell ref="G135:G136"/>
    <mergeCell ref="G138:G139"/>
    <mergeCell ref="G171:G172"/>
    <mergeCell ref="G450:G451"/>
    <mergeCell ref="G453:G454"/>
    <mergeCell ref="G456:G457"/>
    <mergeCell ref="G459:G460"/>
    <mergeCell ref="G462:G463"/>
    <mergeCell ref="G378:G379"/>
    <mergeCell ref="G381:G382"/>
    <mergeCell ref="G384:G385"/>
    <mergeCell ref="G387:G388"/>
    <mergeCell ref="G390:G391"/>
    <mergeCell ref="G393:G394"/>
    <mergeCell ref="G396:G397"/>
    <mergeCell ref="G399:G400"/>
    <mergeCell ref="G402:G403"/>
    <mergeCell ref="G410:G411"/>
    <mergeCell ref="G412:G413"/>
    <mergeCell ref="G414:G415"/>
    <mergeCell ref="G418:G419"/>
    <mergeCell ref="G420:G421"/>
    <mergeCell ref="G422:G423"/>
    <mergeCell ref="G424:G425"/>
    <mergeCell ref="G430:G431"/>
    <mergeCell ref="G432:G433"/>
  </mergeCells>
  <dataValidations count="4">
    <dataValidation type="decimal" allowBlank="1" showErrorMessage="1" errorTitle="Ошибка" error="Допускается ввод только действительных чисел!" sqref="K290 K293 K296 K299 K302 K305 K308 K311 K314 K347 K350 K353 K356 K359 K362 K365 K368 K371 K10 K114 K195 K192 K189 K186 K183 K180 K177 K174 K171 K138 K135 K132 K129 K126 K123 K120 K117 K202 K198 K205 K208 K211 K214 K217 K220 K223 K226 K259 K262 K265 K268 K274 K277 K280 K283 K286 K271 K374 K378 K381 K384 K387 K390 K393 K396 K399 K402 K435 K438 K441 K444 K447 K450 K453 K456 K459 K462 K5 K140 K228 K316 K404 K142 K230 K318 K406 K144 K232 K320 K408 K146 K234 K322 K410 K148 K236 K324 K412 K150 K238 K326 K414 K152 K240 K328 K416 K154 K242 K330 K418 K156 K244 K332 K420 K158 K246 K334 K422 K160 K248 K336 K424 K162 K250 K338 K426 K164 K252 K340 K428 K166 K254 K342 K430 K168 K256 K344 K43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202:M203 M290:M291 M23 M114:M115 M378:M37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81:J81 I84:J84 I87:J87 I90:J90 I93:J93 I96:J96 I99:J99 I102:J102 I105:J105 I290:J290 I293:J293 I296:J296 I299:J299 I302:J302 I305:J305 I308:J308 I311:J311 I314:J314 I347:J347 I350:J350 I353:J353 I356:J356 I359:J359 I362:J362 I365:J365 I368:J368 I8:J8 I108:J108 I198:J198 I117:J117 I120:J120 I123:J123 I126:J126 I129:J129 I132:J132 I135:J135 I138:J138 I171:J171 I174:J174 I177:J177 I180:J180 I183:J183 I186:J186 I189:J189 I192:J192 I195:J195 I202:J202 I114:J114 I205:J205 I208:J208 I211:J211 I214:J214 I217:J217 I220:J220 I223:J223 I226:J226 I259:J259 I262:J262 I265:J265 I268:J268 I274:J274 I277:J277 I280:J280 I283:J283 I286:J286 I271:J271 I371:J371 I374:J374 I378:J378 I381:J381 I384:J384 I387:J387 I390:J390 I393:J393 I396:J396 I399:J399 I402:J402 I435:J435 I438:J438 I441:J441 I444:J444 I447:J447 I450:J450 I453:J453 I456:J456 I459:J459 I462:J462 I2:J2 I5:J5 I50 J50 I140 J140 I228 J228 I316 J316 I404 J404 I52 J52 I142 J142 I230 J230 I318 J318 I406 J406 I54 J54 I144 J144 I232 J232 I320 J320 I408 J408 I56 J56 I146 J146 I234 J234 I322 J322 I410 J410 I58 J58 I148 J148 I236 J236 I324 J324 I412 J412 I60 J60 I150 J150 I238 J238 I326 J326 I414 J414 I62 J62 I152 J152 I240 J240 I328 J328 I416 J416 I64 J64 I154 J154 I242 J242 I330 J330 I418 J418 I66 J66 I156 J156 I244 J244 I332 J332 I420 J420 I68 J68 I158 J158 I246 J246 I334 J334 I422 J422 I70 J70 I160 J160 I248 J248 I336 J336 I424 J424 I72 J72 I162 J162 I250 J250 I338 J338 I426 J426 I74 J74 I164 J164 I252 J252 I340 J340 I428 J428 I76 J76 I166 J166 I254 J254 I342 J342 I430 J430 I78 J78 I168 J168 I256 J256 I344 J344 I432 J432"/>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17" hidden="1" customWidth="1"/>
    <col min="2" max="2" width="9.140625" style="1287" hidden="1" customWidth="1"/>
    <col min="3" max="3" width="3.7109375" style="265" customWidth="1"/>
    <col min="4" max="4" width="6.28515625" style="1555" customWidth="1"/>
    <col min="5" max="5" width="53.85546875" style="1555" customWidth="1"/>
    <col min="6" max="7" width="35.7109375" style="1555" customWidth="1"/>
    <col min="8" max="8" width="89.5703125" style="1555" customWidth="1"/>
    <col min="9" max="9" width="10.5703125" style="1555"/>
    <col min="10" max="11" width="10.5703125" style="1544"/>
    <col min="12" max="17" width="10.5703125" style="1555"/>
  </cols>
  <sheetData>
    <row r="1" spans="1:17" ht="14.25" hidden="1" customHeight="1">
      <c r="N1" s="170"/>
      <c r="O1" s="170"/>
      <c r="Q1" s="170"/>
    </row>
    <row r="2" spans="1:17" s="1555" customFormat="1" ht="18.75" hidden="1" customHeight="1">
      <c r="A2" s="30"/>
      <c r="B2" s="1065"/>
      <c r="C2" s="1649" t="s">
        <v>101</v>
      </c>
      <c r="D2" s="1593"/>
      <c r="E2" s="1602"/>
      <c r="F2" s="172"/>
      <c r="G2" s="1066"/>
      <c r="H2" s="297"/>
      <c r="I2" s="1544"/>
      <c r="J2" s="1544"/>
    </row>
    <row r="3" spans="1:17" ht="14.25" hidden="1" customHeight="1"/>
    <row r="4" spans="1:17" ht="6" customHeight="1">
      <c r="C4" s="300"/>
      <c r="D4" s="286"/>
      <c r="E4" s="286"/>
      <c r="F4" s="286"/>
      <c r="G4" s="16"/>
      <c r="H4" s="16"/>
    </row>
    <row r="5" spans="1:17" ht="33" customHeight="1">
      <c r="C5" s="300"/>
      <c r="D5" s="7594"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7595"/>
      <c r="F5" s="7595"/>
      <c r="G5" s="7596"/>
      <c r="H5" s="181"/>
    </row>
    <row r="6" spans="1:17" s="1555" customFormat="1" ht="17.25" customHeight="1">
      <c r="A6" s="1589"/>
      <c r="B6" s="1065"/>
      <c r="C6" s="300"/>
      <c r="D6" s="7654" t="str">
        <f>IF(org=0,"Не определено",org)</f>
        <v>ГУП СК "Ставрополькрайводоканал"</v>
      </c>
      <c r="E6" s="7655"/>
      <c r="F6" s="7655"/>
      <c r="G6" s="7656"/>
      <c r="H6" s="181"/>
      <c r="J6" s="1544"/>
      <c r="K6" s="1544"/>
    </row>
    <row r="7" spans="1:17" ht="14.25" customHeight="1">
      <c r="C7" s="300"/>
      <c r="D7" s="286"/>
      <c r="E7" s="318"/>
      <c r="F7" s="318"/>
      <c r="G7" s="667"/>
      <c r="H7" s="110"/>
    </row>
    <row r="8" spans="1:17" ht="14.25" customHeight="1">
      <c r="C8" s="300"/>
      <c r="D8" s="7649" t="s">
        <v>474</v>
      </c>
      <c r="E8" s="7649"/>
      <c r="F8" s="7649"/>
      <c r="G8" s="7649"/>
      <c r="H8" s="7832" t="s">
        <v>475</v>
      </c>
    </row>
    <row r="9" spans="1:17" ht="14.25" customHeight="1">
      <c r="C9" s="300"/>
      <c r="D9" s="315" t="s">
        <v>86</v>
      </c>
      <c r="E9" s="35" t="s">
        <v>476</v>
      </c>
      <c r="F9" s="35" t="s">
        <v>477</v>
      </c>
      <c r="G9" s="35" t="s">
        <v>566</v>
      </c>
      <c r="H9" s="7832"/>
    </row>
    <row r="10" spans="1:17" ht="14.25" customHeight="1">
      <c r="A10" s="264"/>
      <c r="C10" s="300"/>
      <c r="D10" s="67" t="s">
        <v>97</v>
      </c>
      <c r="E10" s="180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2"/>
      <c r="G10" s="130"/>
      <c r="H10" s="7604" t="s">
        <v>1381</v>
      </c>
    </row>
    <row r="11" spans="1:17" ht="14.25" customHeight="1">
      <c r="A11" s="264"/>
      <c r="C11" s="300"/>
      <c r="D11" s="67" t="s">
        <v>100</v>
      </c>
      <c r="E11" s="180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2"/>
      <c r="G11" s="130"/>
      <c r="H11" s="7605"/>
    </row>
    <row r="12" spans="1:17" ht="14.25" customHeight="1">
      <c r="A12" s="30"/>
      <c r="C12" s="316"/>
      <c r="D12" s="67" t="s">
        <v>88</v>
      </c>
      <c r="E12" s="317" t="str">
        <f>"Сведения о планировании закупочных процедур"&amp;IF(TEMPLATE_SPHERE="TKO"," &lt;1&gt;","")</f>
        <v>Сведения о планировании закупочных процедур</v>
      </c>
      <c r="F12" s="172"/>
      <c r="G12" s="130"/>
      <c r="H12" s="760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1"/>
      <c r="K12" s="297"/>
    </row>
    <row r="13" spans="1:17" ht="14.25" customHeight="1">
      <c r="A13" s="30"/>
      <c r="C13" s="316"/>
      <c r="D13" s="67" t="s">
        <v>89</v>
      </c>
      <c r="E13" s="317" t="str">
        <f>"Сведения о результатах проведения закупочных процедур"&amp;IF(TEMPLATE_SPHERE="TKO"," &lt;1&gt;","")</f>
        <v>Сведения о результатах проведения закупочных процедур</v>
      </c>
      <c r="F13" s="172"/>
      <c r="G13" s="130"/>
      <c r="H13" s="7605"/>
      <c r="I13" s="271"/>
      <c r="K13" s="297"/>
    </row>
    <row r="14" spans="1:17" ht="14.25" customHeight="1">
      <c r="A14" s="264"/>
      <c r="C14" s="300"/>
      <c r="D14" s="268"/>
      <c r="E14" s="324" t="s">
        <v>1206</v>
      </c>
      <c r="F14" s="270"/>
      <c r="G14" s="118"/>
      <c r="H14" s="7606"/>
    </row>
    <row r="15" spans="1:17" s="1555" customFormat="1" ht="14.25" customHeight="1">
      <c r="A15" s="264"/>
      <c r="B15" s="1065"/>
      <c r="C15" s="300"/>
      <c r="D15" s="325"/>
      <c r="E15" s="1597"/>
      <c r="F15" s="1598"/>
      <c r="G15" s="1599"/>
      <c r="H15" s="1600"/>
      <c r="J15" s="1544"/>
      <c r="K15" s="1544"/>
    </row>
    <row r="16" spans="1:17" ht="14.25" customHeight="1">
      <c r="D16" s="1601"/>
      <c r="E16" s="7709"/>
      <c r="F16" s="7709"/>
      <c r="G16" s="7709"/>
      <c r="H16" s="7709"/>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47.85546875" style="1555" customWidth="1"/>
    <col min="6" max="6" width="9.5703125" style="1555" customWidth="1"/>
    <col min="7" max="7" width="25.7109375" style="1555" hidden="1" customWidth="1"/>
    <col min="8" max="8" width="34" style="1555" hidden="1" customWidth="1"/>
    <col min="9" max="9" width="25.7109375" style="1555" customWidth="1"/>
    <col min="10" max="10" width="34" style="1555" customWidth="1"/>
    <col min="11" max="11" width="50.85546875" style="1287" customWidth="1"/>
    <col min="12" max="20" width="10.5703125" style="1555"/>
    <col min="21" max="21" width="10.5703125" style="593"/>
  </cols>
  <sheetData>
    <row r="1" spans="1:21" s="1287" customFormat="1" ht="15" hidden="1" customHeight="1">
      <c r="C1" s="590"/>
      <c r="G1" s="346">
        <v>4</v>
      </c>
      <c r="I1" s="346">
        <v>4</v>
      </c>
      <c r="U1" s="348"/>
    </row>
    <row r="2" spans="1:21" s="1555" customFormat="1" ht="15" hidden="1" customHeight="1">
      <c r="A2" s="285"/>
      <c r="C2" s="94"/>
      <c r="D2" s="267"/>
      <c r="E2" s="591"/>
      <c r="F2" s="446"/>
      <c r="G2" s="535"/>
      <c r="H2" s="535"/>
      <c r="I2" s="535"/>
      <c r="J2" s="535"/>
      <c r="U2" s="592"/>
    </row>
    <row r="3" spans="1:21" s="1287" customFormat="1" ht="15" hidden="1" customHeight="1">
      <c r="C3" s="590"/>
      <c r="U3" s="348"/>
    </row>
    <row r="4" spans="1:21" ht="15" customHeight="1">
      <c r="C4" s="94"/>
      <c r="D4" s="433"/>
      <c r="E4" s="433"/>
      <c r="F4" s="433"/>
      <c r="G4" s="433"/>
      <c r="H4" s="433"/>
      <c r="I4" s="433"/>
      <c r="J4" s="433"/>
    </row>
    <row r="5" spans="1:21" ht="63" customHeight="1">
      <c r="C5" s="94"/>
      <c r="D5" s="7673" t="s">
        <v>1382</v>
      </c>
      <c r="E5" s="7673"/>
      <c r="F5" s="7673"/>
      <c r="G5" s="7673"/>
      <c r="H5" s="7673"/>
      <c r="I5" s="7673"/>
      <c r="J5" s="7673"/>
    </row>
    <row r="6" spans="1:21" ht="15" customHeight="1">
      <c r="C6" s="94"/>
      <c r="D6" s="7620" t="str">
        <f>IF(org=0,"Не определено",org)</f>
        <v>ГУП СК "Ставрополькрайводоканал"</v>
      </c>
      <c r="E6" s="7620"/>
      <c r="F6" s="7620"/>
      <c r="G6" s="7620"/>
      <c r="H6" s="7620"/>
      <c r="I6" s="7620"/>
      <c r="J6" s="7620"/>
      <c r="K6" s="460"/>
    </row>
    <row r="7" spans="1:21" ht="15" customHeight="1">
      <c r="C7" s="94"/>
      <c r="D7" s="667"/>
      <c r="E7" s="433"/>
      <c r="F7" s="433"/>
      <c r="G7" s="460">
        <v>22</v>
      </c>
      <c r="I7" s="460">
        <v>1</v>
      </c>
      <c r="J7" s="667"/>
    </row>
    <row r="8" spans="1:21" s="1555" customFormat="1" ht="0.75" customHeight="1">
      <c r="A8" s="674"/>
      <c r="C8" s="94"/>
      <c r="D8" s="433"/>
      <c r="E8" s="433"/>
      <c r="F8" s="433"/>
      <c r="G8" s="460"/>
      <c r="H8" s="667"/>
      <c r="I8" s="460" t="s">
        <v>231</v>
      </c>
      <c r="J8" s="667"/>
      <c r="K8" s="346"/>
      <c r="U8" s="593"/>
    </row>
    <row r="9" spans="1:21" ht="15" customHeight="1">
      <c r="C9" s="94"/>
      <c r="D9" s="628"/>
      <c r="E9" s="7764" t="s">
        <v>223</v>
      </c>
      <c r="F9" s="7765"/>
      <c r="G9" s="7785" t="str">
        <f>IF(G8="","",INDEX(DIFFERENTIATION_UNMERGE_VD,MATCH(G8,DIFFERENTIATION_ID_DIFF,0)))</f>
        <v/>
      </c>
      <c r="H9" s="7786"/>
      <c r="I9" s="7785">
        <f>IF(I8="","",INDEX(DIFFERENTIATION_UNMERGE_VD,MATCH(I8,DIFFERENTIATION_ID_DIFF,0)))</f>
        <v>0</v>
      </c>
      <c r="J9" s="7786"/>
      <c r="K9" s="7619" t="s">
        <v>475</v>
      </c>
    </row>
    <row r="10" spans="1:21" s="1555" customFormat="1" ht="15" customHeight="1">
      <c r="A10" s="674"/>
      <c r="C10" s="94"/>
      <c r="D10" s="628"/>
      <c r="E10" s="7764" t="s">
        <v>733</v>
      </c>
      <c r="F10" s="7765"/>
      <c r="G10" s="7785" t="str">
        <f>IF(G8="","",INDEX(DIFFERENTIATION_UNMERGE_AREA,MATCH(G8,DIFFERENTIATION_ID_DIFF,0)))</f>
        <v/>
      </c>
      <c r="H10" s="7786"/>
      <c r="I10" s="7785" t="str">
        <f>IF(I8="","",INDEX(DIFFERENTIATION_UNMERGE_AREA,MATCH(I8,DIFFERENTIATION_ID_DIFF,0)))</f>
        <v/>
      </c>
      <c r="J10" s="7786"/>
      <c r="K10" s="7638"/>
      <c r="U10" s="593"/>
    </row>
    <row r="11" spans="1:21" s="1555" customFormat="1" ht="15" customHeight="1">
      <c r="A11" s="674"/>
      <c r="C11" s="94"/>
      <c r="D11" s="628"/>
      <c r="E11" s="7764" t="s">
        <v>734</v>
      </c>
      <c r="F11" s="7765"/>
      <c r="G11" s="7785" t="str">
        <f>IF(G8="","",INDEX(DIFFERENTIATION_UNMERGE_SYSTEM,MATCH(G8,DIFFERENTIATION_ID_DIFF,0)))</f>
        <v/>
      </c>
      <c r="H11" s="7786"/>
      <c r="I11" s="7785" t="str">
        <f>IF(I8="","",INDEX(DIFFERENTIATION_UNMERGE_SYSTEM,MATCH(I8,DIFFERENTIATION_ID_DIFF,0)))</f>
        <v>без дифференциации</v>
      </c>
      <c r="J11" s="7786"/>
      <c r="K11" s="7638"/>
      <c r="U11" s="593"/>
    </row>
    <row r="12" spans="1:21" s="1555" customFormat="1" ht="15" customHeight="1">
      <c r="A12" s="674"/>
      <c r="C12" s="94"/>
      <c r="D12" s="7766" t="s">
        <v>474</v>
      </c>
      <c r="E12" s="7767"/>
      <c r="F12" s="7767"/>
      <c r="G12" s="801"/>
      <c r="H12" s="801"/>
      <c r="I12" s="801"/>
      <c r="J12" s="801"/>
      <c r="K12" s="7638"/>
      <c r="U12" s="593"/>
    </row>
    <row r="13" spans="1:21" ht="33.75" customHeight="1">
      <c r="C13" s="94"/>
      <c r="D13" s="719" t="s">
        <v>86</v>
      </c>
      <c r="E13" s="721" t="s">
        <v>476</v>
      </c>
      <c r="F13" s="721" t="s">
        <v>735</v>
      </c>
      <c r="G13" s="722" t="s">
        <v>477</v>
      </c>
      <c r="H13" s="721" t="s">
        <v>566</v>
      </c>
      <c r="I13" s="722" t="s">
        <v>477</v>
      </c>
      <c r="J13" s="721" t="s">
        <v>566</v>
      </c>
      <c r="K13" s="7668"/>
    </row>
    <row r="14" spans="1:21" ht="15" hidden="1" customHeight="1">
      <c r="C14" s="94"/>
      <c r="D14" s="514" t="s">
        <v>97</v>
      </c>
      <c r="E14" s="514" t="s">
        <v>100</v>
      </c>
      <c r="F14" s="514" t="s">
        <v>88</v>
      </c>
      <c r="G14" s="577" t="str">
        <f>G1&amp;".1"</f>
        <v>4.1</v>
      </c>
      <c r="H14" s="577"/>
      <c r="I14" s="577" t="str">
        <f>I1&amp;".1"</f>
        <v>4.1</v>
      </c>
      <c r="J14" s="577"/>
      <c r="K14" s="204"/>
    </row>
    <row r="15" spans="1:21" ht="22.5" hidden="1" customHeight="1">
      <c r="A15" s="429"/>
      <c r="C15" s="450"/>
      <c r="D15" s="445">
        <v>1</v>
      </c>
      <c r="E15" s="595" t="s">
        <v>892</v>
      </c>
      <c r="F15" s="445" t="s">
        <v>893</v>
      </c>
      <c r="G15" s="596"/>
      <c r="H15" s="596"/>
      <c r="I15" s="596"/>
      <c r="J15" s="596"/>
      <c r="K15" s="204" t="s">
        <v>894</v>
      </c>
    </row>
    <row r="16" spans="1:21" ht="22.5" hidden="1" customHeight="1">
      <c r="A16" s="429"/>
      <c r="C16" s="450"/>
      <c r="D16" s="445">
        <v>2</v>
      </c>
      <c r="E16" s="195" t="s">
        <v>895</v>
      </c>
      <c r="F16" s="445" t="s">
        <v>896</v>
      </c>
      <c r="G16" s="596"/>
      <c r="H16" s="596"/>
      <c r="I16" s="596"/>
      <c r="J16" s="596"/>
      <c r="K16" s="204" t="s">
        <v>897</v>
      </c>
    </row>
    <row r="17" spans="1:11" ht="123.75" hidden="1" customHeight="1">
      <c r="A17" s="429"/>
      <c r="C17" s="450"/>
      <c r="D17" s="445">
        <v>3</v>
      </c>
      <c r="E17" s="195" t="s">
        <v>1383</v>
      </c>
      <c r="F17" s="445" t="s">
        <v>480</v>
      </c>
      <c r="G17" s="596"/>
      <c r="H17" s="596"/>
      <c r="I17" s="596"/>
      <c r="J17" s="596"/>
      <c r="K17" s="204" t="s">
        <v>1384</v>
      </c>
    </row>
    <row r="18" spans="1:11" ht="45" customHeight="1">
      <c r="A18" s="429"/>
      <c r="C18" s="450"/>
      <c r="D18" s="445">
        <v>4</v>
      </c>
      <c r="E18" s="195" t="s">
        <v>898</v>
      </c>
      <c r="F18" s="445" t="s">
        <v>480</v>
      </c>
      <c r="G18" s="723" t="s">
        <v>480</v>
      </c>
      <c r="H18" s="724" t="s">
        <v>480</v>
      </c>
      <c r="I18" s="445" t="s">
        <v>480</v>
      </c>
      <c r="J18" s="501" t="s">
        <v>480</v>
      </c>
      <c r="K18" s="204" t="s">
        <v>1385</v>
      </c>
    </row>
    <row r="19" spans="1:11" ht="33.75" customHeight="1">
      <c r="A19" s="429"/>
      <c r="C19" s="450"/>
      <c r="D19" s="462" t="s">
        <v>836</v>
      </c>
      <c r="E19" s="482" t="s">
        <v>900</v>
      </c>
      <c r="F19" s="445" t="s">
        <v>901</v>
      </c>
      <c r="G19" s="731"/>
      <c r="H19" s="33"/>
      <c r="I19" s="731"/>
      <c r="J19" s="732"/>
      <c r="K19" s="597"/>
    </row>
    <row r="20" spans="1:11" ht="33.75" customHeight="1">
      <c r="A20" s="429"/>
      <c r="C20" s="450"/>
      <c r="D20" s="462" t="s">
        <v>879</v>
      </c>
      <c r="E20" s="482" t="s">
        <v>902</v>
      </c>
      <c r="F20" s="445" t="s">
        <v>903</v>
      </c>
      <c r="G20" s="731"/>
      <c r="H20" s="33"/>
      <c r="I20" s="731"/>
      <c r="J20" s="33"/>
      <c r="K20" s="597"/>
    </row>
    <row r="21" spans="1:11" ht="45" customHeight="1">
      <c r="A21" s="429"/>
      <c r="C21" s="450"/>
      <c r="D21" s="462" t="s">
        <v>882</v>
      </c>
      <c r="E21" s="482" t="s">
        <v>904</v>
      </c>
      <c r="F21" s="445" t="s">
        <v>740</v>
      </c>
      <c r="G21" s="598"/>
      <c r="H21" s="33"/>
      <c r="I21" s="598"/>
      <c r="J21" s="33"/>
      <c r="K21" s="597"/>
    </row>
    <row r="22" spans="1:11" ht="67.5" hidden="1" customHeight="1">
      <c r="A22" s="429"/>
      <c r="C22" s="450"/>
      <c r="D22" s="445">
        <v>5</v>
      </c>
      <c r="E22" s="195" t="s">
        <v>1386</v>
      </c>
      <c r="F22" s="445" t="s">
        <v>727</v>
      </c>
      <c r="G22" s="599"/>
      <c r="H22" s="600"/>
      <c r="I22" s="599"/>
      <c r="J22" s="600"/>
      <c r="K22" s="204" t="s">
        <v>1387</v>
      </c>
    </row>
    <row r="23" spans="1:11" ht="33.75" hidden="1" customHeight="1">
      <c r="C23" s="376"/>
      <c r="D23" s="445">
        <v>6</v>
      </c>
      <c r="E23" s="195" t="s">
        <v>1388</v>
      </c>
      <c r="F23" s="445" t="s">
        <v>1389</v>
      </c>
      <c r="G23" s="599"/>
      <c r="H23" s="599"/>
      <c r="I23" s="599"/>
      <c r="J23" s="599"/>
      <c r="K23" s="204" t="s">
        <v>1390</v>
      </c>
    </row>
    <row r="29" spans="1:11" ht="15" customHeight="1">
      <c r="J29" s="733"/>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8" hidden="1"/>
    <col min="2" max="2" width="9.140625" style="1742" hidden="1"/>
    <col min="3" max="3" width="3.7109375" style="43" customWidth="1"/>
    <col min="4" max="4" width="7" style="1742" customWidth="1"/>
    <col min="5" max="5" width="23.140625" style="1742" customWidth="1"/>
    <col min="6" max="6" width="16" style="1742" customWidth="1"/>
    <col min="7" max="7" width="14.85546875" style="1742" customWidth="1"/>
    <col min="8" max="8" width="47.85546875" style="1742" customWidth="1"/>
    <col min="9" max="9" width="115.7109375" style="1742" customWidth="1"/>
    <col min="10" max="10" width="3.7109375" style="1742" customWidth="1"/>
    <col min="11" max="12" width="9.140625" style="1742"/>
  </cols>
  <sheetData>
    <row r="1" spans="1:12" ht="14.25" hidden="1" customHeight="1"/>
    <row r="2" spans="1:12" ht="14.25" hidden="1" customHeight="1"/>
    <row r="3" spans="1:12" ht="14.25" hidden="1" customHeight="1"/>
    <row r="4" spans="1:12" ht="3" customHeight="1"/>
    <row r="5" spans="1:12" s="1555" customFormat="1" ht="30" customHeight="1">
      <c r="A5" s="41"/>
      <c r="C5" s="19"/>
      <c r="D5" s="7535" t="s">
        <v>1391</v>
      </c>
      <c r="E5" s="7535"/>
      <c r="F5" s="7535"/>
      <c r="G5" s="7535"/>
      <c r="H5" s="7535"/>
      <c r="I5" s="180"/>
    </row>
    <row r="6" spans="1:12" ht="3" hidden="1" customHeight="1">
      <c r="D6" s="45"/>
      <c r="E6" s="45"/>
      <c r="F6" s="45"/>
      <c r="G6" s="45"/>
      <c r="H6" s="45"/>
      <c r="I6" s="45"/>
    </row>
    <row r="7" spans="1:12" s="298" customFormat="1" ht="14.25" customHeight="1">
      <c r="B7" s="42"/>
      <c r="C7" s="43"/>
      <c r="D7" s="46"/>
      <c r="E7" s="46"/>
      <c r="F7" s="46"/>
      <c r="G7" s="46"/>
      <c r="H7" s="667"/>
      <c r="I7" s="46"/>
      <c r="J7" s="47"/>
    </row>
    <row r="8" spans="1:12" ht="14.25" customHeight="1">
      <c r="D8" s="7649" t="s">
        <v>474</v>
      </c>
      <c r="E8" s="7649"/>
      <c r="F8" s="7649"/>
      <c r="G8" s="7649"/>
      <c r="H8" s="7649"/>
      <c r="I8" s="7649" t="s">
        <v>475</v>
      </c>
    </row>
    <row r="9" spans="1:12" ht="27.75" customHeight="1">
      <c r="D9" s="7649" t="s">
        <v>86</v>
      </c>
      <c r="E9" s="7649" t="s">
        <v>1392</v>
      </c>
      <c r="F9" s="7649"/>
      <c r="G9" s="7649"/>
      <c r="H9" s="7649"/>
      <c r="I9" s="7649"/>
    </row>
    <row r="10" spans="1:12" ht="22.5" customHeight="1">
      <c r="D10" s="7649"/>
      <c r="E10" s="50" t="s">
        <v>1393</v>
      </c>
      <c r="F10" s="50" t="s">
        <v>1394</v>
      </c>
      <c r="G10" s="50" t="s">
        <v>1395</v>
      </c>
      <c r="H10" s="50" t="s">
        <v>566</v>
      </c>
      <c r="I10" s="7649"/>
    </row>
    <row r="11" spans="1:12" ht="12" hidden="1" customHeight="1">
      <c r="D11" s="18" t="s">
        <v>97</v>
      </c>
      <c r="E11" s="18" t="s">
        <v>89</v>
      </c>
      <c r="F11" s="18" t="s">
        <v>111</v>
      </c>
      <c r="G11" s="18" t="s">
        <v>90</v>
      </c>
      <c r="H11" s="18" t="s">
        <v>91</v>
      </c>
      <c r="I11" s="18" t="s">
        <v>121</v>
      </c>
    </row>
    <row r="12" spans="1:12" s="1742" customFormat="1" ht="24.75" customHeight="1">
      <c r="A12" s="65" t="s">
        <v>88</v>
      </c>
      <c r="B12" s="48" t="s">
        <v>24</v>
      </c>
      <c r="C12" s="49"/>
      <c r="D12" s="51" t="s">
        <v>97</v>
      </c>
      <c r="E12" s="310"/>
      <c r="F12" s="310"/>
      <c r="G12" s="1653" t="s">
        <v>24</v>
      </c>
      <c r="H12" s="311"/>
      <c r="I12" s="7604" t="s">
        <v>1396</v>
      </c>
      <c r="K12" s="187"/>
      <c r="L12" s="188"/>
    </row>
    <row r="13" spans="1:12" ht="15" customHeight="1">
      <c r="A13" s="44"/>
      <c r="B13" s="44"/>
      <c r="C13" s="44"/>
      <c r="D13" s="36"/>
      <c r="E13" s="53" t="s">
        <v>640</v>
      </c>
      <c r="F13" s="52"/>
      <c r="G13" s="52"/>
      <c r="H13" s="131"/>
      <c r="I13" s="7606"/>
    </row>
    <row r="14" spans="1:12" ht="3" customHeight="1">
      <c r="A14" s="44"/>
      <c r="B14" s="44"/>
      <c r="C14" s="44"/>
    </row>
    <row r="15" spans="1:12" ht="27.75" customHeight="1">
      <c r="E15" s="7845" t="s">
        <v>1397</v>
      </c>
      <c r="F15" s="7845"/>
      <c r="G15" s="7845"/>
      <c r="H15" s="7845"/>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9" width="9.140625" style="179"/>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7846" t="s">
        <v>1398</v>
      </c>
      <c r="E7" s="7847"/>
      <c r="F7" s="182"/>
    </row>
    <row r="8" spans="3:9" ht="3" customHeight="1">
      <c r="C8" s="21"/>
      <c r="D8" s="3"/>
      <c r="E8" s="3"/>
    </row>
    <row r="9" spans="3:9" ht="15.75" customHeight="1">
      <c r="C9" s="21"/>
      <c r="D9" s="32" t="s">
        <v>86</v>
      </c>
      <c r="E9" s="175" t="s">
        <v>1399</v>
      </c>
    </row>
    <row r="10" spans="3:9" ht="0.75" customHeight="1">
      <c r="C10" s="21"/>
      <c r="D10" s="18"/>
      <c r="E10" s="18"/>
    </row>
    <row r="11" spans="3:9" ht="11.25" hidden="1" customHeight="1">
      <c r="C11" s="21"/>
      <c r="D11" s="70">
        <v>0</v>
      </c>
      <c r="E11" s="176"/>
    </row>
    <row r="12" spans="3:9" ht="15" customHeight="1">
      <c r="C12" s="58"/>
      <c r="D12" s="39">
        <v>1</v>
      </c>
      <c r="E12" s="303"/>
    </row>
    <row r="13" spans="3:9" ht="12" customHeight="1">
      <c r="C13" s="21"/>
      <c r="D13" s="177"/>
      <c r="E13" s="178" t="s">
        <v>1400</v>
      </c>
    </row>
    <row r="14" spans="3:9" ht="3" customHeight="1"/>
    <row r="15" spans="3:9" ht="22.5" customHeight="1">
      <c r="C15" s="59"/>
      <c r="D15" s="7845" t="s">
        <v>1401</v>
      </c>
      <c r="E15" s="7845"/>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5" hidden="1" customWidth="1"/>
    <col min="3" max="3" width="3.7109375" style="379" customWidth="1"/>
    <col min="4" max="4" width="6.85546875" style="380" customWidth="1"/>
    <col min="5" max="5" width="52.28515625" style="379" customWidth="1"/>
    <col min="6" max="6" width="48.85546875" style="379" customWidth="1"/>
    <col min="7" max="7" width="93.42578125" style="379" customWidth="1"/>
    <col min="8" max="8" width="9.140625" style="379"/>
    <col min="9" max="9" width="65" style="379" customWidth="1"/>
  </cols>
  <sheetData>
    <row r="1" spans="1:9" ht="11.25" hidden="1" customHeight="1">
      <c r="A1" s="425" t="s">
        <v>473</v>
      </c>
    </row>
    <row r="2" spans="1:9" ht="22.5" hidden="1" customHeight="1">
      <c r="A2" s="426"/>
      <c r="B2" s="426"/>
      <c r="C2" s="381"/>
      <c r="D2" s="1435"/>
      <c r="E2" s="1441"/>
      <c r="F2" s="1471"/>
      <c r="H2" s="399"/>
    </row>
    <row r="3" spans="1:9" ht="11.25" hidden="1" customHeight="1"/>
    <row r="4" spans="1:9" ht="11.25" customHeight="1">
      <c r="A4" s="1472"/>
      <c r="B4" s="1472"/>
    </row>
    <row r="5" spans="1:9" ht="24" customHeight="1">
      <c r="D5" s="7552"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холодного водоснабжения (далее – орган регулирования тарифов)</v>
      </c>
      <c r="E5" s="7553"/>
      <c r="F5" s="7554"/>
      <c r="I5" s="632"/>
    </row>
    <row r="6" spans="1:9" ht="17.25" customHeight="1">
      <c r="D6" s="7620" t="str">
        <f>IF(region_name=0,"Не определено",region_name)</f>
        <v>Ставропольский край</v>
      </c>
      <c r="E6" s="7620"/>
      <c r="F6" s="7620"/>
      <c r="I6" s="632"/>
    </row>
    <row r="7" spans="1:9" s="401" customFormat="1" ht="11.25" customHeight="1">
      <c r="A7" s="425"/>
      <c r="B7" s="425"/>
      <c r="D7" s="631"/>
      <c r="E7" s="631"/>
      <c r="F7" s="667"/>
      <c r="G7" s="631"/>
    </row>
    <row r="8" spans="1:9" ht="11.25" hidden="1" customHeight="1">
      <c r="A8" s="426"/>
      <c r="B8" s="426"/>
      <c r="C8" s="381"/>
      <c r="D8" s="387"/>
      <c r="E8" s="7647"/>
      <c r="F8" s="7647"/>
    </row>
    <row r="9" spans="1:9" ht="11.25" customHeight="1">
      <c r="A9" s="426"/>
      <c r="B9" s="426"/>
      <c r="C9" s="381"/>
      <c r="D9" s="7643" t="s">
        <v>474</v>
      </c>
      <c r="E9" s="7644"/>
      <c r="F9" s="7644"/>
      <c r="G9" s="7648" t="s">
        <v>475</v>
      </c>
    </row>
    <row r="10" spans="1:9" ht="11.25" customHeight="1">
      <c r="A10" s="426"/>
      <c r="B10" s="426"/>
      <c r="C10" s="381"/>
      <c r="D10" s="1389" t="s">
        <v>86</v>
      </c>
      <c r="E10" s="1391" t="s">
        <v>476</v>
      </c>
      <c r="F10" s="1391" t="s">
        <v>477</v>
      </c>
      <c r="G10" s="7649"/>
    </row>
    <row r="11" spans="1:9" ht="0.75" customHeight="1">
      <c r="A11" s="426"/>
      <c r="B11" s="426"/>
      <c r="C11" s="381"/>
      <c r="D11" s="388"/>
      <c r="E11" s="388"/>
      <c r="F11" s="388"/>
      <c r="G11" s="388"/>
    </row>
    <row r="12" spans="1:9" ht="22.5" customHeight="1">
      <c r="A12" s="426"/>
      <c r="B12" s="426"/>
      <c r="C12" s="381"/>
      <c r="D12" s="1435">
        <v>1</v>
      </c>
      <c r="E12" s="398" t="s">
        <v>1402</v>
      </c>
      <c r="F12" s="1778" t="str">
        <f>IF(org="","",org)</f>
        <v>ГУП СК "Ставрополькрайводоканал"</v>
      </c>
      <c r="G12" s="398" t="s">
        <v>1403</v>
      </c>
      <c r="H12" s="1448"/>
    </row>
    <row r="13" spans="1:9" ht="18.75" customHeight="1">
      <c r="A13" s="426"/>
      <c r="B13" s="426"/>
      <c r="C13" s="381"/>
      <c r="D13" s="1435">
        <v>2</v>
      </c>
      <c r="E13" s="1442" t="s">
        <v>1404</v>
      </c>
      <c r="F13" s="1436" t="s">
        <v>480</v>
      </c>
      <c r="G13" s="398"/>
      <c r="H13" s="1448"/>
    </row>
    <row r="14" spans="1:9" ht="18.75" customHeight="1">
      <c r="A14" s="426"/>
      <c r="B14" s="426"/>
      <c r="C14" s="381"/>
      <c r="D14" s="1438" t="s">
        <v>791</v>
      </c>
      <c r="E14" s="1439" t="s">
        <v>1405</v>
      </c>
      <c r="F14" s="1441"/>
      <c r="G14" s="1440" t="s">
        <v>1406</v>
      </c>
      <c r="H14" s="1448"/>
    </row>
    <row r="15" spans="1:9" ht="18.75" customHeight="1">
      <c r="A15" s="426"/>
      <c r="B15" s="426"/>
      <c r="C15" s="381"/>
      <c r="D15" s="1438" t="s">
        <v>481</v>
      </c>
      <c r="E15" s="1439" t="s">
        <v>1407</v>
      </c>
      <c r="F15" s="1441"/>
      <c r="G15" s="1440" t="s">
        <v>1408</v>
      </c>
      <c r="H15" s="1448"/>
    </row>
    <row r="16" spans="1:9" ht="36.75" customHeight="1">
      <c r="A16" s="426"/>
      <c r="B16" s="426"/>
      <c r="C16" s="381"/>
      <c r="D16" s="1438" t="s">
        <v>484</v>
      </c>
      <c r="E16" s="1437" t="s">
        <v>1409</v>
      </c>
      <c r="F16" s="1446"/>
      <c r="G16" s="398" t="s">
        <v>1410</v>
      </c>
      <c r="H16" s="1448"/>
    </row>
    <row r="17" spans="1:9" ht="45" customHeight="1">
      <c r="A17" s="426"/>
      <c r="B17" s="426"/>
      <c r="C17" s="381"/>
      <c r="D17" s="1435">
        <v>3</v>
      </c>
      <c r="E17" s="1442" t="s">
        <v>1411</v>
      </c>
      <c r="F17" s="1441"/>
      <c r="G17" s="398" t="s">
        <v>1412</v>
      </c>
      <c r="H17" s="1448"/>
    </row>
    <row r="18" spans="1:9" ht="45" customHeight="1">
      <c r="A18" s="1390">
        <v>1</v>
      </c>
      <c r="B18" s="426"/>
      <c r="C18" s="1392"/>
      <c r="D18" s="1435" t="s">
        <v>89</v>
      </c>
      <c r="E18" s="1442" t="s">
        <v>1413</v>
      </c>
      <c r="F18" s="1441"/>
      <c r="G18" s="398" t="s">
        <v>1412</v>
      </c>
      <c r="H18" s="1448"/>
      <c r="I18" s="766"/>
    </row>
    <row r="19" spans="1:9" ht="22.5" customHeight="1">
      <c r="A19" s="426"/>
      <c r="B19" s="426"/>
      <c r="C19" s="381"/>
      <c r="D19" s="1435" t="s">
        <v>111</v>
      </c>
      <c r="E19" s="1442" t="s">
        <v>1414</v>
      </c>
      <c r="F19" s="1436" t="s">
        <v>480</v>
      </c>
      <c r="G19" s="7848" t="s">
        <v>1415</v>
      </c>
      <c r="H19" s="399"/>
    </row>
    <row r="20" spans="1:9" s="1445" customFormat="1" ht="5.25" hidden="1" customHeight="1">
      <c r="A20" s="426"/>
      <c r="B20" s="426"/>
      <c r="C20" s="1444"/>
      <c r="D20" s="1443" t="s">
        <v>1199</v>
      </c>
      <c r="E20" s="925"/>
      <c r="F20" s="924"/>
      <c r="G20" s="7849"/>
    </row>
    <row r="21" spans="1:9" ht="15" customHeight="1">
      <c r="A21" s="426"/>
      <c r="B21" s="426"/>
      <c r="C21" s="381"/>
      <c r="D21" s="391"/>
      <c r="E21" s="344" t="s">
        <v>515</v>
      </c>
      <c r="F21" s="393"/>
      <c r="G21" s="7850"/>
      <c r="H21" s="1448"/>
    </row>
    <row r="22" spans="1:9" s="425" customFormat="1" ht="24.75" customHeight="1">
      <c r="A22" s="426"/>
      <c r="B22" s="426"/>
      <c r="C22" s="426"/>
      <c r="D22" s="1435" t="s">
        <v>90</v>
      </c>
      <c r="E22" s="398" t="s">
        <v>1416</v>
      </c>
      <c r="F22" s="1441"/>
      <c r="G22" s="398" t="s">
        <v>1417</v>
      </c>
      <c r="H22" s="1447"/>
    </row>
    <row r="23" spans="1:9" s="425" customFormat="1" ht="18.75" customHeight="1">
      <c r="A23" s="426"/>
      <c r="B23" s="426"/>
      <c r="C23" s="426"/>
      <c r="D23" s="1435" t="s">
        <v>91</v>
      </c>
      <c r="E23" s="1442" t="s">
        <v>1418</v>
      </c>
      <c r="F23" s="1446"/>
      <c r="G23" s="398" t="s">
        <v>1419</v>
      </c>
      <c r="H23" s="1447"/>
    </row>
    <row r="24" spans="1:9" ht="11.25" customHeight="1">
      <c r="A24" s="426"/>
      <c r="B24" s="426"/>
      <c r="C24" s="381"/>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6.28515625" style="1555" customWidth="1"/>
    <col min="6" max="6" width="46.7109375" style="1555" customWidth="1"/>
    <col min="7" max="8" width="16.7109375" style="1555" customWidth="1"/>
    <col min="9" max="9" width="35.28515625" style="1555" customWidth="1"/>
    <col min="10" max="10" width="89.5703125" style="1555" customWidth="1"/>
    <col min="11" max="11" width="3.7109375" style="1544" customWidth="1"/>
    <col min="12" max="14" width="9.140625" style="1544"/>
    <col min="15" max="15" width="25.7109375" style="1544" customWidth="1"/>
    <col min="16" max="16" width="14.42578125" style="1544" customWidth="1"/>
    <col min="17" max="20" width="9.140625" style="142"/>
    <col min="21" max="254" width="9.140625" style="1555"/>
  </cols>
  <sheetData>
    <row r="1" spans="1:254" ht="14.25" hidden="1" customHeight="1"/>
    <row r="2" spans="1:254" s="1827" customFormat="1" ht="22.5" hidden="1" customHeight="1">
      <c r="A2" s="745"/>
      <c r="B2" s="1065">
        <v>1</v>
      </c>
      <c r="C2" s="1065"/>
      <c r="D2" s="715"/>
      <c r="E2" s="1399"/>
      <c r="F2" s="1406"/>
      <c r="G2" s="1406"/>
      <c r="H2" s="1406"/>
      <c r="I2" s="1453"/>
      <c r="J2" s="145"/>
      <c r="K2" s="1450" t="e">
        <f ca="1">MERGEVALUE(F2)</f>
        <v>#NAME?</v>
      </c>
      <c r="L2" s="435"/>
      <c r="M2" s="435"/>
      <c r="N2" s="424" t="str">
        <f t="array" ref="N2">IF(ISERROR(MATCH(MID(O2,1,250),MID(note_ter,1,250),0)),"n","y")</f>
        <v>n</v>
      </c>
      <c r="O2" s="435"/>
      <c r="P2" s="424" t="str">
        <f>G2&amp;"("&amp;J2&amp;")"</f>
        <v>()</v>
      </c>
      <c r="Q2" s="1065"/>
      <c r="R2" s="1065"/>
      <c r="S2" s="348"/>
      <c r="T2" s="1065"/>
      <c r="U2" s="1065"/>
      <c r="V2" s="1065"/>
      <c r="W2" s="350"/>
      <c r="X2" s="350"/>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50"/>
      <c r="BU2" s="350"/>
      <c r="BV2" s="350"/>
      <c r="BW2" s="350"/>
      <c r="BX2" s="350"/>
      <c r="BY2" s="350"/>
      <c r="BZ2" s="350"/>
      <c r="CA2" s="350"/>
      <c r="CB2" s="350"/>
      <c r="CC2" s="350"/>
    </row>
    <row r="3" spans="1:254" s="1562" customFormat="1" ht="5.25" hidden="1" customHeight="1">
      <c r="A3" s="420"/>
      <c r="D3" s="418"/>
      <c r="F3" s="162" t="s">
        <v>81</v>
      </c>
      <c r="G3" s="418" t="s">
        <v>82</v>
      </c>
      <c r="H3" s="418"/>
      <c r="I3" s="418"/>
      <c r="J3" s="144" t="s">
        <v>83</v>
      </c>
      <c r="K3" s="162" t="s">
        <v>81</v>
      </c>
      <c r="L3" s="162"/>
      <c r="M3" s="162"/>
      <c r="N3" s="162"/>
      <c r="O3" s="163"/>
      <c r="P3" s="162"/>
      <c r="Q3" s="162"/>
      <c r="R3" s="162"/>
      <c r="S3" s="162"/>
      <c r="T3" s="162"/>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row>
    <row r="4" spans="1:254" s="1739" customFormat="1" ht="14.25" customHeight="1">
      <c r="A4" s="1060"/>
      <c r="B4" s="1065"/>
      <c r="C4" s="1060"/>
      <c r="D4" s="1410"/>
      <c r="E4" s="433"/>
      <c r="F4" s="433"/>
      <c r="G4" s="433"/>
      <c r="H4" s="433"/>
      <c r="I4" s="433"/>
      <c r="J4" s="84"/>
      <c r="K4" s="162"/>
      <c r="L4" s="424"/>
      <c r="M4" s="424"/>
      <c r="N4" s="424"/>
      <c r="O4" s="143"/>
      <c r="P4" s="424"/>
      <c r="Q4" s="142"/>
      <c r="R4" s="142"/>
      <c r="S4" s="142"/>
      <c r="T4" s="142"/>
    </row>
    <row r="5" spans="1:254" s="1739" customFormat="1" ht="25.5" customHeight="1">
      <c r="A5" s="1060"/>
      <c r="B5" s="1065"/>
      <c r="C5" s="1060"/>
      <c r="D5" s="1410"/>
      <c r="E5" s="7535"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холодного водоснабжения</v>
      </c>
      <c r="F5" s="7535"/>
      <c r="G5" s="7535"/>
      <c r="H5" s="7535"/>
      <c r="I5" s="7535"/>
      <c r="J5" s="7535"/>
      <c r="K5" s="162"/>
      <c r="L5" s="424"/>
      <c r="M5" s="424"/>
      <c r="N5" s="424"/>
      <c r="O5" s="143"/>
      <c r="P5" s="424"/>
      <c r="Q5" s="142"/>
      <c r="R5" s="142"/>
      <c r="S5" s="142"/>
      <c r="T5" s="142"/>
    </row>
    <row r="6" spans="1:254" s="1739" customFormat="1" ht="14.25" customHeight="1">
      <c r="A6" s="1060"/>
      <c r="B6" s="1065"/>
      <c r="C6" s="1060"/>
      <c r="D6" s="1410"/>
      <c r="E6" s="433"/>
      <c r="F6" s="85"/>
      <c r="G6" s="85"/>
      <c r="H6" s="85"/>
      <c r="I6" s="85"/>
      <c r="J6" s="86"/>
      <c r="K6" s="424"/>
      <c r="L6" s="424"/>
      <c r="M6" s="424"/>
      <c r="N6" s="424"/>
      <c r="O6" s="143"/>
      <c r="P6" s="424"/>
      <c r="Q6" s="142"/>
      <c r="R6" s="142"/>
      <c r="S6" s="142"/>
      <c r="T6" s="142"/>
    </row>
    <row r="7" spans="1:254" s="1739" customFormat="1" ht="14.25" customHeight="1">
      <c r="A7" s="1060"/>
      <c r="B7" s="1065"/>
      <c r="C7" s="1060"/>
      <c r="D7" s="1410"/>
      <c r="E7" s="7530" t="s">
        <v>474</v>
      </c>
      <c r="F7" s="7536"/>
      <c r="G7" s="7536"/>
      <c r="H7" s="7536"/>
      <c r="I7" s="7536"/>
      <c r="J7" s="7851" t="s">
        <v>475</v>
      </c>
      <c r="K7" s="424"/>
      <c r="L7" s="424"/>
      <c r="M7" s="424"/>
      <c r="N7" s="424"/>
      <c r="O7" s="143"/>
      <c r="P7" s="424"/>
      <c r="Q7" s="142"/>
      <c r="R7" s="142"/>
      <c r="S7" s="142"/>
      <c r="T7" s="142"/>
    </row>
    <row r="8" spans="1:254" s="1739" customFormat="1" ht="20.25" customHeight="1">
      <c r="A8" s="1060"/>
      <c r="B8" s="1065"/>
      <c r="C8" s="1060"/>
      <c r="D8" s="1410"/>
      <c r="E8" s="1470" t="s">
        <v>86</v>
      </c>
      <c r="F8" s="1455" t="s">
        <v>1420</v>
      </c>
      <c r="G8" s="1455" t="s">
        <v>47</v>
      </c>
      <c r="H8" s="1455" t="s">
        <v>49</v>
      </c>
      <c r="I8" s="1455" t="s">
        <v>1421</v>
      </c>
      <c r="J8" s="7852"/>
      <c r="K8" s="424"/>
      <c r="L8" s="424"/>
      <c r="M8" s="424"/>
      <c r="N8" s="424"/>
      <c r="O8" s="143"/>
      <c r="P8" s="424"/>
      <c r="Q8" s="142"/>
      <c r="R8" s="142"/>
      <c r="S8" s="142"/>
      <c r="T8" s="142"/>
    </row>
    <row r="9" spans="1:254" s="1827" customFormat="1" ht="22.5" customHeight="1">
      <c r="A9" s="7533"/>
      <c r="B9" s="1065">
        <v>1</v>
      </c>
      <c r="C9" s="1065"/>
      <c r="D9" s="715"/>
      <c r="E9" s="1399">
        <v>1</v>
      </c>
      <c r="F9" s="1469"/>
      <c r="G9" s="1406"/>
      <c r="H9" s="1406"/>
      <c r="I9" s="1453"/>
      <c r="J9" s="7853" t="s">
        <v>1422</v>
      </c>
      <c r="K9" s="1450" t="e">
        <f ca="1">MERGEVALUE(F9)</f>
        <v>#NAME?</v>
      </c>
      <c r="L9" s="435"/>
      <c r="M9" s="435"/>
      <c r="N9" s="424" t="str">
        <f t="array" ref="N9">IF(ISERROR(MATCH(MID(O9,1,250),MID(note_ter,1,250),0)),"n","y")</f>
        <v>n</v>
      </c>
      <c r="O9" s="435"/>
      <c r="P9" s="424"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5"/>
      <c r="R9" s="1065"/>
      <c r="S9" s="348"/>
      <c r="T9" s="1065"/>
      <c r="U9" s="1065"/>
      <c r="V9" s="1065"/>
      <c r="W9" s="350"/>
      <c r="X9" s="350"/>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50"/>
      <c r="BU9" s="350"/>
      <c r="BV9" s="350"/>
      <c r="BW9" s="350"/>
      <c r="BX9" s="350"/>
      <c r="BY9" s="350"/>
      <c r="BZ9" s="350"/>
      <c r="CA9" s="350"/>
      <c r="CB9" s="350"/>
      <c r="CC9" s="350"/>
    </row>
    <row r="10" spans="1:254" s="1827" customFormat="1" ht="15" customHeight="1">
      <c r="A10" s="7533"/>
      <c r="B10" s="1065"/>
      <c r="C10" s="341"/>
      <c r="D10" s="715"/>
      <c r="E10" s="1456"/>
      <c r="F10" s="1415" t="s">
        <v>1423</v>
      </c>
      <c r="G10" s="1457"/>
      <c r="H10" s="1457"/>
      <c r="I10" s="1457"/>
      <c r="J10" s="7854"/>
      <c r="K10" s="1451"/>
      <c r="L10" s="435"/>
      <c r="M10" s="435"/>
      <c r="N10" s="435"/>
      <c r="O10" s="424"/>
      <c r="P10" s="435"/>
      <c r="Q10" s="1065"/>
      <c r="R10" s="1065"/>
      <c r="S10" s="348"/>
      <c r="T10" s="1065"/>
      <c r="U10" s="1065"/>
      <c r="V10" s="1065"/>
      <c r="W10" s="350"/>
      <c r="X10" s="350"/>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50"/>
      <c r="BU10" s="350"/>
      <c r="BV10" s="350"/>
      <c r="BW10" s="350"/>
      <c r="BX10" s="350"/>
      <c r="BY10" s="350"/>
      <c r="BZ10" s="350"/>
      <c r="CA10" s="350"/>
      <c r="CB10" s="350"/>
      <c r="CC10" s="350"/>
    </row>
    <row r="11" spans="1:254" s="1739" customFormat="1" ht="21" customHeight="1">
      <c r="A11" s="1060"/>
      <c r="B11" s="1065"/>
      <c r="C11" s="1060"/>
      <c r="D11" s="376"/>
      <c r="E11" s="98"/>
      <c r="F11" s="98"/>
      <c r="G11" s="98"/>
      <c r="H11" s="98"/>
      <c r="I11" s="98"/>
      <c r="J11" s="98"/>
      <c r="K11" s="424"/>
      <c r="L11" s="424"/>
      <c r="M11" s="424"/>
      <c r="N11" s="424"/>
      <c r="O11" s="143"/>
      <c r="P11" s="424"/>
      <c r="Q11" s="142"/>
      <c r="R11" s="142"/>
      <c r="S11" s="142"/>
      <c r="T11" s="142"/>
    </row>
    <row r="12" spans="1:254" s="1739" customFormat="1" ht="14.25" customHeight="1">
      <c r="A12" s="1060"/>
      <c r="B12" s="1065"/>
      <c r="C12" s="1060"/>
      <c r="D12" s="376"/>
      <c r="E12" s="1060"/>
      <c r="F12" s="1060"/>
      <c r="G12" s="1060"/>
      <c r="H12" s="1060"/>
      <c r="I12" s="1060"/>
      <c r="J12" s="1060"/>
      <c r="K12" s="424"/>
      <c r="L12" s="424"/>
      <c r="M12" s="424"/>
      <c r="N12" s="424"/>
      <c r="O12" s="143"/>
      <c r="P12" s="424"/>
      <c r="Q12" s="142"/>
      <c r="R12" s="142"/>
      <c r="S12" s="142"/>
      <c r="T12" s="142"/>
    </row>
    <row r="13" spans="1:254" s="1739" customFormat="1" ht="0.75" customHeight="1">
      <c r="A13" s="1060"/>
      <c r="B13" s="1065"/>
      <c r="C13" s="1060"/>
      <c r="D13" s="376"/>
      <c r="E13" s="1060"/>
      <c r="F13" s="1060"/>
      <c r="G13" s="1060"/>
      <c r="H13" s="1060"/>
      <c r="I13" s="1060"/>
      <c r="J13" s="1060"/>
      <c r="K13" s="424"/>
      <c r="L13" s="424"/>
      <c r="M13" s="424"/>
      <c r="N13" s="424"/>
      <c r="O13" s="143"/>
      <c r="P13" s="424"/>
      <c r="Q13" s="142"/>
      <c r="R13" s="142"/>
      <c r="S13" s="142"/>
      <c r="T13" s="142"/>
    </row>
    <row r="14" spans="1:254" s="975" customFormat="1" ht="10.5" customHeight="1">
      <c r="B14" s="748"/>
      <c r="D14" s="100"/>
      <c r="K14" s="424"/>
      <c r="L14" s="424"/>
      <c r="M14" s="424"/>
      <c r="N14" s="424"/>
      <c r="O14" s="143"/>
      <c r="P14" s="424"/>
      <c r="Q14" s="142"/>
      <c r="R14" s="142"/>
      <c r="S14" s="142"/>
      <c r="T14" s="142"/>
    </row>
    <row r="15" spans="1:254" s="975" customFormat="1" ht="10.5" customHeight="1">
      <c r="B15" s="748"/>
      <c r="D15" s="100"/>
      <c r="K15" s="424"/>
      <c r="L15" s="424"/>
      <c r="M15" s="424"/>
      <c r="N15" s="424"/>
      <c r="O15" s="143"/>
      <c r="P15" s="424"/>
      <c r="Q15" s="142"/>
      <c r="R15" s="142"/>
      <c r="S15" s="142"/>
      <c r="T15" s="142"/>
    </row>
    <row r="19" spans="7:13" ht="14.25" customHeight="1">
      <c r="G19"/>
      <c r="H19"/>
      <c r="I19"/>
    </row>
    <row r="23" spans="7:13" ht="14.25" customHeight="1">
      <c r="K23" s="1060"/>
      <c r="L23" s="1060"/>
      <c r="M23" s="1060"/>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90"/>
  <sheetViews>
    <sheetView showGridLines="0" topLeftCell="H100" zoomScale="90" workbookViewId="0">
      <selection activeCell="O124" sqref="O124:O126"/>
    </sheetView>
  </sheetViews>
  <sheetFormatPr defaultColWidth="9.140625" defaultRowHeight="11.25" customHeight="1"/>
  <cols>
    <col min="1" max="2" width="3.7109375" style="1544" hidden="1" customWidth="1"/>
    <col min="3" max="3" width="3.7109375" style="1771" customWidth="1"/>
    <col min="4" max="4" width="6.140625" style="1771" customWidth="1"/>
    <col min="5" max="5" width="43.140625" style="1771" customWidth="1"/>
    <col min="6" max="6" width="15" style="1771" customWidth="1"/>
    <col min="7" max="7" width="43.140625" style="1771" customWidth="1"/>
    <col min="8" max="8" width="3.7109375" style="1771" customWidth="1"/>
    <col min="9" max="9" width="5.42578125" style="1771" customWidth="1"/>
    <col min="10" max="10" width="47.85546875" style="1771" customWidth="1"/>
    <col min="11" max="12" width="3.7109375" style="1771" customWidth="1"/>
    <col min="13" max="13" width="5.7109375" style="1771" customWidth="1"/>
    <col min="14" max="14" width="28.140625" style="1771" customWidth="1"/>
    <col min="15" max="16" width="3.7109375" style="1771" customWidth="1"/>
    <col min="17" max="17" width="5.7109375" style="1771" customWidth="1"/>
    <col min="18" max="18" width="34.42578125" style="1771" customWidth="1"/>
    <col min="19" max="20" width="3.7109375" style="1771" hidden="1" customWidth="1"/>
    <col min="21" max="21" width="5.7109375" style="1771" hidden="1" customWidth="1"/>
    <col min="22" max="22" width="34.42578125" style="1771" hidden="1" customWidth="1"/>
    <col min="23" max="23" width="30.7109375" style="1771" customWidth="1"/>
    <col min="24" max="24" width="3.7109375" style="1771"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10.285156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71" hidden="1"/>
  </cols>
  <sheetData>
    <row r="1" spans="1:43" ht="11.25" hidden="1" customHeight="1">
      <c r="A1" s="74"/>
    </row>
    <row r="2" spans="1:43" ht="11.25" hidden="1" customHeight="1"/>
    <row r="3" spans="1:43" ht="11.25" hidden="1" customHeight="1"/>
    <row r="4" spans="1:43" ht="3" customHeight="1"/>
    <row r="5" spans="1:43" s="510" customFormat="1" ht="29.25" customHeight="1">
      <c r="A5" s="72"/>
      <c r="B5" s="72"/>
      <c r="D5" s="759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7595"/>
      <c r="F5" s="7595"/>
      <c r="G5" s="7595"/>
      <c r="H5" s="7595"/>
      <c r="I5" s="7595"/>
      <c r="J5" s="7596"/>
      <c r="K5" s="180"/>
      <c r="L5" s="63"/>
      <c r="M5" s="63"/>
      <c r="N5" s="63"/>
      <c r="O5" s="63"/>
      <c r="P5" s="63"/>
      <c r="Q5" s="63"/>
      <c r="R5" s="63"/>
      <c r="S5" s="205"/>
      <c r="T5" s="205"/>
      <c r="U5" s="205"/>
      <c r="V5" s="205"/>
      <c r="W5" s="63"/>
      <c r="Y5" s="1185"/>
      <c r="Z5" s="1185"/>
      <c r="AA5" s="1185"/>
      <c r="AB5" s="1185"/>
      <c r="AC5" s="1185"/>
      <c r="AD5" s="1185"/>
      <c r="AE5" s="1185"/>
      <c r="AF5" s="1185"/>
      <c r="AG5" s="1185"/>
      <c r="AH5" s="1185"/>
      <c r="AI5" s="1185"/>
      <c r="AJ5" s="1185"/>
      <c r="AK5" s="1185"/>
      <c r="AL5" s="1185"/>
      <c r="AM5" s="1185"/>
      <c r="AN5" s="1185"/>
      <c r="AO5" s="1185"/>
      <c r="AP5" s="1185"/>
      <c r="AQ5" s="1185"/>
    </row>
    <row r="6" spans="1:43" s="510" customFormat="1" ht="15" customHeight="1">
      <c r="A6" s="507"/>
      <c r="B6" s="507"/>
      <c r="C6" s="507"/>
      <c r="D6" s="7600" t="str">
        <f>IF(org=0,"Не определено",org)</f>
        <v>ГУП СК "Ставрополькрайводоканал"</v>
      </c>
      <c r="E6" s="7600"/>
      <c r="F6" s="7600"/>
      <c r="G6" s="7600"/>
      <c r="H6" s="7600"/>
      <c r="I6" s="7600"/>
      <c r="J6" s="7600"/>
      <c r="K6" s="508"/>
      <c r="L6" s="508"/>
      <c r="M6" s="508"/>
      <c r="N6" s="508"/>
      <c r="O6" s="784"/>
      <c r="P6" s="784"/>
      <c r="Q6" s="784"/>
      <c r="R6" s="784"/>
      <c r="S6" s="784"/>
      <c r="T6" s="784"/>
      <c r="U6" s="784"/>
      <c r="V6" s="784"/>
      <c r="W6" s="784"/>
      <c r="X6" s="508"/>
      <c r="Y6" s="1186"/>
      <c r="Z6" s="1186"/>
      <c r="AA6" s="1186"/>
      <c r="AB6" s="1186"/>
      <c r="AC6" s="1186"/>
      <c r="AD6" s="1186"/>
      <c r="AE6" s="1186"/>
      <c r="AF6" s="1186"/>
      <c r="AG6" s="1186"/>
      <c r="AH6" s="1186"/>
      <c r="AI6" s="1186"/>
      <c r="AJ6" s="1186"/>
      <c r="AK6" s="1186"/>
      <c r="AL6" s="1186"/>
      <c r="AM6" s="1186"/>
      <c r="AN6" s="1186"/>
      <c r="AO6" s="1186"/>
      <c r="AP6" s="1186"/>
      <c r="AQ6" s="1186"/>
    </row>
    <row r="7" spans="1:43" s="213" customFormat="1" ht="11.25" customHeight="1">
      <c r="A7" s="128"/>
      <c r="B7" s="128"/>
      <c r="D7" s="7597"/>
      <c r="E7" s="7598"/>
      <c r="F7" s="7598"/>
      <c r="G7" s="7598"/>
      <c r="H7" s="7598"/>
      <c r="I7" s="7598"/>
      <c r="J7" s="7599"/>
      <c r="Y7" s="1187"/>
      <c r="Z7" s="1187"/>
      <c r="AA7" s="1187"/>
      <c r="AB7" s="1187"/>
      <c r="AC7" s="1187"/>
      <c r="AD7" s="1187"/>
      <c r="AE7" s="1187"/>
      <c r="AF7" s="1187"/>
      <c r="AG7" s="1187"/>
      <c r="AH7" s="1187"/>
      <c r="AI7" s="1187"/>
      <c r="AJ7" s="1187"/>
      <c r="AK7" s="1187"/>
      <c r="AL7" s="1187"/>
      <c r="AM7" s="1187"/>
      <c r="AN7" s="1187"/>
      <c r="AO7" s="1187"/>
      <c r="AP7" s="1187"/>
      <c r="AQ7" s="1187"/>
    </row>
    <row r="8" spans="1:43" s="510"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5"/>
      <c r="Z8" s="1185"/>
      <c r="AA8" s="1185"/>
      <c r="AB8" s="1185"/>
      <c r="AC8" s="1185"/>
      <c r="AD8" s="1185"/>
      <c r="AE8" s="1185"/>
      <c r="AF8" s="1185"/>
      <c r="AG8" s="1185"/>
      <c r="AH8" s="1185"/>
      <c r="AI8" s="1185"/>
      <c r="AJ8" s="1185"/>
      <c r="AK8" s="1185"/>
      <c r="AL8" s="1185"/>
      <c r="AM8" s="1185"/>
      <c r="AN8" s="1185"/>
      <c r="AO8" s="1185"/>
      <c r="AP8" s="1185"/>
      <c r="AQ8" s="1185"/>
    </row>
    <row r="9" spans="1:43" ht="27" customHeight="1">
      <c r="D9" s="7559" t="s">
        <v>86</v>
      </c>
      <c r="E9" s="7530" t="s">
        <v>236</v>
      </c>
      <c r="F9" s="7529"/>
      <c r="G9" s="7559" t="s">
        <v>223</v>
      </c>
      <c r="H9" s="7559" t="s">
        <v>86</v>
      </c>
      <c r="I9" s="7559"/>
      <c r="J9" s="7559" t="s">
        <v>237</v>
      </c>
      <c r="K9" s="7587" t="s">
        <v>238</v>
      </c>
      <c r="L9" s="7587"/>
      <c r="M9" s="7587"/>
      <c r="N9" s="7587"/>
      <c r="O9" s="7587" t="s">
        <v>239</v>
      </c>
      <c r="P9" s="7587"/>
      <c r="Q9" s="7587"/>
      <c r="R9" s="7587"/>
      <c r="S9" s="7587" t="s">
        <v>240</v>
      </c>
      <c r="T9" s="7587"/>
      <c r="U9" s="7587"/>
      <c r="V9" s="7587"/>
      <c r="W9" s="7559" t="s">
        <v>241</v>
      </c>
    </row>
    <row r="10" spans="1:43" ht="30" customHeight="1">
      <c r="D10" s="7559"/>
      <c r="E10" s="1208" t="s">
        <v>87</v>
      </c>
      <c r="F10" s="1208" t="s">
        <v>242</v>
      </c>
      <c r="G10" s="7559"/>
      <c r="H10" s="7559"/>
      <c r="I10" s="7559"/>
      <c r="J10" s="7559"/>
      <c r="K10" s="37" t="s">
        <v>226</v>
      </c>
      <c r="L10" s="7559" t="s">
        <v>86</v>
      </c>
      <c r="M10" s="7559"/>
      <c r="N10" s="37" t="s">
        <v>243</v>
      </c>
      <c r="O10" s="37" t="s">
        <v>226</v>
      </c>
      <c r="P10" s="7559" t="s">
        <v>86</v>
      </c>
      <c r="Q10" s="7559"/>
      <c r="R10" s="37" t="s">
        <v>243</v>
      </c>
      <c r="S10" s="198" t="s">
        <v>226</v>
      </c>
      <c r="T10" s="7559" t="s">
        <v>86</v>
      </c>
      <c r="U10" s="7559"/>
      <c r="V10" s="198" t="s">
        <v>87</v>
      </c>
      <c r="W10" s="7559"/>
      <c r="Z10" s="1184" t="s">
        <v>244</v>
      </c>
      <c r="AA10" s="1184" t="s">
        <v>245</v>
      </c>
      <c r="AB10" s="1184" t="s">
        <v>246</v>
      </c>
      <c r="AC10" s="1184" t="s">
        <v>247</v>
      </c>
      <c r="AD10" s="1184" t="s">
        <v>248</v>
      </c>
      <c r="AE10" s="1184" t="s">
        <v>249</v>
      </c>
      <c r="AF10" s="1184" t="s">
        <v>250</v>
      </c>
      <c r="AG10" s="1184" t="s">
        <v>251</v>
      </c>
      <c r="AH10" s="1184" t="s">
        <v>252</v>
      </c>
      <c r="AI10" s="1184" t="s">
        <v>253</v>
      </c>
      <c r="AJ10" s="1184" t="s">
        <v>254</v>
      </c>
      <c r="AK10" s="1184" t="s">
        <v>255</v>
      </c>
      <c r="AL10" s="1184" t="s">
        <v>256</v>
      </c>
      <c r="AM10" s="1184" t="s">
        <v>257</v>
      </c>
      <c r="AN10" s="1184" t="s">
        <v>258</v>
      </c>
      <c r="AO10" s="1184" t="s">
        <v>259</v>
      </c>
      <c r="AP10" s="1184" t="s">
        <v>260</v>
      </c>
      <c r="AQ10" s="1184" t="s">
        <v>261</v>
      </c>
    </row>
    <row r="11" spans="1:43" s="1544" customFormat="1" ht="12" hidden="1" customHeight="1">
      <c r="D11" s="1164" t="s">
        <v>97</v>
      </c>
      <c r="E11" s="1164" t="s">
        <v>100</v>
      </c>
      <c r="F11" s="1164"/>
      <c r="G11" s="1164" t="s">
        <v>88</v>
      </c>
      <c r="H11" s="7588" t="s">
        <v>111</v>
      </c>
      <c r="I11" s="7588"/>
      <c r="J11" s="1164" t="s">
        <v>90</v>
      </c>
      <c r="K11" s="1164" t="s">
        <v>91</v>
      </c>
      <c r="L11" s="7588" t="s">
        <v>121</v>
      </c>
      <c r="M11" s="7588"/>
      <c r="N11" s="1164" t="s">
        <v>125</v>
      </c>
      <c r="O11" s="1164" t="s">
        <v>129</v>
      </c>
      <c r="P11" s="7588" t="s">
        <v>102</v>
      </c>
      <c r="Q11" s="7588"/>
      <c r="R11" s="1164" t="s">
        <v>136</v>
      </c>
      <c r="S11" s="1164" t="s">
        <v>102</v>
      </c>
      <c r="T11" s="7588" t="s">
        <v>136</v>
      </c>
      <c r="U11" s="7588"/>
      <c r="V11" s="1164" t="s">
        <v>140</v>
      </c>
      <c r="W11" s="1164" t="s">
        <v>144</v>
      </c>
      <c r="Y11" s="1184"/>
      <c r="Z11" s="1184"/>
      <c r="AA11" s="1184"/>
      <c r="AB11" s="1184"/>
      <c r="AC11" s="1184"/>
      <c r="AD11" s="1184"/>
      <c r="AE11" s="1184"/>
      <c r="AF11" s="1184"/>
      <c r="AG11" s="1184"/>
      <c r="AH11" s="1184"/>
      <c r="AI11" s="1184"/>
      <c r="AJ11" s="1184"/>
      <c r="AK11" s="1184"/>
      <c r="AL11" s="1184"/>
      <c r="AM11" s="1184"/>
      <c r="AN11" s="1184"/>
      <c r="AO11" s="1184"/>
      <c r="AP11" s="1184"/>
      <c r="AQ11" s="1184"/>
    </row>
    <row r="12" spans="1:43" ht="14.25" hidden="1" customHeight="1">
      <c r="C12" s="126"/>
      <c r="D12" s="1207">
        <v>0</v>
      </c>
      <c r="E12" s="165"/>
      <c r="F12" s="165"/>
      <c r="G12" s="165"/>
      <c r="H12" s="166"/>
      <c r="I12" s="166"/>
      <c r="J12" s="76"/>
      <c r="K12" s="38"/>
      <c r="L12" s="76"/>
      <c r="M12" s="76"/>
      <c r="N12" s="167"/>
      <c r="O12" s="38"/>
      <c r="P12" s="76"/>
      <c r="Q12" s="76"/>
      <c r="R12" s="168"/>
      <c r="S12" s="199"/>
      <c r="T12" s="207"/>
      <c r="U12" s="207"/>
      <c r="V12" s="210"/>
      <c r="W12" s="38"/>
      <c r="X12" s="62"/>
    </row>
    <row r="13" spans="1:43" s="1771" customFormat="1" ht="17.25" hidden="1" customHeight="1">
      <c r="A13" s="240"/>
      <c r="C13" s="126"/>
      <c r="D13" s="7573">
        <v>1</v>
      </c>
      <c r="E13" s="7575" t="s">
        <v>262</v>
      </c>
      <c r="F13" s="7577" t="s">
        <v>55</v>
      </c>
      <c r="G13" s="7575"/>
      <c r="H13" s="7580"/>
      <c r="I13" s="7582"/>
      <c r="J13" s="7584"/>
      <c r="K13" s="7567"/>
      <c r="L13" s="7567"/>
      <c r="M13" s="7567"/>
      <c r="N13" s="7569"/>
      <c r="O13" s="7567"/>
      <c r="P13" s="7567"/>
      <c r="Q13" s="7567"/>
      <c r="R13" s="7572"/>
      <c r="S13" s="7567"/>
      <c r="T13" s="1340"/>
      <c r="U13" s="1340"/>
      <c r="V13" s="1339"/>
      <c r="W13" s="1220"/>
      <c r="Y13" s="1191"/>
      <c r="Z13" s="1191"/>
      <c r="AA13" s="1191"/>
      <c r="AB13" s="1191"/>
      <c r="AC13" s="1191" t="s">
        <v>263</v>
      </c>
      <c r="AD13" s="1191" t="s">
        <v>264</v>
      </c>
      <c r="AE13" s="1191" t="s">
        <v>265</v>
      </c>
      <c r="AF13" s="1191" t="s">
        <v>266</v>
      </c>
      <c r="AG13" s="1191" t="s">
        <v>267</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row>
    <row r="14" spans="1:43" s="1771" customFormat="1" ht="17.25" hidden="1" customHeight="1">
      <c r="A14" s="240"/>
      <c r="C14" s="239"/>
      <c r="D14" s="7573"/>
      <c r="E14" s="7575"/>
      <c r="F14" s="7578"/>
      <c r="G14" s="7575"/>
      <c r="H14" s="7581"/>
      <c r="I14" s="7583"/>
      <c r="J14" s="7585"/>
      <c r="K14" s="7568"/>
      <c r="L14" s="7568"/>
      <c r="M14" s="7568"/>
      <c r="N14" s="7570"/>
      <c r="O14" s="7568"/>
      <c r="P14" s="7568"/>
      <c r="Q14" s="7568"/>
      <c r="R14" s="7571"/>
      <c r="S14" s="7568"/>
      <c r="T14" s="1221"/>
      <c r="U14" s="1221"/>
      <c r="V14" s="1221"/>
      <c r="W14" s="1222"/>
      <c r="Y14" s="1184"/>
      <c r="Z14" s="1184"/>
      <c r="AA14" s="1184"/>
      <c r="AB14" s="1184"/>
      <c r="AC14" s="1184"/>
      <c r="AD14" s="1184"/>
      <c r="AE14" s="1184"/>
      <c r="AF14" s="1184"/>
      <c r="AG14" s="1184"/>
      <c r="AH14" s="1184"/>
      <c r="AI14" s="1184"/>
      <c r="AJ14" s="1184"/>
      <c r="AK14" s="1184"/>
      <c r="AL14" s="1184"/>
      <c r="AM14" s="1184"/>
      <c r="AN14" s="1184"/>
      <c r="AO14" s="1184"/>
      <c r="AP14" s="1184"/>
      <c r="AQ14" s="1184"/>
    </row>
    <row r="15" spans="1:43" s="1771" customFormat="1" ht="17.25" hidden="1" customHeight="1">
      <c r="A15" s="240"/>
      <c r="C15" s="126"/>
      <c r="D15" s="7573"/>
      <c r="E15" s="7575"/>
      <c r="F15" s="7578"/>
      <c r="G15" s="7575"/>
      <c r="H15" s="7581"/>
      <c r="I15" s="7583"/>
      <c r="J15" s="7586"/>
      <c r="K15" s="7568"/>
      <c r="L15" s="7568"/>
      <c r="M15" s="7568"/>
      <c r="N15" s="7571"/>
      <c r="O15" s="7568"/>
      <c r="P15" s="1338"/>
      <c r="Q15" s="1221"/>
      <c r="R15" s="1221"/>
      <c r="S15" s="251"/>
      <c r="T15" s="251"/>
      <c r="U15" s="251"/>
      <c r="V15" s="251"/>
      <c r="W15" s="1222"/>
      <c r="Y15" s="1191"/>
      <c r="Z15" s="1191"/>
      <c r="AA15" s="1191"/>
      <c r="AB15" s="1191"/>
      <c r="AC15" s="1191"/>
      <c r="AD15" s="1191"/>
      <c r="AE15" s="1191"/>
      <c r="AF15" s="1191"/>
      <c r="AG15" s="1191"/>
      <c r="AH15" s="1191"/>
      <c r="AI15" s="1191"/>
      <c r="AJ15" s="1191"/>
      <c r="AK15" s="1191"/>
      <c r="AL15" s="1191"/>
      <c r="AM15" s="1191"/>
      <c r="AN15" s="1191"/>
      <c r="AO15" s="1191"/>
      <c r="AP15" s="1191"/>
      <c r="AQ15" s="1191"/>
    </row>
    <row r="16" spans="1:43" s="1771" customFormat="1" ht="17.25" hidden="1" customHeight="1">
      <c r="A16" s="240"/>
      <c r="C16" s="239"/>
      <c r="D16" s="7573"/>
      <c r="E16" s="7575"/>
      <c r="F16" s="7578"/>
      <c r="G16" s="7575"/>
      <c r="H16" s="7581"/>
      <c r="I16" s="7583"/>
      <c r="J16" s="7586"/>
      <c r="K16" s="7568"/>
      <c r="L16" s="1221"/>
      <c r="M16" s="1221"/>
      <c r="N16" s="1221"/>
      <c r="O16" s="1221"/>
      <c r="P16" s="1221"/>
      <c r="Q16" s="1221"/>
      <c r="R16" s="1221"/>
      <c r="S16" s="251"/>
      <c r="T16" s="251"/>
      <c r="U16" s="251"/>
      <c r="V16" s="251"/>
      <c r="W16" s="1222"/>
      <c r="Y16" s="1184"/>
      <c r="Z16" s="1184"/>
      <c r="AA16" s="1184"/>
      <c r="AB16" s="1184"/>
      <c r="AC16" s="1184"/>
      <c r="AD16" s="1184"/>
      <c r="AE16" s="1184"/>
      <c r="AF16" s="1184"/>
      <c r="AG16" s="1184"/>
      <c r="AH16" s="1184"/>
      <c r="AI16" s="1184"/>
      <c r="AJ16" s="1184"/>
      <c r="AK16" s="1184"/>
      <c r="AL16" s="1184"/>
      <c r="AM16" s="1184"/>
      <c r="AN16" s="1184"/>
      <c r="AO16" s="1184"/>
      <c r="AP16" s="1184"/>
      <c r="AQ16" s="1184"/>
    </row>
    <row r="17" spans="1:43" s="1771" customFormat="1" ht="17.25" hidden="1" customHeight="1">
      <c r="A17" s="240"/>
      <c r="C17" s="239"/>
      <c r="D17" s="7574"/>
      <c r="E17" s="7576"/>
      <c r="F17" s="7579"/>
      <c r="G17" s="7576"/>
      <c r="H17" s="1223"/>
      <c r="I17" s="1224"/>
      <c r="J17" s="1224"/>
      <c r="K17" s="1224"/>
      <c r="L17" s="1224"/>
      <c r="M17" s="1224"/>
      <c r="N17" s="1224"/>
      <c r="O17" s="1224"/>
      <c r="P17" s="1224"/>
      <c r="Q17" s="1224"/>
      <c r="R17" s="1224"/>
      <c r="S17" s="1225"/>
      <c r="T17" s="1225"/>
      <c r="U17" s="1225"/>
      <c r="V17" s="1225"/>
      <c r="W17" s="1226"/>
      <c r="Y17" s="1184"/>
      <c r="Z17" s="1184"/>
      <c r="AA17" s="1184"/>
      <c r="AB17" s="1184"/>
      <c r="AC17" s="1184"/>
      <c r="AD17" s="1184"/>
      <c r="AE17" s="1184"/>
      <c r="AF17" s="1184"/>
      <c r="AG17" s="1184"/>
      <c r="AH17" s="1184"/>
      <c r="AI17" s="1184"/>
      <c r="AJ17" s="1184"/>
      <c r="AK17" s="1184"/>
      <c r="AL17" s="1184"/>
      <c r="AM17" s="1184"/>
      <c r="AN17" s="1184"/>
      <c r="AO17" s="1184"/>
      <c r="AP17" s="1184"/>
      <c r="AQ17" s="1184"/>
    </row>
    <row r="18" spans="1:43" s="1771" customFormat="1" ht="17.25" hidden="1" customHeight="1">
      <c r="A18" s="240"/>
      <c r="C18" s="126"/>
      <c r="D18" s="7573">
        <v>2</v>
      </c>
      <c r="E18" s="7575" t="s">
        <v>268</v>
      </c>
      <c r="F18" s="7577" t="s">
        <v>55</v>
      </c>
      <c r="G18" s="7575"/>
      <c r="H18" s="7580"/>
      <c r="I18" s="7582"/>
      <c r="J18" s="7584"/>
      <c r="K18" s="7567"/>
      <c r="L18" s="7567"/>
      <c r="M18" s="7567"/>
      <c r="N18" s="7569"/>
      <c r="O18" s="7567"/>
      <c r="P18" s="7567"/>
      <c r="Q18" s="7567"/>
      <c r="R18" s="7572"/>
      <c r="S18" s="7567"/>
      <c r="T18" s="1340"/>
      <c r="U18" s="1340"/>
      <c r="V18" s="1339"/>
      <c r="W18" s="1220"/>
      <c r="X18" s="1191"/>
      <c r="Y18" s="1191"/>
      <c r="Z18" s="1191"/>
      <c r="AA18" s="1191"/>
      <c r="AB18" s="1191"/>
      <c r="AC18" s="1191" t="s">
        <v>269</v>
      </c>
      <c r="AD18" s="1191" t="s">
        <v>270</v>
      </c>
      <c r="AE18" s="1191" t="s">
        <v>271</v>
      </c>
      <c r="AF18" s="1191" t="s">
        <v>272</v>
      </c>
      <c r="AG18" s="1191" t="s">
        <v>273</v>
      </c>
      <c r="AH18" s="1191"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92">
        <f>$I$18</f>
        <v>0</v>
      </c>
      <c r="AO18" s="1191" t="str">
        <f>$I$18&amp;"."&amp;$M$18</f>
        <v>.</v>
      </c>
      <c r="AP18" s="1184" t="str">
        <f>$I$18&amp;"."&amp;$M$18&amp;"."&amp;$Q$18</f>
        <v>..</v>
      </c>
      <c r="AQ18" s="1184" t="str">
        <f>$I$18&amp;"."&amp;$M$18&amp;"."&amp;$Q$18&amp;"."&amp;$U$18</f>
        <v>...</v>
      </c>
    </row>
    <row r="19" spans="1:43" s="1771" customFormat="1" ht="17.25" hidden="1" customHeight="1">
      <c r="A19" s="240"/>
      <c r="C19" s="239"/>
      <c r="D19" s="7573"/>
      <c r="E19" s="7575"/>
      <c r="F19" s="7578"/>
      <c r="G19" s="7575"/>
      <c r="H19" s="7581"/>
      <c r="I19" s="7583"/>
      <c r="J19" s="7585"/>
      <c r="K19" s="7568"/>
      <c r="L19" s="7568"/>
      <c r="M19" s="7568"/>
      <c r="N19" s="7570"/>
      <c r="O19" s="7568"/>
      <c r="P19" s="7568"/>
      <c r="Q19" s="7568"/>
      <c r="R19" s="7571"/>
      <c r="S19" s="7568"/>
      <c r="T19" s="1221"/>
      <c r="U19" s="1221"/>
      <c r="V19" s="1221"/>
      <c r="W19" s="1222"/>
      <c r="X19" s="1184"/>
      <c r="Y19" s="1184"/>
      <c r="Z19" s="1184"/>
      <c r="AA19" s="1184"/>
      <c r="AB19" s="1184"/>
      <c r="AC19" s="1184"/>
      <c r="AD19" s="1184"/>
      <c r="AE19" s="1184"/>
      <c r="AF19" s="1184"/>
      <c r="AG19" s="1184"/>
      <c r="AH19" s="1184"/>
      <c r="AI19" s="1184"/>
      <c r="AJ19" s="1184"/>
      <c r="AK19" s="1184"/>
      <c r="AL19" s="1184"/>
      <c r="AM19" s="1184"/>
      <c r="AN19" s="1184"/>
      <c r="AO19" s="1184"/>
      <c r="AP19" s="1184"/>
      <c r="AQ19" s="1184"/>
    </row>
    <row r="20" spans="1:43" s="1771" customFormat="1" ht="17.25" hidden="1" customHeight="1">
      <c r="A20" s="240"/>
      <c r="C20" s="239"/>
      <c r="D20" s="7574"/>
      <c r="E20" s="7576"/>
      <c r="F20" s="7578"/>
      <c r="G20" s="7576"/>
      <c r="H20" s="7581"/>
      <c r="I20" s="7583"/>
      <c r="J20" s="7586"/>
      <c r="K20" s="7568"/>
      <c r="L20" s="7568"/>
      <c r="M20" s="7568"/>
      <c r="N20" s="7571"/>
      <c r="O20" s="7568"/>
      <c r="P20" s="1338"/>
      <c r="Q20" s="1221"/>
      <c r="R20" s="1221"/>
      <c r="S20" s="251"/>
      <c r="T20" s="251"/>
      <c r="U20" s="251"/>
      <c r="V20" s="251"/>
      <c r="W20" s="1222"/>
      <c r="X20" s="1184"/>
      <c r="Y20" s="1184"/>
      <c r="Z20" s="1184"/>
      <c r="AA20" s="1184"/>
      <c r="AB20" s="1184"/>
      <c r="AC20" s="1184"/>
      <c r="AD20" s="1184"/>
      <c r="AE20" s="1184"/>
      <c r="AF20" s="1184"/>
      <c r="AG20" s="1184"/>
      <c r="AH20" s="1184"/>
      <c r="AI20" s="1184"/>
      <c r="AJ20" s="1184"/>
      <c r="AK20" s="1184"/>
      <c r="AL20" s="1184"/>
      <c r="AM20" s="1184"/>
      <c r="AN20" s="1184"/>
      <c r="AO20" s="1184"/>
      <c r="AP20" s="1184"/>
      <c r="AQ20" s="1184"/>
    </row>
    <row r="21" spans="1:43" s="1771" customFormat="1" ht="17.25" hidden="1" customHeight="1">
      <c r="A21" s="240"/>
      <c r="C21" s="239"/>
      <c r="D21" s="7574"/>
      <c r="E21" s="7576"/>
      <c r="F21" s="7578"/>
      <c r="G21" s="7576"/>
      <c r="H21" s="7581"/>
      <c r="I21" s="7583"/>
      <c r="J21" s="7586"/>
      <c r="K21" s="7568"/>
      <c r="L21" s="1221"/>
      <c r="M21" s="1221"/>
      <c r="N21" s="1221"/>
      <c r="O21" s="1221"/>
      <c r="P21" s="1221"/>
      <c r="Q21" s="1221"/>
      <c r="R21" s="1221"/>
      <c r="S21" s="251"/>
      <c r="T21" s="251"/>
      <c r="U21" s="251"/>
      <c r="V21" s="251"/>
      <c r="W21" s="1222"/>
      <c r="X21" s="1184"/>
      <c r="Y21" s="1184"/>
      <c r="Z21" s="1184"/>
      <c r="AA21" s="1184"/>
      <c r="AB21" s="1184"/>
      <c r="AC21" s="1184"/>
      <c r="AD21" s="1184"/>
      <c r="AE21" s="1184"/>
      <c r="AF21" s="1184"/>
      <c r="AG21" s="1184"/>
      <c r="AH21" s="1184"/>
      <c r="AI21" s="1184"/>
      <c r="AJ21" s="1184"/>
      <c r="AK21" s="1184"/>
      <c r="AL21" s="1184"/>
      <c r="AM21" s="1184"/>
      <c r="AN21" s="1184"/>
      <c r="AO21" s="1184"/>
      <c r="AP21" s="1184"/>
      <c r="AQ21" s="1184"/>
    </row>
    <row r="22" spans="1:43" s="1771" customFormat="1" ht="17.25" hidden="1" customHeight="1">
      <c r="A22" s="240"/>
      <c r="C22" s="239"/>
      <c r="D22" s="7574"/>
      <c r="E22" s="7576"/>
      <c r="F22" s="7579"/>
      <c r="G22" s="7576"/>
      <c r="H22" s="1223"/>
      <c r="I22" s="1224"/>
      <c r="J22" s="1224"/>
      <c r="K22" s="1224"/>
      <c r="L22" s="1224"/>
      <c r="M22" s="1224"/>
      <c r="N22" s="1224"/>
      <c r="O22" s="1224"/>
      <c r="P22" s="1224"/>
      <c r="Q22" s="1224"/>
      <c r="R22" s="1224"/>
      <c r="S22" s="1225"/>
      <c r="T22" s="1225"/>
      <c r="U22" s="1225"/>
      <c r="V22" s="1225"/>
      <c r="W22" s="1226"/>
      <c r="X22" s="1184"/>
      <c r="Y22" s="1184"/>
      <c r="Z22" s="1184"/>
      <c r="AA22" s="1184"/>
      <c r="AB22" s="1184"/>
      <c r="AC22" s="1184"/>
      <c r="AD22" s="1184"/>
      <c r="AE22" s="1184"/>
      <c r="AF22" s="1184"/>
      <c r="AG22" s="1184"/>
      <c r="AH22" s="1184"/>
      <c r="AI22" s="1184"/>
      <c r="AJ22" s="1184"/>
      <c r="AK22" s="1184"/>
      <c r="AL22" s="1184"/>
      <c r="AM22" s="1184"/>
      <c r="AN22" s="1184"/>
      <c r="AO22" s="1184"/>
      <c r="AP22" s="1184"/>
      <c r="AQ22" s="1184"/>
    </row>
    <row r="23" spans="1:43" s="1771" customFormat="1" ht="17.25" hidden="1" customHeight="1">
      <c r="A23" s="240"/>
      <c r="C23" s="126"/>
      <c r="D23" s="7573">
        <v>3</v>
      </c>
      <c r="E23" s="7575" t="s">
        <v>274</v>
      </c>
      <c r="F23" s="7577" t="s">
        <v>55</v>
      </c>
      <c r="G23" s="7575"/>
      <c r="H23" s="7580"/>
      <c r="I23" s="7582"/>
      <c r="J23" s="7584"/>
      <c r="K23" s="7567"/>
      <c r="L23" s="7567"/>
      <c r="M23" s="7567"/>
      <c r="N23" s="7569"/>
      <c r="O23" s="7567"/>
      <c r="P23" s="7567"/>
      <c r="Q23" s="7567"/>
      <c r="R23" s="7572"/>
      <c r="S23" s="7567"/>
      <c r="T23" s="1340"/>
      <c r="U23" s="1340"/>
      <c r="V23" s="1339"/>
      <c r="W23" s="1220"/>
      <c r="X23" s="1191"/>
      <c r="Y23" s="1191"/>
      <c r="Z23" s="1191"/>
      <c r="AA23" s="1191"/>
      <c r="AB23" s="1191"/>
      <c r="AC23" s="1191" t="s">
        <v>275</v>
      </c>
      <c r="AD23" s="1191" t="s">
        <v>276</v>
      </c>
      <c r="AE23" s="1191" t="s">
        <v>277</v>
      </c>
      <c r="AF23" s="1191" t="s">
        <v>278</v>
      </c>
      <c r="AG23" s="1191" t="s">
        <v>279</v>
      </c>
      <c r="AH23" s="1191" t="str">
        <f>IF($E$23=0,"",$E$23)</f>
        <v>Тарифы на теплоноситель, поставляемый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92">
        <f>$I$23</f>
        <v>0</v>
      </c>
      <c r="AO23" s="1191" t="str">
        <f>$I$23&amp;"."&amp;$M$23</f>
        <v>.</v>
      </c>
      <c r="AP23" s="1184" t="str">
        <f>$I$23&amp;"."&amp;$M$23&amp;"."&amp;$Q$23</f>
        <v>..</v>
      </c>
      <c r="AQ23" s="1184" t="str">
        <f>$I$23&amp;"."&amp;$M$23&amp;"."&amp;$Q$23&amp;"."&amp;$U$23</f>
        <v>...</v>
      </c>
    </row>
    <row r="24" spans="1:43" s="1771" customFormat="1" ht="17.25" hidden="1" customHeight="1">
      <c r="A24" s="240"/>
      <c r="C24" s="239"/>
      <c r="D24" s="7573"/>
      <c r="E24" s="7575"/>
      <c r="F24" s="7578"/>
      <c r="G24" s="7575"/>
      <c r="H24" s="7581"/>
      <c r="I24" s="7583"/>
      <c r="J24" s="7585"/>
      <c r="K24" s="7568"/>
      <c r="L24" s="7568"/>
      <c r="M24" s="7568"/>
      <c r="N24" s="7570"/>
      <c r="O24" s="7568"/>
      <c r="P24" s="7568"/>
      <c r="Q24" s="7568"/>
      <c r="R24" s="7571"/>
      <c r="S24" s="7568"/>
      <c r="T24" s="1221"/>
      <c r="U24" s="1221"/>
      <c r="V24" s="1221"/>
      <c r="W24" s="1222"/>
      <c r="X24" s="1184"/>
      <c r="Y24" s="1184"/>
      <c r="Z24" s="1184"/>
      <c r="AA24" s="1184"/>
      <c r="AB24" s="1184"/>
      <c r="AC24" s="1184"/>
      <c r="AD24" s="1184"/>
      <c r="AE24" s="1184"/>
      <c r="AF24" s="1184"/>
      <c r="AG24" s="1184"/>
      <c r="AH24" s="1184"/>
      <c r="AI24" s="1184"/>
      <c r="AJ24" s="1184"/>
      <c r="AK24" s="1184"/>
      <c r="AL24" s="1184"/>
      <c r="AM24" s="1184"/>
      <c r="AN24" s="1184"/>
      <c r="AO24" s="1184"/>
      <c r="AP24" s="1184"/>
      <c r="AQ24" s="1184"/>
    </row>
    <row r="25" spans="1:43" s="1771" customFormat="1" ht="17.25" hidden="1" customHeight="1">
      <c r="A25" s="240"/>
      <c r="C25" s="239"/>
      <c r="D25" s="7574"/>
      <c r="E25" s="7576"/>
      <c r="F25" s="7578"/>
      <c r="G25" s="7576"/>
      <c r="H25" s="7581"/>
      <c r="I25" s="7583"/>
      <c r="J25" s="7586"/>
      <c r="K25" s="7568"/>
      <c r="L25" s="7568"/>
      <c r="M25" s="7568"/>
      <c r="N25" s="7571"/>
      <c r="O25" s="7568"/>
      <c r="P25" s="1338"/>
      <c r="Q25" s="1221"/>
      <c r="R25" s="1221"/>
      <c r="S25" s="251"/>
      <c r="T25" s="251"/>
      <c r="U25" s="251"/>
      <c r="V25" s="251"/>
      <c r="W25" s="1222"/>
      <c r="X25" s="1184"/>
      <c r="Y25" s="1184"/>
      <c r="Z25" s="1184"/>
      <c r="AA25" s="1184"/>
      <c r="AB25" s="1184"/>
      <c r="AC25" s="1184"/>
      <c r="AD25" s="1184"/>
      <c r="AE25" s="1184"/>
      <c r="AF25" s="1184"/>
      <c r="AG25" s="1184"/>
      <c r="AH25" s="1184"/>
      <c r="AI25" s="1184"/>
      <c r="AJ25" s="1184"/>
      <c r="AK25" s="1184"/>
      <c r="AL25" s="1184"/>
      <c r="AM25" s="1184"/>
      <c r="AN25" s="1184"/>
      <c r="AO25" s="1184"/>
      <c r="AP25" s="1184"/>
      <c r="AQ25" s="1184"/>
    </row>
    <row r="26" spans="1:43" s="1771" customFormat="1" ht="17.25" hidden="1" customHeight="1">
      <c r="A26" s="240"/>
      <c r="C26" s="239"/>
      <c r="D26" s="7574"/>
      <c r="E26" s="7576"/>
      <c r="F26" s="7578"/>
      <c r="G26" s="7576"/>
      <c r="H26" s="7581"/>
      <c r="I26" s="7583"/>
      <c r="J26" s="7586"/>
      <c r="K26" s="7568"/>
      <c r="L26" s="1221"/>
      <c r="M26" s="1221"/>
      <c r="N26" s="1221"/>
      <c r="O26" s="1221"/>
      <c r="P26" s="1221"/>
      <c r="Q26" s="1221"/>
      <c r="R26" s="1221"/>
      <c r="S26" s="251"/>
      <c r="T26" s="251"/>
      <c r="U26" s="251"/>
      <c r="V26" s="251"/>
      <c r="W26" s="1222"/>
      <c r="X26" s="1184"/>
      <c r="Y26" s="1184"/>
      <c r="Z26" s="1184"/>
      <c r="AA26" s="1184"/>
      <c r="AB26" s="1184"/>
      <c r="AC26" s="1184"/>
      <c r="AD26" s="1184"/>
      <c r="AE26" s="1184"/>
      <c r="AF26" s="1184"/>
      <c r="AG26" s="1184"/>
      <c r="AH26" s="1184"/>
      <c r="AI26" s="1184"/>
      <c r="AJ26" s="1184"/>
      <c r="AK26" s="1184"/>
      <c r="AL26" s="1184"/>
      <c r="AM26" s="1184"/>
      <c r="AN26" s="1184"/>
      <c r="AO26" s="1184"/>
      <c r="AP26" s="1184"/>
      <c r="AQ26" s="1184"/>
    </row>
    <row r="27" spans="1:43" s="1771" customFormat="1" ht="17.25" hidden="1" customHeight="1">
      <c r="A27" s="240"/>
      <c r="C27" s="239"/>
      <c r="D27" s="7574"/>
      <c r="E27" s="7576"/>
      <c r="F27" s="7579"/>
      <c r="G27" s="7576"/>
      <c r="H27" s="1223"/>
      <c r="I27" s="1224"/>
      <c r="J27" s="1224"/>
      <c r="K27" s="1224"/>
      <c r="L27" s="1224"/>
      <c r="M27" s="1224"/>
      <c r="N27" s="1224"/>
      <c r="O27" s="1224"/>
      <c r="P27" s="1224"/>
      <c r="Q27" s="1224"/>
      <c r="R27" s="1224"/>
      <c r="S27" s="1225"/>
      <c r="T27" s="1225"/>
      <c r="U27" s="1225"/>
      <c r="V27" s="1225"/>
      <c r="W27" s="1226"/>
      <c r="X27" s="1184"/>
      <c r="Y27" s="1184"/>
      <c r="Z27" s="1184"/>
      <c r="AA27" s="1184"/>
      <c r="AB27" s="1184"/>
      <c r="AC27" s="1184"/>
      <c r="AD27" s="1184"/>
      <c r="AE27" s="1184"/>
      <c r="AF27" s="1184"/>
      <c r="AG27" s="1184"/>
      <c r="AH27" s="1184"/>
      <c r="AI27" s="1184"/>
      <c r="AJ27" s="1184"/>
      <c r="AK27" s="1184"/>
      <c r="AL27" s="1184"/>
      <c r="AM27" s="1184"/>
      <c r="AN27" s="1184"/>
      <c r="AO27" s="1184"/>
      <c r="AP27" s="1184"/>
      <c r="AQ27" s="1184"/>
    </row>
    <row r="28" spans="1:43" s="1771" customFormat="1" ht="17.25" hidden="1" customHeight="1">
      <c r="A28" s="240"/>
      <c r="C28" s="126"/>
      <c r="D28" s="7573">
        <v>4</v>
      </c>
      <c r="E28" s="7575" t="s">
        <v>280</v>
      </c>
      <c r="F28" s="7577" t="s">
        <v>55</v>
      </c>
      <c r="G28" s="7575"/>
      <c r="H28" s="7580"/>
      <c r="I28" s="7582"/>
      <c r="J28" s="7584"/>
      <c r="K28" s="7567"/>
      <c r="L28" s="7567"/>
      <c r="M28" s="7567"/>
      <c r="N28" s="7569"/>
      <c r="O28" s="7567"/>
      <c r="P28" s="7567"/>
      <c r="Q28" s="7567"/>
      <c r="R28" s="7572"/>
      <c r="S28" s="7567"/>
      <c r="T28" s="1340"/>
      <c r="U28" s="1340"/>
      <c r="V28" s="1339"/>
      <c r="W28" s="1220"/>
      <c r="X28" s="1191"/>
      <c r="Y28" s="1191"/>
      <c r="Z28" s="1191"/>
      <c r="AA28" s="1191"/>
      <c r="AB28" s="1191"/>
      <c r="AC28" s="1191" t="s">
        <v>281</v>
      </c>
      <c r="AD28" s="1191" t="s">
        <v>282</v>
      </c>
      <c r="AE28" s="1191" t="s">
        <v>283</v>
      </c>
      <c r="AF28" s="1191" t="s">
        <v>284</v>
      </c>
      <c r="AG28" s="1191" t="s">
        <v>285</v>
      </c>
      <c r="AH28" s="1191"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92">
        <f>$I$28</f>
        <v>0</v>
      </c>
      <c r="AO28" s="1191" t="str">
        <f>$I$28&amp;"."&amp;$M$28</f>
        <v>.</v>
      </c>
      <c r="AP28" s="1184" t="str">
        <f>$I$28&amp;"."&amp;$M$28&amp;"."&amp;$Q$28</f>
        <v>..</v>
      </c>
      <c r="AQ28" s="1184" t="str">
        <f>$I$28&amp;"."&amp;$M$28&amp;"."&amp;$Q$28&amp;"."&amp;$U$28</f>
        <v>...</v>
      </c>
    </row>
    <row r="29" spans="1:43" s="1771" customFormat="1" ht="17.25" hidden="1" customHeight="1">
      <c r="A29" s="240"/>
      <c r="C29" s="239"/>
      <c r="D29" s="7573"/>
      <c r="E29" s="7575"/>
      <c r="F29" s="7578"/>
      <c r="G29" s="7575"/>
      <c r="H29" s="7581"/>
      <c r="I29" s="7583"/>
      <c r="J29" s="7585"/>
      <c r="K29" s="7568"/>
      <c r="L29" s="7568"/>
      <c r="M29" s="7568"/>
      <c r="N29" s="7570"/>
      <c r="O29" s="7568"/>
      <c r="P29" s="7568"/>
      <c r="Q29" s="7568"/>
      <c r="R29" s="7571"/>
      <c r="S29" s="7568"/>
      <c r="T29" s="1221"/>
      <c r="U29" s="1221"/>
      <c r="V29" s="1221"/>
      <c r="W29" s="1222"/>
      <c r="X29" s="1184"/>
      <c r="Y29" s="1184"/>
      <c r="Z29" s="1184"/>
      <c r="AA29" s="1184"/>
      <c r="AB29" s="1184"/>
      <c r="AC29" s="1184"/>
      <c r="AD29" s="1184"/>
      <c r="AE29" s="1184"/>
      <c r="AF29" s="1184"/>
      <c r="AG29" s="1184"/>
      <c r="AH29" s="1184"/>
      <c r="AI29" s="1184"/>
      <c r="AJ29" s="1184"/>
      <c r="AK29" s="1184"/>
      <c r="AL29" s="1184"/>
      <c r="AM29" s="1184"/>
      <c r="AN29" s="1184"/>
      <c r="AO29" s="1184"/>
      <c r="AP29" s="1184"/>
      <c r="AQ29" s="1184"/>
    </row>
    <row r="30" spans="1:43" s="1771" customFormat="1" ht="17.25" hidden="1" customHeight="1">
      <c r="A30" s="240"/>
      <c r="C30" s="239"/>
      <c r="D30" s="7574"/>
      <c r="E30" s="7576"/>
      <c r="F30" s="7578"/>
      <c r="G30" s="7576"/>
      <c r="H30" s="7581"/>
      <c r="I30" s="7583"/>
      <c r="J30" s="7586"/>
      <c r="K30" s="7568"/>
      <c r="L30" s="7568"/>
      <c r="M30" s="7568"/>
      <c r="N30" s="7571"/>
      <c r="O30" s="7568"/>
      <c r="P30" s="1338"/>
      <c r="Q30" s="1221"/>
      <c r="R30" s="1221"/>
      <c r="S30" s="251"/>
      <c r="T30" s="251"/>
      <c r="U30" s="251"/>
      <c r="V30" s="251"/>
      <c r="W30" s="1222"/>
      <c r="X30" s="1184"/>
      <c r="Y30" s="1184"/>
      <c r="Z30" s="1184"/>
      <c r="AA30" s="1184"/>
      <c r="AB30" s="1184"/>
      <c r="AC30" s="1184"/>
      <c r="AD30" s="1184"/>
      <c r="AE30" s="1184"/>
      <c r="AF30" s="1184"/>
      <c r="AG30" s="1184"/>
      <c r="AH30" s="1184"/>
      <c r="AI30" s="1184"/>
      <c r="AJ30" s="1184"/>
      <c r="AK30" s="1184"/>
      <c r="AL30" s="1184"/>
      <c r="AM30" s="1184"/>
      <c r="AN30" s="1184"/>
      <c r="AO30" s="1184"/>
      <c r="AP30" s="1184"/>
      <c r="AQ30" s="1184"/>
    </row>
    <row r="31" spans="1:43" s="1771" customFormat="1" ht="17.25" hidden="1" customHeight="1">
      <c r="A31" s="240"/>
      <c r="C31" s="239"/>
      <c r="D31" s="7574"/>
      <c r="E31" s="7576"/>
      <c r="F31" s="7578"/>
      <c r="G31" s="7576"/>
      <c r="H31" s="7581"/>
      <c r="I31" s="7583"/>
      <c r="J31" s="7586"/>
      <c r="K31" s="7568"/>
      <c r="L31" s="1221"/>
      <c r="M31" s="1221"/>
      <c r="N31" s="1221"/>
      <c r="O31" s="1221"/>
      <c r="P31" s="1221"/>
      <c r="Q31" s="1221"/>
      <c r="R31" s="1221"/>
      <c r="S31" s="251"/>
      <c r="T31" s="251"/>
      <c r="U31" s="251"/>
      <c r="V31" s="251"/>
      <c r="W31" s="1222"/>
      <c r="X31" s="1184"/>
      <c r="Y31" s="1184"/>
      <c r="Z31" s="1184"/>
      <c r="AA31" s="1184"/>
      <c r="AB31" s="1184"/>
      <c r="AC31" s="1184"/>
      <c r="AD31" s="1184"/>
      <c r="AE31" s="1184"/>
      <c r="AF31" s="1184"/>
      <c r="AG31" s="1184"/>
      <c r="AH31" s="1184"/>
      <c r="AI31" s="1184"/>
      <c r="AJ31" s="1184"/>
      <c r="AK31" s="1184"/>
      <c r="AL31" s="1184"/>
      <c r="AM31" s="1184"/>
      <c r="AN31" s="1184"/>
      <c r="AO31" s="1184"/>
      <c r="AP31" s="1184"/>
      <c r="AQ31" s="1184"/>
    </row>
    <row r="32" spans="1:43" s="1771" customFormat="1" ht="17.25" hidden="1" customHeight="1">
      <c r="A32" s="240"/>
      <c r="C32" s="239"/>
      <c r="D32" s="7574"/>
      <c r="E32" s="7576"/>
      <c r="F32" s="7579"/>
      <c r="G32" s="7576"/>
      <c r="H32" s="1223"/>
      <c r="I32" s="1224"/>
      <c r="J32" s="1224"/>
      <c r="K32" s="1224"/>
      <c r="L32" s="1224"/>
      <c r="M32" s="1224"/>
      <c r="N32" s="1224"/>
      <c r="O32" s="1224"/>
      <c r="P32" s="1224"/>
      <c r="Q32" s="1224"/>
      <c r="R32" s="1224"/>
      <c r="S32" s="1225"/>
      <c r="T32" s="1225"/>
      <c r="U32" s="1225"/>
      <c r="V32" s="1225"/>
      <c r="W32" s="1226"/>
      <c r="X32" s="1184"/>
      <c r="Y32" s="1184"/>
      <c r="Z32" s="1184"/>
      <c r="AA32" s="1184"/>
      <c r="AB32" s="1184"/>
      <c r="AC32" s="1184"/>
      <c r="AD32" s="1184"/>
      <c r="AE32" s="1184"/>
      <c r="AF32" s="1184"/>
      <c r="AG32" s="1184"/>
      <c r="AH32" s="1184"/>
      <c r="AI32" s="1184"/>
      <c r="AJ32" s="1184"/>
      <c r="AK32" s="1184"/>
      <c r="AL32" s="1184"/>
      <c r="AM32" s="1184"/>
      <c r="AN32" s="1184"/>
      <c r="AO32" s="1184"/>
      <c r="AP32" s="1184"/>
      <c r="AQ32" s="1184"/>
    </row>
    <row r="33" spans="1:43" s="1771" customFormat="1" ht="17.25" hidden="1" customHeight="1">
      <c r="A33" s="240"/>
      <c r="C33" s="126"/>
      <c r="D33" s="7573">
        <v>5</v>
      </c>
      <c r="E33" s="7575" t="s">
        <v>286</v>
      </c>
      <c r="F33" s="7577" t="s">
        <v>55</v>
      </c>
      <c r="G33" s="7575"/>
      <c r="H33" s="7580"/>
      <c r="I33" s="7582"/>
      <c r="J33" s="7584"/>
      <c r="K33" s="7567"/>
      <c r="L33" s="7567"/>
      <c r="M33" s="7567"/>
      <c r="N33" s="7569"/>
      <c r="O33" s="7567"/>
      <c r="P33" s="7567"/>
      <c r="Q33" s="7567"/>
      <c r="R33" s="7572"/>
      <c r="S33" s="7567"/>
      <c r="T33" s="1340"/>
      <c r="U33" s="1340"/>
      <c r="V33" s="1339"/>
      <c r="W33" s="1220"/>
      <c r="X33" s="1191"/>
      <c r="Y33" s="1191"/>
      <c r="Z33" s="1191"/>
      <c r="AA33" s="1191"/>
      <c r="AB33" s="1191"/>
      <c r="AC33" s="1191" t="s">
        <v>287</v>
      </c>
      <c r="AD33" s="1191" t="s">
        <v>288</v>
      </c>
      <c r="AE33" s="1191" t="s">
        <v>289</v>
      </c>
      <c r="AF33" s="1191" t="s">
        <v>290</v>
      </c>
      <c r="AG33" s="1191" t="s">
        <v>291</v>
      </c>
      <c r="AH33" s="1191" t="str">
        <f>IF($E$33=0,"",$E$33)</f>
        <v>Тарифы на услуги по передаче тепловой энергии</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92">
        <f>$I$33</f>
        <v>0</v>
      </c>
      <c r="AO33" s="1191" t="str">
        <f>$I$33&amp;"."&amp;$M$33</f>
        <v>.</v>
      </c>
      <c r="AP33" s="1184" t="str">
        <f>$I$33&amp;"."&amp;$M$33&amp;"."&amp;$Q$33</f>
        <v>..</v>
      </c>
      <c r="AQ33" s="1184" t="str">
        <f>$I$33&amp;"."&amp;$M$33&amp;"."&amp;$Q$33&amp;"."&amp;$U$33</f>
        <v>...</v>
      </c>
    </row>
    <row r="34" spans="1:43" s="1771" customFormat="1" ht="17.25" hidden="1" customHeight="1">
      <c r="A34" s="240"/>
      <c r="C34" s="239"/>
      <c r="D34" s="7573"/>
      <c r="E34" s="7575"/>
      <c r="F34" s="7578"/>
      <c r="G34" s="7575"/>
      <c r="H34" s="7581"/>
      <c r="I34" s="7583"/>
      <c r="J34" s="7585"/>
      <c r="K34" s="7568"/>
      <c r="L34" s="7568"/>
      <c r="M34" s="7568"/>
      <c r="N34" s="7570"/>
      <c r="O34" s="7568"/>
      <c r="P34" s="7568"/>
      <c r="Q34" s="7568"/>
      <c r="R34" s="7571"/>
      <c r="S34" s="7568"/>
      <c r="T34" s="1221"/>
      <c r="U34" s="1221"/>
      <c r="V34" s="1221"/>
      <c r="W34" s="1222"/>
      <c r="X34" s="1184"/>
      <c r="Y34" s="1184"/>
      <c r="Z34" s="1184"/>
      <c r="AA34" s="1184"/>
      <c r="AB34" s="1184"/>
      <c r="AC34" s="1184"/>
      <c r="AD34" s="1184"/>
      <c r="AE34" s="1184"/>
      <c r="AF34" s="1184"/>
      <c r="AG34" s="1184"/>
      <c r="AH34" s="1184"/>
      <c r="AI34" s="1184"/>
      <c r="AJ34" s="1184"/>
      <c r="AK34" s="1184"/>
      <c r="AL34" s="1184"/>
      <c r="AM34" s="1184"/>
      <c r="AN34" s="1184"/>
      <c r="AO34" s="1184"/>
      <c r="AP34" s="1184"/>
      <c r="AQ34" s="1184"/>
    </row>
    <row r="35" spans="1:43" s="1771" customFormat="1" ht="17.25" hidden="1" customHeight="1">
      <c r="A35" s="240"/>
      <c r="C35" s="239"/>
      <c r="D35" s="7574"/>
      <c r="E35" s="7576"/>
      <c r="F35" s="7578"/>
      <c r="G35" s="7576"/>
      <c r="H35" s="7581"/>
      <c r="I35" s="7583"/>
      <c r="J35" s="7586"/>
      <c r="K35" s="7568"/>
      <c r="L35" s="7568"/>
      <c r="M35" s="7568"/>
      <c r="N35" s="7571"/>
      <c r="O35" s="7568"/>
      <c r="P35" s="1338"/>
      <c r="Q35" s="1221"/>
      <c r="R35" s="1221"/>
      <c r="S35" s="251"/>
      <c r="T35" s="251"/>
      <c r="U35" s="251"/>
      <c r="V35" s="251"/>
      <c r="W35" s="1222"/>
      <c r="X35" s="1184"/>
      <c r="Y35" s="1184"/>
      <c r="Z35" s="1184"/>
      <c r="AA35" s="1184"/>
      <c r="AB35" s="1184"/>
      <c r="AC35" s="1184"/>
      <c r="AD35" s="1184"/>
      <c r="AE35" s="1184"/>
      <c r="AF35" s="1184"/>
      <c r="AG35" s="1184"/>
      <c r="AH35" s="1184"/>
      <c r="AI35" s="1184"/>
      <c r="AJ35" s="1184"/>
      <c r="AK35" s="1184"/>
      <c r="AL35" s="1184"/>
      <c r="AM35" s="1184"/>
      <c r="AN35" s="1184"/>
      <c r="AO35" s="1184"/>
      <c r="AP35" s="1184"/>
      <c r="AQ35" s="1184"/>
    </row>
    <row r="36" spans="1:43" s="1771" customFormat="1" ht="17.25" hidden="1" customHeight="1">
      <c r="A36" s="240"/>
      <c r="C36" s="239"/>
      <c r="D36" s="7574"/>
      <c r="E36" s="7576"/>
      <c r="F36" s="7578"/>
      <c r="G36" s="7576"/>
      <c r="H36" s="7581"/>
      <c r="I36" s="7583"/>
      <c r="J36" s="7586"/>
      <c r="K36" s="7568"/>
      <c r="L36" s="1221"/>
      <c r="M36" s="1221"/>
      <c r="N36" s="1221"/>
      <c r="O36" s="1221"/>
      <c r="P36" s="1221"/>
      <c r="Q36" s="1221"/>
      <c r="R36" s="1221"/>
      <c r="S36" s="251"/>
      <c r="T36" s="251"/>
      <c r="U36" s="251"/>
      <c r="V36" s="251"/>
      <c r="W36" s="1222"/>
      <c r="X36" s="1184"/>
      <c r="Y36" s="1184"/>
      <c r="Z36" s="1184"/>
      <c r="AA36" s="1184"/>
      <c r="AB36" s="1184"/>
      <c r="AC36" s="1184"/>
      <c r="AD36" s="1184"/>
      <c r="AE36" s="1184"/>
      <c r="AF36" s="1184"/>
      <c r="AG36" s="1184"/>
      <c r="AH36" s="1184"/>
      <c r="AI36" s="1184"/>
      <c r="AJ36" s="1184"/>
      <c r="AK36" s="1184"/>
      <c r="AL36" s="1184"/>
      <c r="AM36" s="1184"/>
      <c r="AN36" s="1184"/>
      <c r="AO36" s="1184"/>
      <c r="AP36" s="1184"/>
      <c r="AQ36" s="1184"/>
    </row>
    <row r="37" spans="1:43" s="1771" customFormat="1" ht="17.25" hidden="1" customHeight="1">
      <c r="A37" s="240"/>
      <c r="C37" s="239"/>
      <c r="D37" s="7574"/>
      <c r="E37" s="7576"/>
      <c r="F37" s="7579"/>
      <c r="G37" s="7576"/>
      <c r="H37" s="1223"/>
      <c r="I37" s="1224"/>
      <c r="J37" s="1224"/>
      <c r="K37" s="1224"/>
      <c r="L37" s="1224"/>
      <c r="M37" s="1224"/>
      <c r="N37" s="1224"/>
      <c r="O37" s="1224"/>
      <c r="P37" s="1224"/>
      <c r="Q37" s="1224"/>
      <c r="R37" s="1224"/>
      <c r="S37" s="1225"/>
      <c r="T37" s="1225"/>
      <c r="U37" s="1225"/>
      <c r="V37" s="1225"/>
      <c r="W37" s="1226"/>
      <c r="X37" s="1184"/>
      <c r="Y37" s="1184"/>
      <c r="Z37" s="1184"/>
      <c r="AA37" s="1184"/>
      <c r="AB37" s="1184"/>
      <c r="AC37" s="1184"/>
      <c r="AD37" s="1184"/>
      <c r="AE37" s="1184"/>
      <c r="AF37" s="1184"/>
      <c r="AG37" s="1184"/>
      <c r="AH37" s="1184"/>
      <c r="AI37" s="1184"/>
      <c r="AJ37" s="1184"/>
      <c r="AK37" s="1184"/>
      <c r="AL37" s="1184"/>
      <c r="AM37" s="1184"/>
      <c r="AN37" s="1184"/>
      <c r="AO37" s="1184"/>
      <c r="AP37" s="1184"/>
      <c r="AQ37" s="1184"/>
    </row>
    <row r="38" spans="1:43" s="1771" customFormat="1" ht="17.25" hidden="1" customHeight="1">
      <c r="A38" s="240"/>
      <c r="C38" s="126"/>
      <c r="D38" s="7573">
        <v>6</v>
      </c>
      <c r="E38" s="7575" t="s">
        <v>292</v>
      </c>
      <c r="F38" s="7577" t="s">
        <v>55</v>
      </c>
      <c r="G38" s="7575"/>
      <c r="H38" s="7580"/>
      <c r="I38" s="7582"/>
      <c r="J38" s="7584"/>
      <c r="K38" s="7567"/>
      <c r="L38" s="7567"/>
      <c r="M38" s="7567"/>
      <c r="N38" s="7569"/>
      <c r="O38" s="7567"/>
      <c r="P38" s="7567"/>
      <c r="Q38" s="7567"/>
      <c r="R38" s="7572"/>
      <c r="S38" s="7567"/>
      <c r="T38" s="1340"/>
      <c r="U38" s="1340"/>
      <c r="V38" s="1339"/>
      <c r="W38" s="1220"/>
      <c r="X38" s="1191"/>
      <c r="Y38" s="1191"/>
      <c r="Z38" s="1191"/>
      <c r="AA38" s="1191"/>
      <c r="AB38" s="1191"/>
      <c r="AC38" s="1191" t="s">
        <v>293</v>
      </c>
      <c r="AD38" s="1191" t="s">
        <v>294</v>
      </c>
      <c r="AE38" s="1191" t="s">
        <v>295</v>
      </c>
      <c r="AF38" s="1191" t="s">
        <v>296</v>
      </c>
      <c r="AG38" s="1191" t="s">
        <v>297</v>
      </c>
      <c r="AH38" s="1191" t="str">
        <f>IF($E$38=0,"",$E$38)</f>
        <v>Тарифы на услуги по передаче теплоносителя</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92">
        <f>$I$38</f>
        <v>0</v>
      </c>
      <c r="AO38" s="1191" t="str">
        <f>$I$38&amp;"."&amp;$M$38</f>
        <v>.</v>
      </c>
      <c r="AP38" s="1184" t="str">
        <f>$I$38&amp;"."&amp;$M$38&amp;"."&amp;$Q$38</f>
        <v>..</v>
      </c>
      <c r="AQ38" s="1184" t="str">
        <f>$I$38&amp;"."&amp;$M$38&amp;"."&amp;$Q$38&amp;"."&amp;$U$38</f>
        <v>...</v>
      </c>
    </row>
    <row r="39" spans="1:43" s="1771" customFormat="1" ht="17.25" hidden="1" customHeight="1">
      <c r="A39" s="240"/>
      <c r="C39" s="239"/>
      <c r="D39" s="7573"/>
      <c r="E39" s="7575"/>
      <c r="F39" s="7578"/>
      <c r="G39" s="7575"/>
      <c r="H39" s="7581"/>
      <c r="I39" s="7583"/>
      <c r="J39" s="7585"/>
      <c r="K39" s="7568"/>
      <c r="L39" s="7568"/>
      <c r="M39" s="7568"/>
      <c r="N39" s="7570"/>
      <c r="O39" s="7568"/>
      <c r="P39" s="7568"/>
      <c r="Q39" s="7568"/>
      <c r="R39" s="7571"/>
      <c r="S39" s="7568"/>
      <c r="T39" s="1221"/>
      <c r="U39" s="1221"/>
      <c r="V39" s="1221"/>
      <c r="W39" s="1222"/>
      <c r="X39" s="1184"/>
      <c r="Y39" s="1184"/>
      <c r="Z39" s="1184"/>
      <c r="AA39" s="1184"/>
      <c r="AB39" s="1184"/>
      <c r="AC39" s="1184"/>
      <c r="AD39" s="1184"/>
      <c r="AE39" s="1184"/>
      <c r="AF39" s="1184"/>
      <c r="AG39" s="1184"/>
      <c r="AH39" s="1184"/>
      <c r="AI39" s="1184"/>
      <c r="AJ39" s="1184"/>
      <c r="AK39" s="1184"/>
      <c r="AL39" s="1184"/>
      <c r="AM39" s="1184"/>
      <c r="AN39" s="1184"/>
      <c r="AO39" s="1184"/>
      <c r="AP39" s="1184"/>
      <c r="AQ39" s="1184"/>
    </row>
    <row r="40" spans="1:43" s="1771" customFormat="1" ht="17.25" hidden="1" customHeight="1">
      <c r="A40" s="240"/>
      <c r="C40" s="239"/>
      <c r="D40" s="7574"/>
      <c r="E40" s="7576"/>
      <c r="F40" s="7578"/>
      <c r="G40" s="7576"/>
      <c r="H40" s="7581"/>
      <c r="I40" s="7583"/>
      <c r="J40" s="7586"/>
      <c r="K40" s="7568"/>
      <c r="L40" s="7568"/>
      <c r="M40" s="7568"/>
      <c r="N40" s="7571"/>
      <c r="O40" s="7568"/>
      <c r="P40" s="1338"/>
      <c r="Q40" s="1221"/>
      <c r="R40" s="1221"/>
      <c r="S40" s="251"/>
      <c r="T40" s="251"/>
      <c r="U40" s="251"/>
      <c r="V40" s="251"/>
      <c r="W40" s="1222"/>
      <c r="X40" s="1184"/>
      <c r="Y40" s="1184"/>
      <c r="Z40" s="1184"/>
      <c r="AA40" s="1184"/>
      <c r="AB40" s="1184"/>
      <c r="AC40" s="1184"/>
      <c r="AD40" s="1184"/>
      <c r="AE40" s="1184"/>
      <c r="AF40" s="1184"/>
      <c r="AG40" s="1184"/>
      <c r="AH40" s="1184"/>
      <c r="AI40" s="1184"/>
      <c r="AJ40" s="1184"/>
      <c r="AK40" s="1184"/>
      <c r="AL40" s="1184"/>
      <c r="AM40" s="1184"/>
      <c r="AN40" s="1184"/>
      <c r="AO40" s="1184"/>
      <c r="AP40" s="1184"/>
      <c r="AQ40" s="1184"/>
    </row>
    <row r="41" spans="1:43" s="1771" customFormat="1" ht="17.25" hidden="1" customHeight="1">
      <c r="A41" s="240"/>
      <c r="C41" s="126"/>
      <c r="D41" s="7574"/>
      <c r="E41" s="7576"/>
      <c r="F41" s="7578"/>
      <c r="G41" s="7576"/>
      <c r="H41" s="7581"/>
      <c r="I41" s="7583"/>
      <c r="J41" s="7586"/>
      <c r="K41" s="7568"/>
      <c r="L41" s="1221"/>
      <c r="M41" s="1221"/>
      <c r="N41" s="1221"/>
      <c r="O41" s="1221"/>
      <c r="P41" s="1221"/>
      <c r="Q41" s="1221"/>
      <c r="R41" s="1221"/>
      <c r="S41" s="251"/>
      <c r="T41" s="251"/>
      <c r="U41" s="251"/>
      <c r="V41" s="251"/>
      <c r="W41" s="1222"/>
      <c r="Y41" s="1191"/>
      <c r="Z41" s="1191"/>
      <c r="AA41" s="1191"/>
      <c r="AB41" s="1191"/>
      <c r="AC41" s="1191"/>
      <c r="AD41" s="1191"/>
      <c r="AE41" s="1191"/>
      <c r="AF41" s="1191"/>
      <c r="AG41" s="1191"/>
      <c r="AH41" s="1191"/>
      <c r="AI41" s="1191"/>
      <c r="AJ41" s="1191"/>
      <c r="AK41" s="1191"/>
      <c r="AL41" s="1191"/>
      <c r="AM41" s="1191"/>
      <c r="AN41" s="1191"/>
      <c r="AO41" s="1191"/>
      <c r="AP41" s="1191"/>
      <c r="AQ41" s="1191"/>
    </row>
    <row r="42" spans="1:43" s="1771" customFormat="1" ht="17.25" hidden="1" customHeight="1">
      <c r="A42" s="240"/>
      <c r="C42" s="239"/>
      <c r="D42" s="7574"/>
      <c r="E42" s="7576"/>
      <c r="F42" s="7579"/>
      <c r="G42" s="7576"/>
      <c r="H42" s="1223"/>
      <c r="I42" s="1224"/>
      <c r="J42" s="1224"/>
      <c r="K42" s="1224"/>
      <c r="L42" s="1224"/>
      <c r="M42" s="1224"/>
      <c r="N42" s="1224"/>
      <c r="O42" s="1224"/>
      <c r="P42" s="1224"/>
      <c r="Q42" s="1224"/>
      <c r="R42" s="1224"/>
      <c r="S42" s="1225"/>
      <c r="T42" s="1225"/>
      <c r="U42" s="1225"/>
      <c r="V42" s="1225"/>
      <c r="W42" s="1226"/>
      <c r="X42" s="1184"/>
      <c r="Y42" s="1184"/>
      <c r="Z42" s="1184"/>
      <c r="AA42" s="1184"/>
      <c r="AB42" s="1184"/>
      <c r="AC42" s="1184"/>
      <c r="AD42" s="1184"/>
      <c r="AE42" s="1184"/>
      <c r="AF42" s="1184"/>
      <c r="AG42" s="1184"/>
      <c r="AH42" s="1184"/>
      <c r="AI42" s="1184"/>
      <c r="AJ42" s="1184"/>
      <c r="AK42" s="1184"/>
      <c r="AL42" s="1184"/>
      <c r="AM42" s="1184"/>
      <c r="AN42" s="1184"/>
      <c r="AO42" s="1184"/>
      <c r="AP42" s="1184"/>
      <c r="AQ42" s="1184"/>
    </row>
    <row r="43" spans="1:43" s="1771" customFormat="1" ht="17.25" hidden="1" customHeight="1">
      <c r="A43" s="240"/>
      <c r="C43" s="126"/>
      <c r="D43" s="7601">
        <v>7</v>
      </c>
      <c r="E43" s="7604" t="s">
        <v>298</v>
      </c>
      <c r="F43" s="7577" t="s">
        <v>55</v>
      </c>
      <c r="G43" s="7604"/>
      <c r="H43" s="7580"/>
      <c r="I43" s="7582"/>
      <c r="J43" s="7584"/>
      <c r="K43" s="7567"/>
      <c r="L43" s="7567"/>
      <c r="M43" s="7567"/>
      <c r="N43" s="7569"/>
      <c r="O43" s="7567"/>
      <c r="P43" s="7567"/>
      <c r="Q43" s="7567"/>
      <c r="R43" s="7572"/>
      <c r="S43" s="7567"/>
      <c r="T43" s="1340"/>
      <c r="U43" s="1340"/>
      <c r="V43" s="1339"/>
      <c r="W43" s="1220"/>
      <c r="X43" s="1191"/>
      <c r="Y43" s="1191"/>
      <c r="Z43" s="1191"/>
      <c r="AA43" s="1191"/>
      <c r="AB43" s="1191"/>
      <c r="AC43" s="1191" t="s">
        <v>299</v>
      </c>
      <c r="AD43" s="1191" t="s">
        <v>300</v>
      </c>
      <c r="AE43" s="1191" t="s">
        <v>301</v>
      </c>
      <c r="AF43" s="1191" t="s">
        <v>302</v>
      </c>
      <c r="AG43" s="1191" t="s">
        <v>303</v>
      </c>
      <c r="AH43" s="1191" t="str">
        <f>IF($E$43=0,"",$E$43)</f>
        <v>Плата за услуги по поддержанию резервной тепловой мощности при отсутствии потребления тепловой энергии</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92">
        <f>$I$43</f>
        <v>0</v>
      </c>
      <c r="AO43" s="1191" t="str">
        <f>$I$43&amp;"."&amp;$M$43</f>
        <v>.</v>
      </c>
      <c r="AP43" s="1184" t="str">
        <f>$I$43&amp;"."&amp;$M$43&amp;"."&amp;$Q$43</f>
        <v>..</v>
      </c>
      <c r="AQ43" s="1184" t="str">
        <f>$I$43&amp;"."&amp;$M$43&amp;"."&amp;$Q$43&amp;"."&amp;$U$43</f>
        <v>...</v>
      </c>
    </row>
    <row r="44" spans="1:43" s="1771" customFormat="1" ht="17.25" hidden="1" customHeight="1">
      <c r="A44" s="240"/>
      <c r="C44" s="239"/>
      <c r="D44" s="7602"/>
      <c r="E44" s="7605"/>
      <c r="F44" s="7578"/>
      <c r="G44" s="7605"/>
      <c r="H44" s="7581"/>
      <c r="I44" s="7583"/>
      <c r="J44" s="7585"/>
      <c r="K44" s="7568"/>
      <c r="L44" s="7568"/>
      <c r="M44" s="7568"/>
      <c r="N44" s="7570"/>
      <c r="O44" s="7568"/>
      <c r="P44" s="7568"/>
      <c r="Q44" s="7568"/>
      <c r="R44" s="7571"/>
      <c r="S44" s="7568"/>
      <c r="T44" s="1221"/>
      <c r="U44" s="1221"/>
      <c r="V44" s="1221"/>
      <c r="W44" s="1222"/>
      <c r="X44" s="1184"/>
      <c r="Y44" s="1184"/>
      <c r="Z44" s="1184"/>
      <c r="AA44" s="1184"/>
      <c r="AB44" s="1184"/>
      <c r="AC44" s="1184"/>
      <c r="AD44" s="1184"/>
      <c r="AE44" s="1184"/>
      <c r="AF44" s="1184"/>
      <c r="AG44" s="1184"/>
      <c r="AH44" s="1184"/>
      <c r="AI44" s="1184"/>
      <c r="AJ44" s="1184"/>
      <c r="AK44" s="1184"/>
      <c r="AL44" s="1184"/>
      <c r="AM44" s="1184"/>
      <c r="AN44" s="1184"/>
      <c r="AO44" s="1184"/>
      <c r="AP44" s="1184"/>
      <c r="AQ44" s="1184"/>
    </row>
    <row r="45" spans="1:43" s="1771" customFormat="1" ht="17.25" hidden="1" customHeight="1">
      <c r="A45" s="240"/>
      <c r="C45" s="239"/>
      <c r="D45" s="7602"/>
      <c r="E45" s="7605"/>
      <c r="F45" s="7578"/>
      <c r="G45" s="7605"/>
      <c r="H45" s="7581"/>
      <c r="I45" s="7583"/>
      <c r="J45" s="7586"/>
      <c r="K45" s="7568"/>
      <c r="L45" s="7568"/>
      <c r="M45" s="7568"/>
      <c r="N45" s="7571"/>
      <c r="O45" s="7568"/>
      <c r="P45" s="1338"/>
      <c r="Q45" s="1221"/>
      <c r="R45" s="1221"/>
      <c r="S45" s="251"/>
      <c r="T45" s="251"/>
      <c r="U45" s="251"/>
      <c r="V45" s="251"/>
      <c r="W45" s="1222"/>
      <c r="X45" s="1184"/>
      <c r="Y45" s="1184"/>
      <c r="Z45" s="1184"/>
      <c r="AA45" s="1184"/>
      <c r="AB45" s="1184"/>
      <c r="AC45" s="1184"/>
      <c r="AD45" s="1184"/>
      <c r="AE45" s="1184"/>
      <c r="AF45" s="1184"/>
      <c r="AG45" s="1184"/>
      <c r="AH45" s="1184"/>
      <c r="AI45" s="1184"/>
      <c r="AJ45" s="1184"/>
      <c r="AK45" s="1184"/>
      <c r="AL45" s="1184"/>
      <c r="AM45" s="1184"/>
      <c r="AN45" s="1184"/>
      <c r="AO45" s="1184"/>
      <c r="AP45" s="1184"/>
      <c r="AQ45" s="1184"/>
    </row>
    <row r="46" spans="1:43" s="1771" customFormat="1" ht="17.25" hidden="1" customHeight="1">
      <c r="A46" s="240"/>
      <c r="C46" s="126"/>
      <c r="D46" s="7602"/>
      <c r="E46" s="7605"/>
      <c r="F46" s="7578"/>
      <c r="G46" s="7605"/>
      <c r="H46" s="7581"/>
      <c r="I46" s="7583"/>
      <c r="J46" s="7586"/>
      <c r="K46" s="7568"/>
      <c r="L46" s="1221"/>
      <c r="M46" s="1221"/>
      <c r="N46" s="1221"/>
      <c r="O46" s="1221"/>
      <c r="P46" s="1221"/>
      <c r="Q46" s="1221"/>
      <c r="R46" s="1221"/>
      <c r="S46" s="251"/>
      <c r="T46" s="251"/>
      <c r="U46" s="251"/>
      <c r="V46" s="251"/>
      <c r="W46" s="1222"/>
      <c r="Y46" s="1191"/>
      <c r="Z46" s="1191"/>
      <c r="AA46" s="1191"/>
      <c r="AB46" s="1191"/>
      <c r="AC46" s="1191"/>
      <c r="AD46" s="1191"/>
      <c r="AE46" s="1191"/>
      <c r="AF46" s="1191"/>
      <c r="AG46" s="1191"/>
      <c r="AH46" s="1191"/>
      <c r="AI46" s="1191"/>
      <c r="AJ46" s="1191"/>
      <c r="AK46" s="1191"/>
      <c r="AL46" s="1191"/>
      <c r="AM46" s="1191"/>
      <c r="AN46" s="1191"/>
      <c r="AO46" s="1191"/>
      <c r="AP46" s="1191"/>
      <c r="AQ46" s="1191"/>
    </row>
    <row r="47" spans="1:43" s="1771" customFormat="1" ht="17.25" hidden="1" customHeight="1">
      <c r="A47" s="240"/>
      <c r="C47" s="239"/>
      <c r="D47" s="7603"/>
      <c r="E47" s="7606"/>
      <c r="F47" s="7579"/>
      <c r="G47" s="7606"/>
      <c r="H47" s="1223"/>
      <c r="I47" s="1224"/>
      <c r="J47" s="1224"/>
      <c r="K47" s="1224"/>
      <c r="L47" s="1224"/>
      <c r="M47" s="1224"/>
      <c r="N47" s="1224"/>
      <c r="O47" s="1224"/>
      <c r="P47" s="1224"/>
      <c r="Q47" s="1224"/>
      <c r="R47" s="1224"/>
      <c r="S47" s="1225"/>
      <c r="T47" s="1225"/>
      <c r="U47" s="1225"/>
      <c r="V47" s="1225"/>
      <c r="W47" s="1226"/>
      <c r="X47" s="1184"/>
      <c r="Y47" s="1184"/>
      <c r="Z47" s="1184"/>
      <c r="AA47" s="1184"/>
      <c r="AB47" s="1184"/>
      <c r="AC47" s="1184"/>
      <c r="AD47" s="1184"/>
      <c r="AE47" s="1184"/>
      <c r="AF47" s="1184"/>
      <c r="AG47" s="1184"/>
      <c r="AH47" s="1184"/>
      <c r="AI47" s="1184"/>
      <c r="AJ47" s="1184"/>
      <c r="AK47" s="1184"/>
      <c r="AL47" s="1184"/>
      <c r="AM47" s="1184"/>
      <c r="AN47" s="1184"/>
      <c r="AO47" s="1184"/>
      <c r="AP47" s="1184"/>
      <c r="AQ47" s="1184"/>
    </row>
    <row r="48" spans="1:43" s="1771" customFormat="1" ht="17.25" hidden="1" customHeight="1">
      <c r="A48" s="240"/>
      <c r="C48" s="126"/>
      <c r="D48" s="7573">
        <v>8</v>
      </c>
      <c r="E48" s="7575" t="s">
        <v>304</v>
      </c>
      <c r="F48" s="7577" t="s">
        <v>55</v>
      </c>
      <c r="G48" s="7575"/>
      <c r="H48" s="7580"/>
      <c r="I48" s="7582"/>
      <c r="J48" s="7584"/>
      <c r="K48" s="7567"/>
      <c r="L48" s="7567"/>
      <c r="M48" s="7567"/>
      <c r="N48" s="7569"/>
      <c r="O48" s="7567"/>
      <c r="P48" s="7567"/>
      <c r="Q48" s="7567"/>
      <c r="R48" s="7572"/>
      <c r="S48" s="7567"/>
      <c r="T48" s="1386"/>
      <c r="U48" s="1386"/>
      <c r="V48" s="1388"/>
      <c r="W48" s="1220"/>
      <c r="X48" s="1191"/>
      <c r="Y48" s="1191"/>
      <c r="Z48" s="1191"/>
      <c r="AA48" s="1191"/>
      <c r="AB48" s="1191"/>
      <c r="AC48" s="1191" t="s">
        <v>305</v>
      </c>
      <c r="AD48" s="1191" t="s">
        <v>306</v>
      </c>
      <c r="AE48" s="1191" t="s">
        <v>307</v>
      </c>
      <c r="AF48" s="1191" t="s">
        <v>308</v>
      </c>
      <c r="AG48" s="1191" t="s">
        <v>309</v>
      </c>
      <c r="AH48" s="1191" t="str">
        <f>IF($E$48=0,"",$E$48)</f>
        <v>Плата за подключение (технологическое присоединение) к системе теплоснабжения</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92">
        <f>$I$48</f>
        <v>0</v>
      </c>
      <c r="AO48" s="1191" t="str">
        <f>$I$48&amp;"."&amp;$M$48</f>
        <v>.</v>
      </c>
      <c r="AP48" s="1184" t="str">
        <f>$I$48&amp;"."&amp;$M$48&amp;"."&amp;$Q$48</f>
        <v>..</v>
      </c>
      <c r="AQ48" s="1184" t="str">
        <f>$I$48&amp;"."&amp;$M$48&amp;"."&amp;$Q$48&amp;"."&amp;$U$48</f>
        <v>...</v>
      </c>
    </row>
    <row r="49" spans="1:43" s="1771" customFormat="1" ht="17.25" hidden="1" customHeight="1">
      <c r="A49" s="240"/>
      <c r="C49" s="239"/>
      <c r="D49" s="7573"/>
      <c r="E49" s="7575"/>
      <c r="F49" s="7578"/>
      <c r="G49" s="7575"/>
      <c r="H49" s="7581"/>
      <c r="I49" s="7583"/>
      <c r="J49" s="7585"/>
      <c r="K49" s="7568"/>
      <c r="L49" s="7568"/>
      <c r="M49" s="7568"/>
      <c r="N49" s="7570"/>
      <c r="O49" s="7568"/>
      <c r="P49" s="7568"/>
      <c r="Q49" s="7568"/>
      <c r="R49" s="7571"/>
      <c r="S49" s="7568"/>
      <c r="T49" s="1221"/>
      <c r="U49" s="1221"/>
      <c r="V49" s="1221"/>
      <c r="W49" s="1222"/>
      <c r="X49" s="1184"/>
      <c r="Y49" s="1184"/>
      <c r="Z49" s="1184"/>
      <c r="AA49" s="1184"/>
      <c r="AB49" s="1184"/>
      <c r="AC49" s="1184"/>
      <c r="AD49" s="1184"/>
      <c r="AE49" s="1184"/>
      <c r="AF49" s="1184"/>
      <c r="AG49" s="1184"/>
      <c r="AH49" s="1184"/>
      <c r="AI49" s="1184"/>
      <c r="AJ49" s="1184"/>
      <c r="AK49" s="1184"/>
      <c r="AL49" s="1184"/>
      <c r="AM49" s="1184"/>
      <c r="AN49" s="1184"/>
      <c r="AO49" s="1184"/>
      <c r="AP49" s="1184"/>
      <c r="AQ49" s="1184"/>
    </row>
    <row r="50" spans="1:43" s="1771" customFormat="1" ht="17.25" hidden="1" customHeight="1">
      <c r="A50" s="240"/>
      <c r="C50" s="239"/>
      <c r="D50" s="7574"/>
      <c r="E50" s="7576"/>
      <c r="F50" s="7578"/>
      <c r="G50" s="7576"/>
      <c r="H50" s="7581"/>
      <c r="I50" s="7583"/>
      <c r="J50" s="7586"/>
      <c r="K50" s="7568"/>
      <c r="L50" s="7568"/>
      <c r="M50" s="7568"/>
      <c r="N50" s="7571"/>
      <c r="O50" s="7568"/>
      <c r="P50" s="1387"/>
      <c r="Q50" s="1221"/>
      <c r="R50" s="1221"/>
      <c r="S50" s="251"/>
      <c r="T50" s="251"/>
      <c r="U50" s="251"/>
      <c r="V50" s="251"/>
      <c r="W50" s="1222"/>
      <c r="X50" s="1184"/>
      <c r="Y50" s="1184"/>
      <c r="Z50" s="1184"/>
      <c r="AA50" s="1184"/>
      <c r="AB50" s="1184"/>
      <c r="AC50" s="1184"/>
      <c r="AD50" s="1184"/>
      <c r="AE50" s="1184"/>
      <c r="AF50" s="1184"/>
      <c r="AG50" s="1184"/>
      <c r="AH50" s="1184"/>
      <c r="AI50" s="1184"/>
      <c r="AJ50" s="1184"/>
      <c r="AK50" s="1184"/>
      <c r="AL50" s="1184"/>
      <c r="AM50" s="1184"/>
      <c r="AN50" s="1184"/>
      <c r="AO50" s="1184"/>
      <c r="AP50" s="1184"/>
      <c r="AQ50" s="1184"/>
    </row>
    <row r="51" spans="1:43" s="1771" customFormat="1" ht="17.25" hidden="1" customHeight="1">
      <c r="A51" s="240"/>
      <c r="C51" s="126"/>
      <c r="D51" s="7574"/>
      <c r="E51" s="7576"/>
      <c r="F51" s="7578"/>
      <c r="G51" s="7576"/>
      <c r="H51" s="7581"/>
      <c r="I51" s="7583"/>
      <c r="J51" s="7586"/>
      <c r="K51" s="7568"/>
      <c r="L51" s="1221"/>
      <c r="M51" s="1221"/>
      <c r="N51" s="1221"/>
      <c r="O51" s="1221"/>
      <c r="P51" s="1221"/>
      <c r="Q51" s="1221"/>
      <c r="R51" s="1221"/>
      <c r="S51" s="251"/>
      <c r="T51" s="251"/>
      <c r="U51" s="251"/>
      <c r="V51" s="251"/>
      <c r="W51" s="1222"/>
      <c r="Y51" s="1191"/>
      <c r="Z51" s="1191"/>
      <c r="AA51" s="1191"/>
      <c r="AB51" s="1191"/>
      <c r="AC51" s="1191"/>
      <c r="AD51" s="1191"/>
      <c r="AE51" s="1191"/>
      <c r="AF51" s="1191"/>
      <c r="AG51" s="1191"/>
      <c r="AH51" s="1191"/>
      <c r="AI51" s="1191"/>
      <c r="AJ51" s="1191"/>
      <c r="AK51" s="1191"/>
      <c r="AL51" s="1191"/>
      <c r="AM51" s="1191"/>
      <c r="AN51" s="1191"/>
      <c r="AO51" s="1191"/>
      <c r="AP51" s="1191"/>
      <c r="AQ51" s="1191"/>
    </row>
    <row r="52" spans="1:43" s="1771" customFormat="1" ht="17.25" hidden="1" customHeight="1">
      <c r="A52" s="240"/>
      <c r="C52" s="239"/>
      <c r="D52" s="7574"/>
      <c r="E52" s="7576"/>
      <c r="F52" s="7579"/>
      <c r="G52" s="7576"/>
      <c r="H52" s="1223"/>
      <c r="I52" s="1224"/>
      <c r="J52" s="1224"/>
      <c r="K52" s="1224"/>
      <c r="L52" s="1224"/>
      <c r="M52" s="1224"/>
      <c r="N52" s="1224"/>
      <c r="O52" s="1224"/>
      <c r="P52" s="1224"/>
      <c r="Q52" s="1224"/>
      <c r="R52" s="1224"/>
      <c r="S52" s="1225"/>
      <c r="T52" s="1225"/>
      <c r="U52" s="1225"/>
      <c r="V52" s="1225"/>
      <c r="W52" s="1226"/>
      <c r="X52" s="1184"/>
      <c r="Y52" s="1184"/>
      <c r="Z52" s="1184"/>
      <c r="AA52" s="1184"/>
      <c r="AB52" s="1184"/>
      <c r="AC52" s="1184"/>
      <c r="AD52" s="1184"/>
      <c r="AE52" s="1184"/>
      <c r="AF52" s="1184"/>
      <c r="AG52" s="1184"/>
      <c r="AH52" s="1184"/>
      <c r="AI52" s="1184"/>
      <c r="AJ52" s="1184"/>
      <c r="AK52" s="1184"/>
      <c r="AL52" s="1184"/>
      <c r="AM52" s="1184"/>
      <c r="AN52" s="1184"/>
      <c r="AO52" s="1184"/>
      <c r="AP52" s="1184"/>
      <c r="AQ52" s="1184"/>
    </row>
    <row r="53" spans="1:43" ht="11.25" hidden="1" customHeight="1"/>
    <row r="54" spans="1:43" ht="11.25" hidden="1" customHeight="1">
      <c r="E54" s="7609" t="s">
        <v>310</v>
      </c>
      <c r="F54" s="7609"/>
      <c r="G54" s="7609"/>
      <c r="H54" s="7609"/>
      <c r="I54" s="7609"/>
      <c r="J54" s="7609"/>
      <c r="K54" s="7609"/>
      <c r="L54" s="7609"/>
      <c r="M54" s="7609"/>
      <c r="N54" s="7609"/>
      <c r="O54" s="7609"/>
      <c r="P54" s="7609"/>
      <c r="Q54" s="7609"/>
      <c r="R54" s="7609"/>
      <c r="S54" s="7609"/>
      <c r="T54" s="7609"/>
      <c r="U54" s="7609"/>
      <c r="V54" s="7609"/>
      <c r="W54" s="7609"/>
    </row>
    <row r="55" spans="1:43" ht="36.75" hidden="1" customHeight="1">
      <c r="E55" s="7607" t="s">
        <v>311</v>
      </c>
      <c r="F55" s="7607"/>
      <c r="G55" s="7608"/>
      <c r="H55" s="7608"/>
      <c r="I55" s="7608"/>
      <c r="J55" s="7608"/>
      <c r="K55" s="7608"/>
      <c r="L55" s="7608"/>
      <c r="M55" s="7608"/>
      <c r="N55" s="7608"/>
      <c r="O55" s="7608"/>
      <c r="P55" s="7608"/>
      <c r="Q55" s="7608"/>
      <c r="R55" s="7608"/>
      <c r="S55" s="7608"/>
      <c r="T55" s="7608"/>
      <c r="U55" s="7608"/>
      <c r="V55" s="7608"/>
      <c r="W55" s="7608"/>
    </row>
    <row r="56" spans="1:43" ht="28.5" hidden="1" customHeight="1">
      <c r="E56" s="7607" t="s">
        <v>312</v>
      </c>
      <c r="F56" s="7607"/>
      <c r="G56" s="7608"/>
      <c r="H56" s="7608"/>
      <c r="I56" s="7608"/>
      <c r="J56" s="7608"/>
      <c r="K56" s="7608"/>
      <c r="L56" s="7608"/>
      <c r="M56" s="7608"/>
      <c r="N56" s="7608"/>
      <c r="O56" s="7608"/>
      <c r="P56" s="7608"/>
      <c r="Q56" s="7608"/>
      <c r="R56" s="7608"/>
      <c r="S56" s="7608"/>
      <c r="T56" s="7608"/>
      <c r="U56" s="7608"/>
      <c r="V56" s="7608"/>
      <c r="W56" s="7608"/>
    </row>
    <row r="57" spans="1:43" ht="27" hidden="1" customHeight="1">
      <c r="E57" s="7607" t="s">
        <v>313</v>
      </c>
      <c r="F57" s="7607"/>
      <c r="G57" s="7608"/>
      <c r="H57" s="7608"/>
      <c r="I57" s="7608"/>
      <c r="J57" s="7608"/>
      <c r="K57" s="7608"/>
      <c r="L57" s="7608"/>
      <c r="M57" s="7608"/>
      <c r="N57" s="7608"/>
      <c r="O57" s="7608"/>
      <c r="P57" s="7608"/>
      <c r="Q57" s="7608"/>
      <c r="R57" s="7608"/>
      <c r="S57" s="7608"/>
      <c r="T57" s="7608"/>
      <c r="U57" s="7608"/>
      <c r="V57" s="7608"/>
      <c r="W57" s="7608"/>
    </row>
    <row r="58" spans="1:43" ht="17.25" hidden="1" customHeight="1">
      <c r="E58" s="7607" t="s">
        <v>314</v>
      </c>
      <c r="F58" s="7607"/>
      <c r="G58" s="7608"/>
      <c r="H58" s="7608"/>
      <c r="I58" s="7608"/>
      <c r="J58" s="7608"/>
      <c r="K58" s="7608"/>
      <c r="L58" s="7608"/>
      <c r="M58" s="7608"/>
      <c r="N58" s="7608"/>
      <c r="O58" s="7608"/>
      <c r="P58" s="7608"/>
      <c r="Q58" s="7608"/>
      <c r="R58" s="7608"/>
      <c r="S58" s="7608"/>
      <c r="T58" s="7608"/>
      <c r="U58" s="7608"/>
      <c r="V58" s="7608"/>
      <c r="W58" s="7608"/>
    </row>
    <row r="59" spans="1:43" ht="15" hidden="1" customHeight="1">
      <c r="E59" s="262"/>
      <c r="F59" s="1209"/>
      <c r="G59" s="75"/>
      <c r="H59" s="75"/>
      <c r="I59" s="75"/>
      <c r="J59" s="75"/>
      <c r="K59" s="75"/>
      <c r="L59" s="75"/>
      <c r="M59" s="75"/>
      <c r="N59" s="75"/>
      <c r="O59" s="75"/>
      <c r="P59" s="75"/>
      <c r="Q59" s="75"/>
      <c r="R59" s="75"/>
      <c r="S59" s="75"/>
      <c r="T59" s="75"/>
      <c r="U59" s="75"/>
      <c r="V59" s="75"/>
      <c r="W59" s="75"/>
    </row>
    <row r="60" spans="1:43" ht="15" hidden="1" customHeight="1">
      <c r="E60" s="7609" t="s">
        <v>315</v>
      </c>
      <c r="F60" s="7609"/>
      <c r="G60" s="7609"/>
      <c r="H60" s="7609"/>
      <c r="I60" s="7609"/>
      <c r="J60" s="7609"/>
      <c r="K60" s="7609"/>
      <c r="L60" s="7609"/>
      <c r="M60" s="7609"/>
      <c r="N60" s="7609"/>
      <c r="O60" s="7609"/>
      <c r="P60" s="7609"/>
      <c r="Q60" s="7609"/>
      <c r="R60" s="7609"/>
      <c r="S60" s="7609"/>
      <c r="T60" s="7609"/>
      <c r="U60" s="7609"/>
      <c r="V60" s="7609"/>
      <c r="W60" s="7609"/>
    </row>
    <row r="61" spans="1:43" ht="17.25" hidden="1" customHeight="1">
      <c r="E61" s="7607" t="s">
        <v>316</v>
      </c>
      <c r="F61" s="7607"/>
      <c r="G61" s="7608"/>
      <c r="H61" s="7608"/>
      <c r="I61" s="7608"/>
      <c r="J61" s="7608"/>
      <c r="K61" s="7608"/>
      <c r="L61" s="7608"/>
      <c r="M61" s="7608"/>
      <c r="N61" s="7608"/>
      <c r="O61" s="7608"/>
      <c r="P61" s="7608"/>
      <c r="Q61" s="7608"/>
      <c r="R61" s="7608"/>
      <c r="S61" s="7608"/>
      <c r="T61" s="7608"/>
      <c r="U61" s="7608"/>
      <c r="V61" s="7608"/>
      <c r="W61" s="7608"/>
    </row>
    <row r="62" spans="1:43" ht="17.25" hidden="1" customHeight="1">
      <c r="E62" s="7607" t="s">
        <v>317</v>
      </c>
      <c r="F62" s="7607"/>
      <c r="G62" s="7608"/>
      <c r="H62" s="7608"/>
      <c r="I62" s="7608"/>
      <c r="J62" s="7608"/>
      <c r="K62" s="7608"/>
      <c r="L62" s="7608"/>
      <c r="M62" s="7608"/>
      <c r="N62" s="7608"/>
      <c r="O62" s="7608"/>
      <c r="P62" s="7608"/>
      <c r="Q62" s="7608"/>
      <c r="R62" s="7608"/>
      <c r="S62" s="7608"/>
      <c r="T62" s="7608"/>
      <c r="U62" s="7608"/>
      <c r="V62" s="7608"/>
      <c r="W62" s="7608"/>
    </row>
    <row r="63" spans="1:43" s="1771" customFormat="1" ht="11.25" hidden="1" customHeight="1">
      <c r="A63" s="191"/>
      <c r="B63" s="191"/>
      <c r="Y63" s="1184"/>
      <c r="Z63" s="1184"/>
      <c r="AA63" s="1184"/>
      <c r="AB63" s="1184"/>
      <c r="AC63" s="1184"/>
      <c r="AD63" s="1184"/>
      <c r="AE63" s="1184"/>
      <c r="AF63" s="1184"/>
      <c r="AG63" s="1184"/>
      <c r="AH63" s="1184"/>
      <c r="AI63" s="1184"/>
      <c r="AJ63" s="1184"/>
      <c r="AK63" s="1184"/>
      <c r="AL63" s="1184"/>
      <c r="AM63" s="1184"/>
      <c r="AN63" s="1184"/>
      <c r="AO63" s="1184"/>
      <c r="AP63" s="1184"/>
      <c r="AQ63" s="1184"/>
    </row>
    <row r="64" spans="1:43" s="1771" customFormat="1" ht="17.25" customHeight="1">
      <c r="A64" s="240"/>
      <c r="C64" s="126"/>
      <c r="D64" s="7573">
        <v>1</v>
      </c>
      <c r="E64" s="7575" t="s">
        <v>318</v>
      </c>
      <c r="F64" s="7577" t="s">
        <v>60</v>
      </c>
      <c r="G64" s="7591" t="str">
        <f>INDEX(COLDVSNA_PT_VED_NAME,MATCH(4189671,COLDVSNA_PT_VED_ID,0))</f>
        <v>Холодное водоснабжение. Питьевая вода</v>
      </c>
      <c r="H64" s="7612"/>
      <c r="I64" s="7612">
        <v>1</v>
      </c>
      <c r="J64" s="7611" t="s">
        <v>319</v>
      </c>
      <c r="K64" s="7614" t="s">
        <v>60</v>
      </c>
      <c r="L64" s="7541"/>
      <c r="M64" s="7541" t="s">
        <v>97</v>
      </c>
      <c r="N64" s="7616" t="str">
        <f>IF(Z64="","",INDEX(TERRITORY_MR_LIST,MATCH(Z64,TERRITORY_LIST_ID,0)))</f>
        <v>Территория 2</v>
      </c>
      <c r="O64" s="7614" t="s">
        <v>55</v>
      </c>
      <c r="P64" s="7541"/>
      <c r="Q64" s="7541" t="s">
        <v>97</v>
      </c>
      <c r="R64" s="7618" t="s">
        <v>24</v>
      </c>
      <c r="S64" s="7610" t="s">
        <v>55</v>
      </c>
      <c r="T64" s="1818"/>
      <c r="U64" s="1818" t="s">
        <v>97</v>
      </c>
      <c r="V64" s="1354"/>
      <c r="W64" s="7611"/>
      <c r="Y64" s="1191"/>
      <c r="Z64" s="1191" t="s">
        <v>208</v>
      </c>
      <c r="AA64" s="1191"/>
      <c r="AB64" s="1191" t="s">
        <v>320</v>
      </c>
      <c r="AC64" s="1191" t="s">
        <v>321</v>
      </c>
      <c r="AD64" s="1191" t="s">
        <v>322</v>
      </c>
      <c r="AE64" s="1191" t="s">
        <v>323</v>
      </c>
      <c r="AF64" s="1191" t="s">
        <v>324</v>
      </c>
      <c r="AG64" s="1191"/>
      <c r="AH64" s="1191" t="str">
        <f>IF($E$64=0,"",$E$64)</f>
        <v>Тариф на питьевую воду (питьевое водоснабжение)</v>
      </c>
      <c r="AI64" s="1191" t="str">
        <f>IF($G$64=0,"",$G$64)</f>
        <v>Холодное водоснабжение. Питьевая вода</v>
      </c>
      <c r="AJ64" s="1191" t="str">
        <f>IF($J$64=0,"",$J$64)</f>
        <v>Тарифы на питьевую воду для потребителей, осуществляющих деятельность в сфере теплоснабжения и электроснабжения на территории города Лермонтова</v>
      </c>
      <c r="AK64" s="1191" t="str">
        <f>IF($K$64="нет","без дифференциации",IF($N$64=0,"",$N$64))</f>
        <v>Территория 2</v>
      </c>
      <c r="AL64" s="1191" t="str">
        <f>IF($O$64="нет","без дифференциации",IF($R$64=0,"",$R$64))</f>
        <v>без дифференциации</v>
      </c>
      <c r="AM64" s="1191" t="str">
        <f>IF($S$64="нет","без дифференциации",IF($V$64=0,"",$V$64))</f>
        <v>без дифференциации</v>
      </c>
      <c r="AN64" s="1191">
        <f>$I$64</f>
        <v>1</v>
      </c>
      <c r="AO64" s="1191" t="str">
        <f>$I$64&amp;"."&amp;$M$64</f>
        <v>1.1</v>
      </c>
      <c r="AP64" s="1191" t="str">
        <f>$I$64&amp;"."&amp;$M$64&amp;"."&amp;$Q$64</f>
        <v>1.1.1</v>
      </c>
      <c r="AQ64" s="1191" t="str">
        <f>$I$64&amp;"."&amp;$M$64&amp;"."&amp;$Q$64&amp;"."&amp;$U$64</f>
        <v>1.1.1.1</v>
      </c>
    </row>
    <row r="65" spans="1:43" s="1771" customFormat="1" ht="17.25" customHeight="1">
      <c r="A65" s="240"/>
      <c r="C65" s="239"/>
      <c r="D65" s="7573"/>
      <c r="E65" s="7575"/>
      <c r="F65" s="7578"/>
      <c r="G65" s="7591"/>
      <c r="H65" s="7612"/>
      <c r="I65" s="7612"/>
      <c r="J65" s="7611"/>
      <c r="K65" s="7615"/>
      <c r="L65" s="7541"/>
      <c r="M65" s="7541"/>
      <c r="N65" s="7616"/>
      <c r="O65" s="7615"/>
      <c r="P65" s="7541"/>
      <c r="Q65" s="7541"/>
      <c r="R65" s="7618" t="s">
        <v>24</v>
      </c>
      <c r="S65" s="7610"/>
      <c r="T65" s="1355"/>
      <c r="U65" s="1356"/>
      <c r="V65" s="1356"/>
      <c r="W65" s="7611"/>
      <c r="Y65" s="1184"/>
      <c r="Z65" s="1184"/>
      <c r="AA65" s="1184"/>
      <c r="AB65" s="1184"/>
      <c r="AC65" s="1184"/>
      <c r="AD65" s="1184"/>
      <c r="AE65" s="1184"/>
      <c r="AF65" s="1184"/>
      <c r="AG65" s="1184"/>
      <c r="AH65" s="1184"/>
      <c r="AI65" s="1184"/>
      <c r="AJ65" s="1184"/>
      <c r="AK65" s="1184"/>
      <c r="AL65" s="1184"/>
      <c r="AM65" s="1184"/>
      <c r="AN65" s="1184"/>
      <c r="AO65" s="1184"/>
      <c r="AP65" s="1184"/>
      <c r="AQ65" s="1184"/>
    </row>
    <row r="66" spans="1:43" s="1771" customFormat="1" ht="17.25" customHeight="1">
      <c r="A66" s="240"/>
      <c r="C66" s="126"/>
      <c r="D66" s="7573"/>
      <c r="E66" s="7575"/>
      <c r="F66" s="7578"/>
      <c r="G66" s="7591"/>
      <c r="H66" s="7574"/>
      <c r="I66" s="7574"/>
      <c r="J66" s="7613"/>
      <c r="K66" s="7615"/>
      <c r="L66" s="7574"/>
      <c r="M66" s="7574"/>
      <c r="N66" s="7617"/>
      <c r="O66" s="7545"/>
      <c r="P66" s="1829"/>
      <c r="Q66" s="1830"/>
      <c r="R66" s="1831" t="s">
        <v>325</v>
      </c>
      <c r="S66" s="1832"/>
      <c r="T66" s="1833"/>
      <c r="U66" s="1834"/>
      <c r="V66" s="1835"/>
      <c r="W66" s="1836"/>
      <c r="Y66" s="1191"/>
      <c r="Z66" s="1191"/>
      <c r="AA66" s="1191"/>
      <c r="AB66" s="1191"/>
      <c r="AC66" s="1191"/>
      <c r="AD66" s="1191"/>
      <c r="AE66" s="1191"/>
      <c r="AF66" s="1191"/>
      <c r="AG66" s="1191"/>
      <c r="AH66" s="1191"/>
      <c r="AI66" s="1191"/>
      <c r="AJ66" s="1191"/>
      <c r="AK66" s="1191"/>
      <c r="AL66" s="1191"/>
      <c r="AM66" s="1191"/>
      <c r="AN66" s="1191"/>
      <c r="AO66" s="1191"/>
      <c r="AP66" s="1191"/>
      <c r="AQ66" s="1191"/>
    </row>
    <row r="67" spans="1:43" s="1771" customFormat="1" ht="17.25" customHeight="1">
      <c r="A67" s="240"/>
      <c r="C67" s="239"/>
      <c r="D67" s="7573"/>
      <c r="E67" s="7575"/>
      <c r="F67" s="7578"/>
      <c r="G67" s="7591"/>
      <c r="H67" s="7574"/>
      <c r="I67" s="7574"/>
      <c r="J67" s="7613"/>
      <c r="K67" s="7545"/>
      <c r="L67" s="1837"/>
      <c r="M67" s="1838"/>
      <c r="N67" s="1839" t="s">
        <v>326</v>
      </c>
      <c r="O67" s="1840"/>
      <c r="P67" s="1841"/>
      <c r="Q67" s="1842"/>
      <c r="R67" s="1843"/>
      <c r="S67" s="1844"/>
      <c r="T67" s="1845"/>
      <c r="U67" s="1846"/>
      <c r="V67" s="1847"/>
      <c r="W67" s="1848"/>
      <c r="Y67" s="1184"/>
      <c r="Z67" s="1184"/>
      <c r="AA67" s="1184"/>
      <c r="AB67" s="1184"/>
      <c r="AC67" s="1184"/>
      <c r="AD67" s="1184"/>
      <c r="AE67" s="1184"/>
      <c r="AF67" s="1184"/>
      <c r="AG67" s="1184"/>
      <c r="AH67" s="1184"/>
      <c r="AI67" s="1184"/>
      <c r="AJ67" s="1184"/>
      <c r="AK67" s="1184"/>
      <c r="AL67" s="1184"/>
      <c r="AM67" s="1184"/>
      <c r="AN67" s="1184"/>
      <c r="AO67" s="1184"/>
      <c r="AP67" s="1184"/>
      <c r="AQ67" s="1184"/>
    </row>
    <row r="68" spans="1:43" ht="17.25" customHeight="1">
      <c r="A68" s="1758"/>
      <c r="B68" s="1771"/>
      <c r="C68" s="1760"/>
      <c r="D68" s="7589"/>
      <c r="E68" s="7590"/>
      <c r="F68" s="7578"/>
      <c r="G68" s="7592"/>
      <c r="H68" s="7612" t="s">
        <v>101</v>
      </c>
      <c r="I68" s="7612" t="s">
        <v>100</v>
      </c>
      <c r="J68" s="7611" t="s">
        <v>327</v>
      </c>
      <c r="K68" s="7614" t="s">
        <v>60</v>
      </c>
      <c r="L68" s="7541"/>
      <c r="M68" s="7541" t="s">
        <v>97</v>
      </c>
      <c r="N68" s="7616" t="str">
        <f>IF(Z68="","",INDEX(TERRITORY_MR_LIST,MATCH(Z68,TERRITORY_LIST_ID,0)))</f>
        <v>Территория 1</v>
      </c>
      <c r="O68" s="7614" t="s">
        <v>55</v>
      </c>
      <c r="P68" s="7541"/>
      <c r="Q68" s="7541" t="s">
        <v>97</v>
      </c>
      <c r="R68" s="7618" t="s">
        <v>24</v>
      </c>
      <c r="S68" s="7610" t="s">
        <v>55</v>
      </c>
      <c r="T68" s="1722"/>
      <c r="U68" s="1722" t="s">
        <v>97</v>
      </c>
      <c r="V68" s="1354"/>
      <c r="W68" s="7611"/>
      <c r="Y68" s="1191"/>
      <c r="Z68" s="1191" t="s">
        <v>96</v>
      </c>
      <c r="AA68" s="1191"/>
      <c r="AB68" s="1191"/>
      <c r="AC68" s="1191" t="s">
        <v>321</v>
      </c>
      <c r="AD68" s="1191" t="s">
        <v>328</v>
      </c>
      <c r="AE68" s="1191" t="s">
        <v>329</v>
      </c>
      <c r="AF68" s="1191" t="s">
        <v>330</v>
      </c>
      <c r="AG68" s="1191" t="s">
        <v>331</v>
      </c>
      <c r="AH68" s="1191" t="str">
        <f>IF($E$64=0,"",$E$64)</f>
        <v>Тариф на питьевую воду (питьевое водоснабжение)</v>
      </c>
      <c r="AI68" s="1191" t="str">
        <f>IF($G$64=0,"",$G$64)</f>
        <v>Холодное водоснабжение. Питьевая вода</v>
      </c>
      <c r="AJ68" s="1191" t="str">
        <f>IF($J$68=0,"",$J$68)</f>
        <v>Тарифы на питьевую воду для потребителей Ставропольского края</v>
      </c>
      <c r="AK68" s="1191" t="str">
        <f>IF($K$68="нет","без дифференциации",IF($N$68=0,"",$N$68))</f>
        <v>Территория 1</v>
      </c>
      <c r="AL68" s="1762" t="str">
        <f>IF($O$68="нет","без дифференциации",IF($R$68=0,"",$R$68))</f>
        <v>без дифференциации</v>
      </c>
      <c r="AM68" s="1762"/>
      <c r="AN68" s="1191" t="str">
        <f>$I$68</f>
        <v>2</v>
      </c>
      <c r="AO68" s="1191" t="str">
        <f>$I$68&amp;"."&amp;$M$68</f>
        <v>2.1</v>
      </c>
      <c r="AP68" s="1191" t="str">
        <f>$I$68&amp;"."&amp;$M$68&amp;"."&amp;$Q$68</f>
        <v>2.1.1</v>
      </c>
      <c r="AQ68" s="1191"/>
    </row>
    <row r="69" spans="1:43" ht="17.25" customHeight="1">
      <c r="A69" s="1758"/>
      <c r="B69" s="1771"/>
      <c r="C69" s="1763"/>
      <c r="D69" s="7589"/>
      <c r="E69" s="7590"/>
      <c r="F69" s="7578"/>
      <c r="G69" s="7592"/>
      <c r="H69" s="7612"/>
      <c r="I69" s="7612"/>
      <c r="J69" s="7611"/>
      <c r="K69" s="7615"/>
      <c r="L69" s="7541"/>
      <c r="M69" s="7541"/>
      <c r="N69" s="7616"/>
      <c r="O69" s="7615"/>
      <c r="P69" s="7541"/>
      <c r="Q69" s="7541"/>
      <c r="R69" s="7618" t="s">
        <v>24</v>
      </c>
      <c r="S69" s="7610"/>
      <c r="T69" s="1355"/>
      <c r="U69" s="1356"/>
      <c r="V69" s="1356"/>
      <c r="W69" s="7611"/>
      <c r="Y69" s="1184"/>
      <c r="Z69" s="1184"/>
      <c r="AA69" s="1184"/>
      <c r="AB69" s="1184"/>
      <c r="AC69" s="1184"/>
      <c r="AD69" s="1184"/>
      <c r="AE69" s="1184"/>
      <c r="AF69" s="1184"/>
      <c r="AG69" s="1184"/>
      <c r="AH69" s="1184"/>
      <c r="AI69" s="1184"/>
      <c r="AJ69" s="1184"/>
      <c r="AK69" s="1184"/>
      <c r="AL69" s="1771"/>
      <c r="AM69" s="1771"/>
      <c r="AN69" s="1771"/>
      <c r="AO69" s="1771"/>
      <c r="AP69" s="1771"/>
      <c r="AQ69" s="1771"/>
    </row>
    <row r="70" spans="1:43" ht="17.25" customHeight="1">
      <c r="A70" s="1758"/>
      <c r="B70" s="1771"/>
      <c r="C70" s="1763"/>
      <c r="D70" s="7589"/>
      <c r="E70" s="7590"/>
      <c r="F70" s="7578"/>
      <c r="G70" s="7592"/>
      <c r="H70" s="7574"/>
      <c r="I70" s="7574"/>
      <c r="J70" s="7613"/>
      <c r="K70" s="7615"/>
      <c r="L70" s="7574"/>
      <c r="M70" s="7574"/>
      <c r="N70" s="7617"/>
      <c r="O70" s="7545"/>
      <c r="P70" s="236"/>
      <c r="Q70" s="237"/>
      <c r="R70" s="237" t="s">
        <v>325</v>
      </c>
      <c r="S70" s="1764"/>
      <c r="T70" s="1764"/>
      <c r="U70" s="1764"/>
      <c r="V70" s="1764"/>
      <c r="W70" s="1353"/>
      <c r="Y70" s="1184"/>
      <c r="Z70" s="1184"/>
      <c r="AA70" s="1184"/>
      <c r="AB70" s="1184"/>
      <c r="AC70" s="1184"/>
      <c r="AD70" s="1184"/>
      <c r="AE70" s="1184"/>
      <c r="AF70" s="1184"/>
      <c r="AG70" s="1184"/>
      <c r="AH70" s="1184"/>
      <c r="AI70" s="1184"/>
      <c r="AJ70" s="1184"/>
      <c r="AK70" s="1184"/>
      <c r="AL70" s="1771"/>
      <c r="AM70" s="1771"/>
      <c r="AN70" s="1771"/>
      <c r="AO70" s="1771"/>
      <c r="AP70" s="1771"/>
      <c r="AQ70" s="1771"/>
    </row>
    <row r="71" spans="1:43" ht="17.25" customHeight="1">
      <c r="A71" s="1758"/>
      <c r="B71" s="1771"/>
      <c r="C71" s="1763"/>
      <c r="D71" s="7589"/>
      <c r="E71" s="7590"/>
      <c r="F71" s="7578"/>
      <c r="G71" s="7592"/>
      <c r="H71" s="7574"/>
      <c r="I71" s="7574"/>
      <c r="J71" s="7613"/>
      <c r="K71" s="7545"/>
      <c r="L71" s="236"/>
      <c r="M71" s="237"/>
      <c r="N71" s="237" t="s">
        <v>326</v>
      </c>
      <c r="O71" s="237"/>
      <c r="P71" s="237"/>
      <c r="Q71" s="237"/>
      <c r="R71" s="237"/>
      <c r="S71" s="1764"/>
      <c r="T71" s="1764"/>
      <c r="U71" s="1764"/>
      <c r="V71" s="1764"/>
      <c r="W71" s="238"/>
      <c r="Y71" s="1184"/>
      <c r="Z71" s="1184"/>
      <c r="AA71" s="1184"/>
      <c r="AB71" s="1184"/>
      <c r="AC71" s="1184"/>
      <c r="AD71" s="1184"/>
      <c r="AE71" s="1184"/>
      <c r="AF71" s="1184"/>
      <c r="AG71" s="1184"/>
      <c r="AH71" s="1184"/>
      <c r="AI71" s="1184"/>
      <c r="AJ71" s="1184"/>
      <c r="AK71" s="1184"/>
      <c r="AL71" s="1771"/>
      <c r="AM71" s="1771"/>
      <c r="AN71" s="1771"/>
      <c r="AO71" s="1771"/>
      <c r="AP71" s="1771"/>
      <c r="AQ71" s="1771"/>
    </row>
    <row r="72" spans="1:43" ht="17.25" customHeight="1">
      <c r="A72" s="1758"/>
      <c r="B72" s="1771"/>
      <c r="C72" s="1760"/>
      <c r="D72" s="7589"/>
      <c r="E72" s="7590"/>
      <c r="F72" s="7578"/>
      <c r="G72" s="7592"/>
      <c r="H72" s="7612" t="s">
        <v>101</v>
      </c>
      <c r="I72" s="7612" t="s">
        <v>88</v>
      </c>
      <c r="J72" s="7611" t="s">
        <v>332</v>
      </c>
      <c r="K72" s="7614" t="s">
        <v>60</v>
      </c>
      <c r="L72" s="7541"/>
      <c r="M72" s="7541" t="s">
        <v>97</v>
      </c>
      <c r="N72" s="7616" t="str">
        <f>IF(Z72="","",INDEX(TERRITORY_MR_LIST,MATCH(Z72,TERRITORY_LIST_ID,0)))</f>
        <v>Территория 3</v>
      </c>
      <c r="O72" s="7614" t="s">
        <v>55</v>
      </c>
      <c r="P72" s="7541"/>
      <c r="Q72" s="7541" t="s">
        <v>97</v>
      </c>
      <c r="R72" s="7618" t="s">
        <v>24</v>
      </c>
      <c r="S72" s="7610" t="s">
        <v>55</v>
      </c>
      <c r="T72" s="1722"/>
      <c r="U72" s="1722" t="s">
        <v>97</v>
      </c>
      <c r="V72" s="1354"/>
      <c r="W72" s="7611"/>
      <c r="Y72" s="1191"/>
      <c r="Z72" s="1191" t="s">
        <v>209</v>
      </c>
      <c r="AA72" s="1191"/>
      <c r="AB72" s="1191"/>
      <c r="AC72" s="1191" t="s">
        <v>321</v>
      </c>
      <c r="AD72" s="1191" t="s">
        <v>333</v>
      </c>
      <c r="AE72" s="1191" t="s">
        <v>334</v>
      </c>
      <c r="AF72" s="1191" t="s">
        <v>335</v>
      </c>
      <c r="AG72" s="1191" t="s">
        <v>336</v>
      </c>
      <c r="AH72" s="1191" t="str">
        <f>IF($E$64=0,"",$E$64)</f>
        <v>Тариф на питьевую воду (питьевое водоснабжение)</v>
      </c>
      <c r="AI72" s="1191" t="str">
        <f>IF($G$64=0,"",$G$64)</f>
        <v>Холодное водоснабжение. Питьевая вода</v>
      </c>
      <c r="AJ72" s="1191" t="str">
        <f>IF($J$72=0,"",$J$72)</f>
        <v>Тарифы на питьевую воду для потребителей, присоединенных к централизованным системам водоснабжения села Калиновского Александровского муниципального округа</v>
      </c>
      <c r="AK72" s="1191" t="str">
        <f>IF($K$72="нет","без дифференциации",IF($N$72=0,"",$N$72))</f>
        <v>Территория 3</v>
      </c>
      <c r="AL72" s="1762" t="str">
        <f>IF($O$72="нет","без дифференциации",IF($R$72=0,"",$R$72))</f>
        <v>без дифференциации</v>
      </c>
      <c r="AM72" s="1762"/>
      <c r="AN72" s="1191" t="str">
        <f>$I$72</f>
        <v>3</v>
      </c>
      <c r="AO72" s="1191" t="str">
        <f>$I$72&amp;"."&amp;$M$72</f>
        <v>3.1</v>
      </c>
      <c r="AP72" s="1191" t="str">
        <f>$I$72&amp;"."&amp;$M$72&amp;"."&amp;$Q$72</f>
        <v>3.1.1</v>
      </c>
      <c r="AQ72" s="1191"/>
    </row>
    <row r="73" spans="1:43" ht="17.25" customHeight="1">
      <c r="A73" s="1758"/>
      <c r="B73" s="1771"/>
      <c r="C73" s="1763"/>
      <c r="D73" s="7589"/>
      <c r="E73" s="7590"/>
      <c r="F73" s="7578"/>
      <c r="G73" s="7592"/>
      <c r="H73" s="7612"/>
      <c r="I73" s="7612"/>
      <c r="J73" s="7611"/>
      <c r="K73" s="7615"/>
      <c r="L73" s="7541"/>
      <c r="M73" s="7541"/>
      <c r="N73" s="7616"/>
      <c r="O73" s="7615"/>
      <c r="P73" s="7541"/>
      <c r="Q73" s="7541"/>
      <c r="R73" s="7618" t="s">
        <v>24</v>
      </c>
      <c r="S73" s="7610"/>
      <c r="T73" s="1355"/>
      <c r="U73" s="1356"/>
      <c r="V73" s="1356"/>
      <c r="W73" s="7611"/>
      <c r="Y73" s="1184"/>
      <c r="Z73" s="1184"/>
      <c r="AA73" s="1184"/>
      <c r="AB73" s="1184"/>
      <c r="AC73" s="1184"/>
      <c r="AD73" s="1184"/>
      <c r="AE73" s="1184"/>
      <c r="AF73" s="1184"/>
      <c r="AG73" s="1184"/>
      <c r="AH73" s="1184"/>
      <c r="AI73" s="1184"/>
      <c r="AJ73" s="1184"/>
      <c r="AK73" s="1184"/>
      <c r="AL73" s="1771"/>
      <c r="AM73" s="1771"/>
      <c r="AN73" s="1771"/>
      <c r="AO73" s="1771"/>
      <c r="AP73" s="1771"/>
      <c r="AQ73" s="1771"/>
    </row>
    <row r="74" spans="1:43" ht="17.25" customHeight="1">
      <c r="A74" s="1758"/>
      <c r="B74" s="1771"/>
      <c r="C74" s="1763"/>
      <c r="D74" s="7589"/>
      <c r="E74" s="7590"/>
      <c r="F74" s="7578"/>
      <c r="G74" s="7592"/>
      <c r="H74" s="7574"/>
      <c r="I74" s="7574"/>
      <c r="J74" s="7613"/>
      <c r="K74" s="7615"/>
      <c r="L74" s="7574"/>
      <c r="M74" s="7574"/>
      <c r="N74" s="7617"/>
      <c r="O74" s="7545"/>
      <c r="P74" s="236"/>
      <c r="Q74" s="237"/>
      <c r="R74" s="237" t="s">
        <v>325</v>
      </c>
      <c r="S74" s="1764"/>
      <c r="T74" s="1764"/>
      <c r="U74" s="1764"/>
      <c r="V74" s="1764"/>
      <c r="W74" s="1353"/>
      <c r="Y74" s="1184"/>
      <c r="Z74" s="1184"/>
      <c r="AA74" s="1184"/>
      <c r="AB74" s="1184"/>
      <c r="AC74" s="1184"/>
      <c r="AD74" s="1184"/>
      <c r="AE74" s="1184"/>
      <c r="AF74" s="1184"/>
      <c r="AG74" s="1184"/>
      <c r="AH74" s="1184"/>
      <c r="AI74" s="1184"/>
      <c r="AJ74" s="1184"/>
      <c r="AK74" s="1184"/>
      <c r="AL74" s="1771"/>
      <c r="AM74" s="1771"/>
      <c r="AN74" s="1771"/>
      <c r="AO74" s="1771"/>
      <c r="AP74" s="1771"/>
      <c r="AQ74" s="1771"/>
    </row>
    <row r="75" spans="1:43" ht="17.25" customHeight="1">
      <c r="A75" s="1758"/>
      <c r="B75" s="1771"/>
      <c r="C75" s="1763"/>
      <c r="D75" s="7589"/>
      <c r="E75" s="7590"/>
      <c r="F75" s="7578"/>
      <c r="G75" s="7592"/>
      <c r="H75" s="7574"/>
      <c r="I75" s="7574"/>
      <c r="J75" s="7613"/>
      <c r="K75" s="7545"/>
      <c r="L75" s="236"/>
      <c r="M75" s="237"/>
      <c r="N75" s="237" t="s">
        <v>326</v>
      </c>
      <c r="O75" s="237"/>
      <c r="P75" s="237"/>
      <c r="Q75" s="237"/>
      <c r="R75" s="237"/>
      <c r="S75" s="1764"/>
      <c r="T75" s="1764"/>
      <c r="U75" s="1764"/>
      <c r="V75" s="1764"/>
      <c r="W75" s="238"/>
      <c r="Y75" s="1184"/>
      <c r="Z75" s="1184"/>
      <c r="AA75" s="1184"/>
      <c r="AB75" s="1184"/>
      <c r="AC75" s="1184"/>
      <c r="AD75" s="1184"/>
      <c r="AE75" s="1184"/>
      <c r="AF75" s="1184"/>
      <c r="AG75" s="1184"/>
      <c r="AH75" s="1184"/>
      <c r="AI75" s="1184"/>
      <c r="AJ75" s="1184"/>
      <c r="AK75" s="1184"/>
      <c r="AL75" s="1771"/>
      <c r="AM75" s="1771"/>
      <c r="AN75" s="1771"/>
      <c r="AO75" s="1771"/>
      <c r="AP75" s="1771"/>
      <c r="AQ75" s="1771"/>
    </row>
    <row r="76" spans="1:43" ht="17.25" customHeight="1">
      <c r="A76" s="1758"/>
      <c r="B76" s="1771"/>
      <c r="C76" s="1760"/>
      <c r="D76" s="7589"/>
      <c r="E76" s="7590"/>
      <c r="F76" s="7578"/>
      <c r="G76" s="7592"/>
      <c r="H76" s="7612" t="s">
        <v>101</v>
      </c>
      <c r="I76" s="7612" t="s">
        <v>89</v>
      </c>
      <c r="J76" s="7611" t="s">
        <v>337</v>
      </c>
      <c r="K76" s="7614" t="s">
        <v>60</v>
      </c>
      <c r="L76" s="7541"/>
      <c r="M76" s="7541" t="s">
        <v>97</v>
      </c>
      <c r="N76" s="7616" t="str">
        <f>IF(Z76="","",INDEX(TERRITORY_MR_LIST,MATCH(Z76,TERRITORY_LIST_ID,0)))</f>
        <v>Территория 4</v>
      </c>
      <c r="O76" s="7614" t="s">
        <v>55</v>
      </c>
      <c r="P76" s="7541"/>
      <c r="Q76" s="7541" t="s">
        <v>97</v>
      </c>
      <c r="R76" s="7618" t="s">
        <v>24</v>
      </c>
      <c r="S76" s="7610" t="s">
        <v>55</v>
      </c>
      <c r="T76" s="1722"/>
      <c r="U76" s="1722" t="s">
        <v>97</v>
      </c>
      <c r="V76" s="1354"/>
      <c r="W76" s="7611"/>
      <c r="Y76" s="1191"/>
      <c r="Z76" s="1191" t="s">
        <v>213</v>
      </c>
      <c r="AA76" s="1191"/>
      <c r="AB76" s="1191"/>
      <c r="AC76" s="1191" t="s">
        <v>321</v>
      </c>
      <c r="AD76" s="1191" t="s">
        <v>338</v>
      </c>
      <c r="AE76" s="1191" t="s">
        <v>339</v>
      </c>
      <c r="AF76" s="1191" t="s">
        <v>340</v>
      </c>
      <c r="AG76" s="1191" t="s">
        <v>341</v>
      </c>
      <c r="AH76" s="1191" t="str">
        <f>IF($E$64=0,"",$E$64)</f>
        <v>Тариф на питьевую воду (питьевое водоснабжение)</v>
      </c>
      <c r="AI76" s="1191" t="str">
        <f>IF($G$64=0,"",$G$64)</f>
        <v>Холодное водоснабжение. Питьевая вода</v>
      </c>
      <c r="AJ76" s="1191" t="str">
        <f>IF($J$76=0,"",$J$76)</f>
        <v>Тарифы на питьевую воду для потребителей, присоединенных к централизованным системам водоснабжения  поселка Малосадового, села Бургун-Маджары, поселка Кумская Долина и поселка Правокумского Левокумского муниципального округа</v>
      </c>
      <c r="AK76" s="1191" t="str">
        <f>IF($K$76="нет","без дифференциации",IF($N$76=0,"",$N$76))</f>
        <v>Территория 4</v>
      </c>
      <c r="AL76" s="1762" t="str">
        <f>IF($O$76="нет","без дифференциации",IF($R$76=0,"",$R$76))</f>
        <v>без дифференциации</v>
      </c>
      <c r="AM76" s="1762"/>
      <c r="AN76" s="1191" t="str">
        <f>$I$76</f>
        <v>4</v>
      </c>
      <c r="AO76" s="1191" t="str">
        <f>$I$76&amp;"."&amp;$M$76</f>
        <v>4.1</v>
      </c>
      <c r="AP76" s="1191" t="str">
        <f>$I$76&amp;"."&amp;$M$76&amp;"."&amp;$Q$76</f>
        <v>4.1.1</v>
      </c>
      <c r="AQ76" s="1191"/>
    </row>
    <row r="77" spans="1:43" ht="17.25" customHeight="1">
      <c r="A77" s="1758"/>
      <c r="B77" s="1771"/>
      <c r="C77" s="1763"/>
      <c r="D77" s="7589"/>
      <c r="E77" s="7590"/>
      <c r="F77" s="7578"/>
      <c r="G77" s="7592"/>
      <c r="H77" s="7612"/>
      <c r="I77" s="7612"/>
      <c r="J77" s="7611"/>
      <c r="K77" s="7615"/>
      <c r="L77" s="7541"/>
      <c r="M77" s="7541"/>
      <c r="N77" s="7616"/>
      <c r="O77" s="7615"/>
      <c r="P77" s="7541"/>
      <c r="Q77" s="7541"/>
      <c r="R77" s="7618" t="s">
        <v>24</v>
      </c>
      <c r="S77" s="7610"/>
      <c r="T77" s="1355"/>
      <c r="U77" s="1356"/>
      <c r="V77" s="1356"/>
      <c r="W77" s="7611"/>
      <c r="Y77" s="1184"/>
      <c r="Z77" s="1184"/>
      <c r="AA77" s="1184"/>
      <c r="AB77" s="1184"/>
      <c r="AC77" s="1184"/>
      <c r="AD77" s="1184"/>
      <c r="AE77" s="1184"/>
      <c r="AF77" s="1184"/>
      <c r="AG77" s="1184"/>
      <c r="AH77" s="1184"/>
      <c r="AI77" s="1184"/>
      <c r="AJ77" s="1184"/>
      <c r="AK77" s="1184"/>
      <c r="AL77" s="1771"/>
      <c r="AM77" s="1771"/>
      <c r="AN77" s="1771"/>
      <c r="AO77" s="1771"/>
      <c r="AP77" s="1771"/>
      <c r="AQ77" s="1771"/>
    </row>
    <row r="78" spans="1:43" ht="17.25" customHeight="1">
      <c r="A78" s="1758"/>
      <c r="B78" s="1771"/>
      <c r="C78" s="1763"/>
      <c r="D78" s="7589"/>
      <c r="E78" s="7590"/>
      <c r="F78" s="7578"/>
      <c r="G78" s="7592"/>
      <c r="H78" s="7574"/>
      <c r="I78" s="7574"/>
      <c r="J78" s="7613"/>
      <c r="K78" s="7615"/>
      <c r="L78" s="7574"/>
      <c r="M78" s="7574"/>
      <c r="N78" s="7617"/>
      <c r="O78" s="7545"/>
      <c r="P78" s="236"/>
      <c r="Q78" s="237"/>
      <c r="R78" s="237" t="s">
        <v>325</v>
      </c>
      <c r="S78" s="1764"/>
      <c r="T78" s="1764"/>
      <c r="U78" s="1764"/>
      <c r="V78" s="1764"/>
      <c r="W78" s="1353"/>
      <c r="Y78" s="1184"/>
      <c r="Z78" s="1184"/>
      <c r="AA78" s="1184"/>
      <c r="AB78" s="1184"/>
      <c r="AC78" s="1184"/>
      <c r="AD78" s="1184"/>
      <c r="AE78" s="1184"/>
      <c r="AF78" s="1184"/>
      <c r="AG78" s="1184"/>
      <c r="AH78" s="1184"/>
      <c r="AI78" s="1184"/>
      <c r="AJ78" s="1184"/>
      <c r="AK78" s="1184"/>
      <c r="AL78" s="1771"/>
      <c r="AM78" s="1771"/>
      <c r="AN78" s="1771"/>
      <c r="AO78" s="1771"/>
      <c r="AP78" s="1771"/>
      <c r="AQ78" s="1771"/>
    </row>
    <row r="79" spans="1:43" ht="17.25" customHeight="1">
      <c r="A79" s="1758"/>
      <c r="B79" s="1771"/>
      <c r="C79" s="1763"/>
      <c r="D79" s="7589"/>
      <c r="E79" s="7590"/>
      <c r="F79" s="7578"/>
      <c r="G79" s="7592"/>
      <c r="H79" s="7574"/>
      <c r="I79" s="7574"/>
      <c r="J79" s="7613"/>
      <c r="K79" s="7545"/>
      <c r="L79" s="236"/>
      <c r="M79" s="237"/>
      <c r="N79" s="237" t="s">
        <v>326</v>
      </c>
      <c r="O79" s="237"/>
      <c r="P79" s="237"/>
      <c r="Q79" s="237"/>
      <c r="R79" s="237"/>
      <c r="S79" s="1764"/>
      <c r="T79" s="1764"/>
      <c r="U79" s="1764"/>
      <c r="V79" s="1764"/>
      <c r="W79" s="238"/>
      <c r="Y79" s="1184"/>
      <c r="Z79" s="1184"/>
      <c r="AA79" s="1184"/>
      <c r="AB79" s="1184"/>
      <c r="AC79" s="1184"/>
      <c r="AD79" s="1184"/>
      <c r="AE79" s="1184"/>
      <c r="AF79" s="1184"/>
      <c r="AG79" s="1184"/>
      <c r="AH79" s="1184"/>
      <c r="AI79" s="1184"/>
      <c r="AJ79" s="1184"/>
      <c r="AK79" s="1184"/>
      <c r="AL79" s="1771"/>
      <c r="AM79" s="1771"/>
      <c r="AN79" s="1771"/>
      <c r="AO79" s="1771"/>
      <c r="AP79" s="1771"/>
      <c r="AQ79" s="1771"/>
    </row>
    <row r="80" spans="1:43" ht="17.25" customHeight="1">
      <c r="A80" s="1758"/>
      <c r="B80" s="1771"/>
      <c r="C80" s="1760"/>
      <c r="D80" s="7589"/>
      <c r="E80" s="7590"/>
      <c r="F80" s="7578"/>
      <c r="G80" s="7592"/>
      <c r="H80" s="7612" t="s">
        <v>101</v>
      </c>
      <c r="I80" s="7612" t="s">
        <v>111</v>
      </c>
      <c r="J80" s="7611" t="s">
        <v>342</v>
      </c>
      <c r="K80" s="7614" t="s">
        <v>60</v>
      </c>
      <c r="L80" s="7541"/>
      <c r="M80" s="7541" t="s">
        <v>97</v>
      </c>
      <c r="N80" s="7616" t="str">
        <f>IF(Z80="","",INDEX(TERRITORY_MR_LIST,MATCH(Z80,TERRITORY_LIST_ID,0)))</f>
        <v>Территория 4</v>
      </c>
      <c r="O80" s="7614" t="s">
        <v>55</v>
      </c>
      <c r="P80" s="7541"/>
      <c r="Q80" s="7541" t="s">
        <v>97</v>
      </c>
      <c r="R80" s="7618" t="s">
        <v>24</v>
      </c>
      <c r="S80" s="7610" t="s">
        <v>55</v>
      </c>
      <c r="T80" s="1722"/>
      <c r="U80" s="1722" t="s">
        <v>97</v>
      </c>
      <c r="V80" s="1354"/>
      <c r="W80" s="7611"/>
      <c r="Y80" s="1191"/>
      <c r="Z80" s="1191" t="s">
        <v>213</v>
      </c>
      <c r="AA80" s="1191"/>
      <c r="AB80" s="1191"/>
      <c r="AC80" s="1191" t="s">
        <v>321</v>
      </c>
      <c r="AD80" s="1191" t="s">
        <v>343</v>
      </c>
      <c r="AE80" s="1191" t="s">
        <v>344</v>
      </c>
      <c r="AF80" s="1191" t="s">
        <v>345</v>
      </c>
      <c r="AG80" s="1191" t="s">
        <v>346</v>
      </c>
      <c r="AH80" s="1191" t="str">
        <f>IF($E$64=0,"",$E$64)</f>
        <v>Тариф на питьевую воду (питьевое водоснабжение)</v>
      </c>
      <c r="AI80" s="1191" t="str">
        <f>IF($G$64=0,"",$G$64)</f>
        <v>Холодное водоснабжение. Питьевая вода</v>
      </c>
      <c r="AJ80" s="1191" t="str">
        <f>IF($J$80=0,"",$J$80)</f>
        <v xml:space="preserve">Тарифы на питьевую воду для потребителей, присоединенных к централизованным системам водоснабжения  села Николо-Александровского и поселка Ленинского Левокумского муниципального округа </v>
      </c>
      <c r="AK80" s="1191" t="str">
        <f>IF($K$80="нет","без дифференциации",IF($N$80=0,"",$N$80))</f>
        <v>Территория 4</v>
      </c>
      <c r="AL80" s="1762" t="str">
        <f>IF($O$80="нет","без дифференциации",IF($R$80=0,"",$R$80))</f>
        <v>без дифференциации</v>
      </c>
      <c r="AM80" s="1762"/>
      <c r="AN80" s="1191" t="str">
        <f>$I$80</f>
        <v>5</v>
      </c>
      <c r="AO80" s="1191" t="str">
        <f>$I$80&amp;"."&amp;$M$80</f>
        <v>5.1</v>
      </c>
      <c r="AP80" s="1191" t="str">
        <f>$I$80&amp;"."&amp;$M$80&amp;"."&amp;$Q$80</f>
        <v>5.1.1</v>
      </c>
      <c r="AQ80" s="1191"/>
    </row>
    <row r="81" spans="1:43" ht="17.25" customHeight="1">
      <c r="A81" s="1758"/>
      <c r="B81" s="1771"/>
      <c r="C81" s="1763"/>
      <c r="D81" s="7589"/>
      <c r="E81" s="7590"/>
      <c r="F81" s="7578"/>
      <c r="G81" s="7592"/>
      <c r="H81" s="7612"/>
      <c r="I81" s="7612"/>
      <c r="J81" s="7611"/>
      <c r="K81" s="7615"/>
      <c r="L81" s="7541"/>
      <c r="M81" s="7541"/>
      <c r="N81" s="7616"/>
      <c r="O81" s="7615"/>
      <c r="P81" s="7541"/>
      <c r="Q81" s="7541"/>
      <c r="R81" s="7618" t="s">
        <v>24</v>
      </c>
      <c r="S81" s="7610"/>
      <c r="T81" s="1355"/>
      <c r="U81" s="1356"/>
      <c r="V81" s="1356"/>
      <c r="W81" s="7611"/>
      <c r="Y81" s="1184"/>
      <c r="Z81" s="1184"/>
      <c r="AA81" s="1184"/>
      <c r="AB81" s="1184"/>
      <c r="AC81" s="1184"/>
      <c r="AD81" s="1184"/>
      <c r="AE81" s="1184"/>
      <c r="AF81" s="1184"/>
      <c r="AG81" s="1184"/>
      <c r="AH81" s="1184"/>
      <c r="AI81" s="1184"/>
      <c r="AJ81" s="1184"/>
      <c r="AK81" s="1184"/>
      <c r="AL81" s="1771"/>
      <c r="AM81" s="1771"/>
      <c r="AN81" s="1771"/>
      <c r="AO81" s="1771"/>
      <c r="AP81" s="1771"/>
      <c r="AQ81" s="1771"/>
    </row>
    <row r="82" spans="1:43" ht="17.25" customHeight="1">
      <c r="A82" s="1758"/>
      <c r="B82" s="1771"/>
      <c r="C82" s="1763"/>
      <c r="D82" s="7589"/>
      <c r="E82" s="7590"/>
      <c r="F82" s="7578"/>
      <c r="G82" s="7592"/>
      <c r="H82" s="7574"/>
      <c r="I82" s="7574"/>
      <c r="J82" s="7613"/>
      <c r="K82" s="7615"/>
      <c r="L82" s="7574"/>
      <c r="M82" s="7574"/>
      <c r="N82" s="7617"/>
      <c r="O82" s="7545"/>
      <c r="P82" s="236"/>
      <c r="Q82" s="237"/>
      <c r="R82" s="237" t="s">
        <v>325</v>
      </c>
      <c r="S82" s="1764"/>
      <c r="T82" s="1764"/>
      <c r="U82" s="1764"/>
      <c r="V82" s="1764"/>
      <c r="W82" s="1353"/>
      <c r="Y82" s="1184"/>
      <c r="Z82" s="1184"/>
      <c r="AA82" s="1184"/>
      <c r="AB82" s="1184"/>
      <c r="AC82" s="1184"/>
      <c r="AD82" s="1184"/>
      <c r="AE82" s="1184"/>
      <c r="AF82" s="1184"/>
      <c r="AG82" s="1184"/>
      <c r="AH82" s="1184"/>
      <c r="AI82" s="1184"/>
      <c r="AJ82" s="1184"/>
      <c r="AK82" s="1184"/>
      <c r="AL82" s="1771"/>
      <c r="AM82" s="1771"/>
      <c r="AN82" s="1771"/>
      <c r="AO82" s="1771"/>
      <c r="AP82" s="1771"/>
      <c r="AQ82" s="1771"/>
    </row>
    <row r="83" spans="1:43" ht="17.25" customHeight="1">
      <c r="A83" s="1758"/>
      <c r="B83" s="1771"/>
      <c r="C83" s="1763"/>
      <c r="D83" s="7589"/>
      <c r="E83" s="7590"/>
      <c r="F83" s="7578"/>
      <c r="G83" s="7592"/>
      <c r="H83" s="7574"/>
      <c r="I83" s="7574"/>
      <c r="J83" s="7613"/>
      <c r="K83" s="7545"/>
      <c r="L83" s="236"/>
      <c r="M83" s="237"/>
      <c r="N83" s="237" t="s">
        <v>326</v>
      </c>
      <c r="O83" s="237"/>
      <c r="P83" s="237"/>
      <c r="Q83" s="237"/>
      <c r="R83" s="237"/>
      <c r="S83" s="1764"/>
      <c r="T83" s="1764"/>
      <c r="U83" s="1764"/>
      <c r="V83" s="1764"/>
      <c r="W83" s="238"/>
      <c r="Y83" s="1184"/>
      <c r="Z83" s="1184"/>
      <c r="AA83" s="1184"/>
      <c r="AB83" s="1184"/>
      <c r="AC83" s="1184"/>
      <c r="AD83" s="1184"/>
      <c r="AE83" s="1184"/>
      <c r="AF83" s="1184"/>
      <c r="AG83" s="1184"/>
      <c r="AH83" s="1184"/>
      <c r="AI83" s="1184"/>
      <c r="AJ83" s="1184"/>
      <c r="AK83" s="1184"/>
      <c r="AL83" s="1771"/>
      <c r="AM83" s="1771"/>
      <c r="AN83" s="1771"/>
      <c r="AO83" s="1771"/>
      <c r="AP83" s="1771"/>
      <c r="AQ83" s="1771"/>
    </row>
    <row r="84" spans="1:43" ht="17.25" customHeight="1">
      <c r="A84" s="1758"/>
      <c r="B84" s="1771"/>
      <c r="C84" s="1760"/>
      <c r="D84" s="7589"/>
      <c r="E84" s="7590"/>
      <c r="F84" s="7578"/>
      <c r="G84" s="7592"/>
      <c r="H84" s="7612" t="s">
        <v>101</v>
      </c>
      <c r="I84" s="7612" t="s">
        <v>90</v>
      </c>
      <c r="J84" s="7611" t="s">
        <v>347</v>
      </c>
      <c r="K84" s="7614" t="s">
        <v>60</v>
      </c>
      <c r="L84" s="7541"/>
      <c r="M84" s="7541" t="s">
        <v>97</v>
      </c>
      <c r="N84" s="7616" t="str">
        <f>IF(Z84="","",INDEX(TERRITORY_MR_LIST,MATCH(Z84,TERRITORY_LIST_ID,0)))</f>
        <v>Территория 5</v>
      </c>
      <c r="O84" s="7614" t="s">
        <v>55</v>
      </c>
      <c r="P84" s="7541"/>
      <c r="Q84" s="7541" t="s">
        <v>97</v>
      </c>
      <c r="R84" s="7618" t="s">
        <v>24</v>
      </c>
      <c r="S84" s="7610" t="s">
        <v>55</v>
      </c>
      <c r="T84" s="1722"/>
      <c r="U84" s="1722" t="s">
        <v>97</v>
      </c>
      <c r="V84" s="1354"/>
      <c r="W84" s="7611"/>
      <c r="Y84" s="1191"/>
      <c r="Z84" s="1191" t="s">
        <v>214</v>
      </c>
      <c r="AA84" s="1191"/>
      <c r="AB84" s="1191"/>
      <c r="AC84" s="1191" t="s">
        <v>321</v>
      </c>
      <c r="AD84" s="1191" t="s">
        <v>348</v>
      </c>
      <c r="AE84" s="1191" t="s">
        <v>349</v>
      </c>
      <c r="AF84" s="1191" t="s">
        <v>350</v>
      </c>
      <c r="AG84" s="1191" t="s">
        <v>351</v>
      </c>
      <c r="AH84" s="1191" t="str">
        <f>IF($E$64=0,"",$E$64)</f>
        <v>Тариф на питьевую воду (питьевое водоснабжение)</v>
      </c>
      <c r="AI84" s="1191" t="str">
        <f>IF($G$64=0,"",$G$64)</f>
        <v>Холодное водоснабжение. Питьевая вода</v>
      </c>
      <c r="AJ84" s="1191" t="str">
        <f>IF($J$84=0,"",$J$84)</f>
        <v xml:space="preserve">Тарифы на питьевую воду для потребителей, присоединенных к централизованным системам водоснабжения хутора Андрей-Курган и поселка Левобалковского Нефтекумского муниципального округа </v>
      </c>
      <c r="AK84" s="1191" t="str">
        <f>IF($K$84="нет","без дифференциации",IF($N$84=0,"",$N$84))</f>
        <v>Территория 5</v>
      </c>
      <c r="AL84" s="1762" t="str">
        <f>IF($O$84="нет","без дифференциации",IF($R$84=0,"",$R$84))</f>
        <v>без дифференциации</v>
      </c>
      <c r="AM84" s="1762"/>
      <c r="AN84" s="1191" t="str">
        <f>$I$84</f>
        <v>6</v>
      </c>
      <c r="AO84" s="1191" t="str">
        <f>$I$84&amp;"."&amp;$M$84</f>
        <v>6.1</v>
      </c>
      <c r="AP84" s="1191" t="str">
        <f>$I$84&amp;"."&amp;$M$84&amp;"."&amp;$Q$84</f>
        <v>6.1.1</v>
      </c>
      <c r="AQ84" s="1191"/>
    </row>
    <row r="85" spans="1:43" ht="17.25" customHeight="1">
      <c r="A85" s="1758"/>
      <c r="B85" s="1771"/>
      <c r="C85" s="1763"/>
      <c r="D85" s="7589"/>
      <c r="E85" s="7590"/>
      <c r="F85" s="7578"/>
      <c r="G85" s="7592"/>
      <c r="H85" s="7612"/>
      <c r="I85" s="7612"/>
      <c r="J85" s="7611"/>
      <c r="K85" s="7615"/>
      <c r="L85" s="7541"/>
      <c r="M85" s="7541"/>
      <c r="N85" s="7616"/>
      <c r="O85" s="7615"/>
      <c r="P85" s="7541"/>
      <c r="Q85" s="7541"/>
      <c r="R85" s="7618" t="s">
        <v>24</v>
      </c>
      <c r="S85" s="7610"/>
      <c r="T85" s="1355"/>
      <c r="U85" s="1356"/>
      <c r="V85" s="1356"/>
      <c r="W85" s="7611"/>
      <c r="Y85" s="1184"/>
      <c r="Z85" s="1184"/>
      <c r="AA85" s="1184"/>
      <c r="AB85" s="1184"/>
      <c r="AC85" s="1184"/>
      <c r="AD85" s="1184"/>
      <c r="AE85" s="1184"/>
      <c r="AF85" s="1184"/>
      <c r="AG85" s="1184"/>
      <c r="AH85" s="1184"/>
      <c r="AI85" s="1184"/>
      <c r="AJ85" s="1184"/>
      <c r="AK85" s="1184"/>
      <c r="AL85" s="1771"/>
      <c r="AM85" s="1771"/>
      <c r="AN85" s="1771"/>
      <c r="AO85" s="1771"/>
      <c r="AP85" s="1771"/>
      <c r="AQ85" s="1771"/>
    </row>
    <row r="86" spans="1:43" ht="17.25" customHeight="1">
      <c r="A86" s="1758"/>
      <c r="B86" s="1771"/>
      <c r="C86" s="1763"/>
      <c r="D86" s="7589"/>
      <c r="E86" s="7590"/>
      <c r="F86" s="7578"/>
      <c r="G86" s="7592"/>
      <c r="H86" s="7574"/>
      <c r="I86" s="7574"/>
      <c r="J86" s="7613"/>
      <c r="K86" s="7615"/>
      <c r="L86" s="7574"/>
      <c r="M86" s="7574"/>
      <c r="N86" s="7617"/>
      <c r="O86" s="7545"/>
      <c r="P86" s="236"/>
      <c r="Q86" s="237"/>
      <c r="R86" s="237" t="s">
        <v>325</v>
      </c>
      <c r="S86" s="1764"/>
      <c r="T86" s="1764"/>
      <c r="U86" s="1764"/>
      <c r="V86" s="1764"/>
      <c r="W86" s="1353"/>
      <c r="Y86" s="1184"/>
      <c r="Z86" s="1184"/>
      <c r="AA86" s="1184"/>
      <c r="AB86" s="1184"/>
      <c r="AC86" s="1184"/>
      <c r="AD86" s="1184"/>
      <c r="AE86" s="1184"/>
      <c r="AF86" s="1184"/>
      <c r="AG86" s="1184"/>
      <c r="AH86" s="1184"/>
      <c r="AI86" s="1184"/>
      <c r="AJ86" s="1184"/>
      <c r="AK86" s="1184"/>
      <c r="AL86" s="1771"/>
      <c r="AM86" s="1771"/>
      <c r="AN86" s="1771"/>
      <c r="AO86" s="1771"/>
      <c r="AP86" s="1771"/>
      <c r="AQ86" s="1771"/>
    </row>
    <row r="87" spans="1:43" ht="17.25" customHeight="1">
      <c r="A87" s="1758"/>
      <c r="B87" s="1771"/>
      <c r="C87" s="1763"/>
      <c r="D87" s="7589"/>
      <c r="E87" s="7590"/>
      <c r="F87" s="7578"/>
      <c r="G87" s="7592"/>
      <c r="H87" s="7574"/>
      <c r="I87" s="7574"/>
      <c r="J87" s="7613"/>
      <c r="K87" s="7545"/>
      <c r="L87" s="236"/>
      <c r="M87" s="237"/>
      <c r="N87" s="237" t="s">
        <v>326</v>
      </c>
      <c r="O87" s="237"/>
      <c r="P87" s="237"/>
      <c r="Q87" s="237"/>
      <c r="R87" s="237"/>
      <c r="S87" s="1764"/>
      <c r="T87" s="1764"/>
      <c r="U87" s="1764"/>
      <c r="V87" s="1764"/>
      <c r="W87" s="238"/>
      <c r="Y87" s="1184"/>
      <c r="Z87" s="1184"/>
      <c r="AA87" s="1184"/>
      <c r="AB87" s="1184"/>
      <c r="AC87" s="1184"/>
      <c r="AD87" s="1184"/>
      <c r="AE87" s="1184"/>
      <c r="AF87" s="1184"/>
      <c r="AG87" s="1184"/>
      <c r="AH87" s="1184"/>
      <c r="AI87" s="1184"/>
      <c r="AJ87" s="1184"/>
      <c r="AK87" s="1184"/>
      <c r="AL87" s="1771"/>
      <c r="AM87" s="1771"/>
      <c r="AN87" s="1771"/>
      <c r="AO87" s="1771"/>
      <c r="AP87" s="1771"/>
      <c r="AQ87" s="1771"/>
    </row>
    <row r="88" spans="1:43" ht="17.25" customHeight="1">
      <c r="A88" s="1758"/>
      <c r="B88" s="1771"/>
      <c r="C88" s="1760"/>
      <c r="D88" s="7589"/>
      <c r="E88" s="7590"/>
      <c r="F88" s="7578"/>
      <c r="G88" s="7592"/>
      <c r="H88" s="7612" t="s">
        <v>101</v>
      </c>
      <c r="I88" s="7612" t="s">
        <v>91</v>
      </c>
      <c r="J88" s="7611" t="s">
        <v>352</v>
      </c>
      <c r="K88" s="7614" t="s">
        <v>60</v>
      </c>
      <c r="L88" s="7541"/>
      <c r="M88" s="7541" t="s">
        <v>97</v>
      </c>
      <c r="N88" s="7616" t="str">
        <f>IF(Z88="","",INDEX(TERRITORY_MR_LIST,MATCH(Z88,TERRITORY_LIST_ID,0)))</f>
        <v>Территория 5</v>
      </c>
      <c r="O88" s="7614" t="s">
        <v>55</v>
      </c>
      <c r="P88" s="7541"/>
      <c r="Q88" s="7541" t="s">
        <v>97</v>
      </c>
      <c r="R88" s="7618" t="s">
        <v>24</v>
      </c>
      <c r="S88" s="7610" t="s">
        <v>55</v>
      </c>
      <c r="T88" s="1722"/>
      <c r="U88" s="1722" t="s">
        <v>97</v>
      </c>
      <c r="V88" s="1354"/>
      <c r="W88" s="7611"/>
      <c r="Y88" s="1191"/>
      <c r="Z88" s="1191" t="s">
        <v>214</v>
      </c>
      <c r="AA88" s="1191"/>
      <c r="AB88" s="1191"/>
      <c r="AC88" s="1191" t="s">
        <v>321</v>
      </c>
      <c r="AD88" s="1191" t="s">
        <v>353</v>
      </c>
      <c r="AE88" s="1191" t="s">
        <v>354</v>
      </c>
      <c r="AF88" s="1191" t="s">
        <v>355</v>
      </c>
      <c r="AG88" s="1191" t="s">
        <v>356</v>
      </c>
      <c r="AH88" s="1191" t="str">
        <f>IF($E$64=0,"",$E$64)</f>
        <v>Тариф на питьевую воду (питьевое водоснабжение)</v>
      </c>
      <c r="AI88" s="1191" t="str">
        <f>IF($G$64=0,"",$G$64)</f>
        <v>Холодное водоснабжение. Питьевая вода</v>
      </c>
      <c r="AJ88" s="1191" t="str">
        <f>IF($J$88=0,"",$J$88)</f>
        <v xml:space="preserve">Тарифы на питьевую воду для потребителей, присоединенных к централизованным системам водоснабжения поселка Зункарь и аула Бейсей Нефтекумского муниципального округа </v>
      </c>
      <c r="AK88" s="1191" t="str">
        <f>IF($K$88="нет","без дифференциации",IF($N$88=0,"",$N$88))</f>
        <v>Территория 5</v>
      </c>
      <c r="AL88" s="1762" t="str">
        <f>IF($O$88="нет","без дифференциации",IF($R$88=0,"",$R$88))</f>
        <v>без дифференциации</v>
      </c>
      <c r="AM88" s="1762"/>
      <c r="AN88" s="1191" t="str">
        <f>$I$88</f>
        <v>7</v>
      </c>
      <c r="AO88" s="1191" t="str">
        <f>$I$88&amp;"."&amp;$M$88</f>
        <v>7.1</v>
      </c>
      <c r="AP88" s="1191" t="str">
        <f>$I$88&amp;"."&amp;$M$88&amp;"."&amp;$Q$88</f>
        <v>7.1.1</v>
      </c>
      <c r="AQ88" s="1191"/>
    </row>
    <row r="89" spans="1:43" ht="17.25" customHeight="1">
      <c r="A89" s="1758"/>
      <c r="B89" s="1771"/>
      <c r="C89" s="1763"/>
      <c r="D89" s="7589"/>
      <c r="E89" s="7590"/>
      <c r="F89" s="7578"/>
      <c r="G89" s="7592"/>
      <c r="H89" s="7612"/>
      <c r="I89" s="7612"/>
      <c r="J89" s="7611"/>
      <c r="K89" s="7615"/>
      <c r="L89" s="7541"/>
      <c r="M89" s="7541"/>
      <c r="N89" s="7616"/>
      <c r="O89" s="7615"/>
      <c r="P89" s="7541"/>
      <c r="Q89" s="7541"/>
      <c r="R89" s="7618" t="s">
        <v>24</v>
      </c>
      <c r="S89" s="7610"/>
      <c r="T89" s="1355"/>
      <c r="U89" s="1356"/>
      <c r="V89" s="1356"/>
      <c r="W89" s="7611"/>
      <c r="Y89" s="1184"/>
      <c r="Z89" s="1184"/>
      <c r="AA89" s="1184"/>
      <c r="AB89" s="1184"/>
      <c r="AC89" s="1184"/>
      <c r="AD89" s="1184"/>
      <c r="AE89" s="1184"/>
      <c r="AF89" s="1184"/>
      <c r="AG89" s="1184"/>
      <c r="AH89" s="1184"/>
      <c r="AI89" s="1184"/>
      <c r="AJ89" s="1184"/>
      <c r="AK89" s="1184"/>
      <c r="AL89" s="1771"/>
      <c r="AM89" s="1771"/>
      <c r="AN89" s="1771"/>
      <c r="AO89" s="1771"/>
      <c r="AP89" s="1771"/>
      <c r="AQ89" s="1771"/>
    </row>
    <row r="90" spans="1:43" ht="17.25" customHeight="1">
      <c r="A90" s="1758"/>
      <c r="B90" s="1771"/>
      <c r="C90" s="1763"/>
      <c r="D90" s="7589"/>
      <c r="E90" s="7590"/>
      <c r="F90" s="7578"/>
      <c r="G90" s="7592"/>
      <c r="H90" s="7574"/>
      <c r="I90" s="7574"/>
      <c r="J90" s="7613"/>
      <c r="K90" s="7615"/>
      <c r="L90" s="7574"/>
      <c r="M90" s="7574"/>
      <c r="N90" s="7617"/>
      <c r="O90" s="7545"/>
      <c r="P90" s="236"/>
      <c r="Q90" s="237"/>
      <c r="R90" s="237" t="s">
        <v>325</v>
      </c>
      <c r="S90" s="1764"/>
      <c r="T90" s="1764"/>
      <c r="U90" s="1764"/>
      <c r="V90" s="1764"/>
      <c r="W90" s="1353"/>
      <c r="Y90" s="1184"/>
      <c r="Z90" s="1184"/>
      <c r="AA90" s="1184"/>
      <c r="AB90" s="1184"/>
      <c r="AC90" s="1184"/>
      <c r="AD90" s="1184"/>
      <c r="AE90" s="1184"/>
      <c r="AF90" s="1184"/>
      <c r="AG90" s="1184"/>
      <c r="AH90" s="1184"/>
      <c r="AI90" s="1184"/>
      <c r="AJ90" s="1184"/>
      <c r="AK90" s="1184"/>
      <c r="AL90" s="1771"/>
      <c r="AM90" s="1771"/>
      <c r="AN90" s="1771"/>
      <c r="AO90" s="1771"/>
      <c r="AP90" s="1771"/>
      <c r="AQ90" s="1771"/>
    </row>
    <row r="91" spans="1:43" ht="17.25" customHeight="1">
      <c r="A91" s="1758"/>
      <c r="B91" s="1771"/>
      <c r="C91" s="1763"/>
      <c r="D91" s="7589"/>
      <c r="E91" s="7590"/>
      <c r="F91" s="7578"/>
      <c r="G91" s="7592"/>
      <c r="H91" s="7574"/>
      <c r="I91" s="7574"/>
      <c r="J91" s="7613"/>
      <c r="K91" s="7545"/>
      <c r="L91" s="236"/>
      <c r="M91" s="237"/>
      <c r="N91" s="237" t="s">
        <v>326</v>
      </c>
      <c r="O91" s="237"/>
      <c r="P91" s="237"/>
      <c r="Q91" s="237"/>
      <c r="R91" s="237"/>
      <c r="S91" s="1764"/>
      <c r="T91" s="1764"/>
      <c r="U91" s="1764"/>
      <c r="V91" s="1764"/>
      <c r="W91" s="238"/>
      <c r="Y91" s="1184"/>
      <c r="Z91" s="1184"/>
      <c r="AA91" s="1184"/>
      <c r="AB91" s="1184"/>
      <c r="AC91" s="1184"/>
      <c r="AD91" s="1184"/>
      <c r="AE91" s="1184"/>
      <c r="AF91" s="1184"/>
      <c r="AG91" s="1184"/>
      <c r="AH91" s="1184"/>
      <c r="AI91" s="1184"/>
      <c r="AJ91" s="1184"/>
      <c r="AK91" s="1184"/>
      <c r="AL91" s="1771"/>
      <c r="AM91" s="1771"/>
      <c r="AN91" s="1771"/>
      <c r="AO91" s="1771"/>
      <c r="AP91" s="1771"/>
      <c r="AQ91" s="1771"/>
    </row>
    <row r="92" spans="1:43" ht="17.25" customHeight="1">
      <c r="A92" s="1758"/>
      <c r="B92" s="1771"/>
      <c r="C92" s="1760"/>
      <c r="D92" s="7589"/>
      <c r="E92" s="7590"/>
      <c r="F92" s="7578"/>
      <c r="G92" s="7592"/>
      <c r="H92" s="7612" t="s">
        <v>101</v>
      </c>
      <c r="I92" s="7612" t="s">
        <v>121</v>
      </c>
      <c r="J92" s="7611" t="s">
        <v>357</v>
      </c>
      <c r="K92" s="7614" t="s">
        <v>60</v>
      </c>
      <c r="L92" s="7541"/>
      <c r="M92" s="7541" t="s">
        <v>97</v>
      </c>
      <c r="N92" s="7616" t="str">
        <f>IF(Z92="","",INDEX(TERRITORY_MR_LIST,MATCH(Z92,TERRITORY_LIST_ID,0)))</f>
        <v>Территория 5</v>
      </c>
      <c r="O92" s="7614" t="s">
        <v>55</v>
      </c>
      <c r="P92" s="7541"/>
      <c r="Q92" s="7541" t="s">
        <v>97</v>
      </c>
      <c r="R92" s="7618" t="s">
        <v>24</v>
      </c>
      <c r="S92" s="7610" t="s">
        <v>55</v>
      </c>
      <c r="T92" s="1722"/>
      <c r="U92" s="1722" t="s">
        <v>97</v>
      </c>
      <c r="V92" s="1354"/>
      <c r="W92" s="7611"/>
      <c r="Y92" s="1191"/>
      <c r="Z92" s="1191" t="s">
        <v>214</v>
      </c>
      <c r="AA92" s="1191"/>
      <c r="AB92" s="1191"/>
      <c r="AC92" s="1191" t="s">
        <v>321</v>
      </c>
      <c r="AD92" s="1191" t="s">
        <v>358</v>
      </c>
      <c r="AE92" s="1191" t="s">
        <v>359</v>
      </c>
      <c r="AF92" s="1191" t="s">
        <v>360</v>
      </c>
      <c r="AG92" s="1191" t="s">
        <v>361</v>
      </c>
      <c r="AH92" s="1191" t="str">
        <f>IF($E$64=0,"",$E$64)</f>
        <v>Тариф на питьевую воду (питьевое водоснабжение)</v>
      </c>
      <c r="AI92" s="1191" t="str">
        <f>IF($G$64=0,"",$G$64)</f>
        <v>Холодное водоснабжение. Питьевая вода</v>
      </c>
      <c r="AJ92" s="1191" t="str">
        <f>IF($J$92=0,"",$J$92)</f>
        <v xml:space="preserve">Тарифы на питьевую воду для потребителей, присоединенных к централизованным системам водоснабжения села Кара-Тюбе и аула Бияш Нефтекумского муниципального округа </v>
      </c>
      <c r="AK92" s="1191" t="str">
        <f>IF($K$92="нет","без дифференциации",IF($N$92=0,"",$N$92))</f>
        <v>Территория 5</v>
      </c>
      <c r="AL92" s="1762" t="str">
        <f>IF($O$92="нет","без дифференциации",IF($R$92=0,"",$R$92))</f>
        <v>без дифференциации</v>
      </c>
      <c r="AM92" s="1762"/>
      <c r="AN92" s="1191" t="str">
        <f>$I$92</f>
        <v>8</v>
      </c>
      <c r="AO92" s="1191" t="str">
        <f>$I$92&amp;"."&amp;$M$92</f>
        <v>8.1</v>
      </c>
      <c r="AP92" s="1191" t="str">
        <f>$I$92&amp;"."&amp;$M$92&amp;"."&amp;$Q$92</f>
        <v>8.1.1</v>
      </c>
      <c r="AQ92" s="1191"/>
    </row>
    <row r="93" spans="1:43" ht="17.25" customHeight="1">
      <c r="A93" s="1758"/>
      <c r="B93" s="1771"/>
      <c r="C93" s="1763"/>
      <c r="D93" s="7589"/>
      <c r="E93" s="7590"/>
      <c r="F93" s="7578"/>
      <c r="G93" s="7592"/>
      <c r="H93" s="7612"/>
      <c r="I93" s="7612"/>
      <c r="J93" s="7611"/>
      <c r="K93" s="7615"/>
      <c r="L93" s="7541"/>
      <c r="M93" s="7541"/>
      <c r="N93" s="7616"/>
      <c r="O93" s="7615"/>
      <c r="P93" s="7541"/>
      <c r="Q93" s="7541"/>
      <c r="R93" s="7618" t="s">
        <v>24</v>
      </c>
      <c r="S93" s="7610"/>
      <c r="T93" s="1355"/>
      <c r="U93" s="1356"/>
      <c r="V93" s="1356"/>
      <c r="W93" s="7611"/>
      <c r="Y93" s="1184"/>
      <c r="Z93" s="1184"/>
      <c r="AA93" s="1184"/>
      <c r="AB93" s="1184"/>
      <c r="AC93" s="1184"/>
      <c r="AD93" s="1184"/>
      <c r="AE93" s="1184"/>
      <c r="AF93" s="1184"/>
      <c r="AG93" s="1184"/>
      <c r="AH93" s="1184"/>
      <c r="AI93" s="1184"/>
      <c r="AJ93" s="1184"/>
      <c r="AK93" s="1184"/>
      <c r="AL93" s="1771"/>
      <c r="AM93" s="1771"/>
      <c r="AN93" s="1771"/>
      <c r="AO93" s="1771"/>
      <c r="AP93" s="1771"/>
      <c r="AQ93" s="1771"/>
    </row>
    <row r="94" spans="1:43" ht="17.25" customHeight="1">
      <c r="A94" s="1758"/>
      <c r="B94" s="1771"/>
      <c r="C94" s="1763"/>
      <c r="D94" s="7589"/>
      <c r="E94" s="7590"/>
      <c r="F94" s="7578"/>
      <c r="G94" s="7592"/>
      <c r="H94" s="7574"/>
      <c r="I94" s="7574"/>
      <c r="J94" s="7613"/>
      <c r="K94" s="7615"/>
      <c r="L94" s="7574"/>
      <c r="M94" s="7574"/>
      <c r="N94" s="7617"/>
      <c r="O94" s="7545"/>
      <c r="P94" s="236"/>
      <c r="Q94" s="237"/>
      <c r="R94" s="237" t="s">
        <v>325</v>
      </c>
      <c r="S94" s="1764"/>
      <c r="T94" s="1764"/>
      <c r="U94" s="1764"/>
      <c r="V94" s="1764"/>
      <c r="W94" s="1353"/>
      <c r="Y94" s="1184"/>
      <c r="Z94" s="1184"/>
      <c r="AA94" s="1184"/>
      <c r="AB94" s="1184"/>
      <c r="AC94" s="1184"/>
      <c r="AD94" s="1184"/>
      <c r="AE94" s="1184"/>
      <c r="AF94" s="1184"/>
      <c r="AG94" s="1184"/>
      <c r="AH94" s="1184"/>
      <c r="AI94" s="1184"/>
      <c r="AJ94" s="1184"/>
      <c r="AK94" s="1184"/>
      <c r="AL94" s="1771"/>
      <c r="AM94" s="1771"/>
      <c r="AN94" s="1771"/>
      <c r="AO94" s="1771"/>
      <c r="AP94" s="1771"/>
      <c r="AQ94" s="1771"/>
    </row>
    <row r="95" spans="1:43" ht="17.25" customHeight="1">
      <c r="A95" s="1758"/>
      <c r="B95" s="1771"/>
      <c r="C95" s="1763"/>
      <c r="D95" s="7589"/>
      <c r="E95" s="7590"/>
      <c r="F95" s="7578"/>
      <c r="G95" s="7592"/>
      <c r="H95" s="7574"/>
      <c r="I95" s="7574"/>
      <c r="J95" s="7613"/>
      <c r="K95" s="7545"/>
      <c r="L95" s="236"/>
      <c r="M95" s="237"/>
      <c r="N95" s="237" t="s">
        <v>326</v>
      </c>
      <c r="O95" s="237"/>
      <c r="P95" s="237"/>
      <c r="Q95" s="237"/>
      <c r="R95" s="237"/>
      <c r="S95" s="1764"/>
      <c r="T95" s="1764"/>
      <c r="U95" s="1764"/>
      <c r="V95" s="1764"/>
      <c r="W95" s="238"/>
      <c r="Y95" s="1184"/>
      <c r="Z95" s="1184"/>
      <c r="AA95" s="1184"/>
      <c r="AB95" s="1184"/>
      <c r="AC95" s="1184"/>
      <c r="AD95" s="1184"/>
      <c r="AE95" s="1184"/>
      <c r="AF95" s="1184"/>
      <c r="AG95" s="1184"/>
      <c r="AH95" s="1184"/>
      <c r="AI95" s="1184"/>
      <c r="AJ95" s="1184"/>
      <c r="AK95" s="1184"/>
      <c r="AL95" s="1771"/>
      <c r="AM95" s="1771"/>
      <c r="AN95" s="1771"/>
      <c r="AO95" s="1771"/>
      <c r="AP95" s="1771"/>
      <c r="AQ95" s="1771"/>
    </row>
    <row r="96" spans="1:43" ht="17.25" customHeight="1">
      <c r="A96" s="1758"/>
      <c r="B96" s="1771"/>
      <c r="C96" s="1760"/>
      <c r="D96" s="7589"/>
      <c r="E96" s="7590"/>
      <c r="F96" s="7578"/>
      <c r="G96" s="7592"/>
      <c r="H96" s="7612" t="s">
        <v>101</v>
      </c>
      <c r="I96" s="7612" t="s">
        <v>125</v>
      </c>
      <c r="J96" s="7611" t="s">
        <v>362</v>
      </c>
      <c r="K96" s="7614" t="s">
        <v>60</v>
      </c>
      <c r="L96" s="7541"/>
      <c r="M96" s="7541" t="s">
        <v>97</v>
      </c>
      <c r="N96" s="7616" t="str">
        <f>IF(Z96="","",INDEX(TERRITORY_MR_LIST,MATCH(Z96,TERRITORY_LIST_ID,0)))</f>
        <v>Территория 6</v>
      </c>
      <c r="O96" s="7614" t="s">
        <v>55</v>
      </c>
      <c r="P96" s="7541"/>
      <c r="Q96" s="7541" t="s">
        <v>97</v>
      </c>
      <c r="R96" s="7618" t="s">
        <v>24</v>
      </c>
      <c r="S96" s="7610" t="s">
        <v>55</v>
      </c>
      <c r="T96" s="1722"/>
      <c r="U96" s="1722" t="s">
        <v>97</v>
      </c>
      <c r="V96" s="1354"/>
      <c r="W96" s="7611"/>
      <c r="Y96" s="1191"/>
      <c r="Z96" s="1191" t="s">
        <v>218</v>
      </c>
      <c r="AA96" s="1191"/>
      <c r="AB96" s="1191"/>
      <c r="AC96" s="1191" t="s">
        <v>321</v>
      </c>
      <c r="AD96" s="1191" t="s">
        <v>363</v>
      </c>
      <c r="AE96" s="1191" t="s">
        <v>364</v>
      </c>
      <c r="AF96" s="1191" t="s">
        <v>365</v>
      </c>
      <c r="AG96" s="1191" t="s">
        <v>366</v>
      </c>
      <c r="AH96" s="1191" t="str">
        <f>IF($E$64=0,"",$E$64)</f>
        <v>Тариф на питьевую воду (питьевое водоснабжение)</v>
      </c>
      <c r="AI96" s="1191" t="str">
        <f>IF($G$64=0,"",$G$64)</f>
        <v>Холодное водоснабжение. Питьевая вода</v>
      </c>
      <c r="AJ96" s="1191" t="str">
        <f>IF($J$96=0,"",$J$96)</f>
        <v>Тарифы на питьевую воду для потребителей, присоединенных к централизованным системам водоснабжения поселка Горьковского, поселка Дружба, поселка Заречного и поселка Рассвет Новоалександровского муниципального округа</v>
      </c>
      <c r="AK96" s="1191" t="str">
        <f>IF($K$96="нет","без дифференциации",IF($N$96=0,"",$N$96))</f>
        <v>Территория 6</v>
      </c>
      <c r="AL96" s="1762" t="str">
        <f>IF($O$96="нет","без дифференциации",IF($R$96=0,"",$R$96))</f>
        <v>без дифференциации</v>
      </c>
      <c r="AM96" s="1762"/>
      <c r="AN96" s="1191" t="str">
        <f>$I$96</f>
        <v>9</v>
      </c>
      <c r="AO96" s="1191" t="str">
        <f>$I$96&amp;"."&amp;$M$96</f>
        <v>9.1</v>
      </c>
      <c r="AP96" s="1191" t="str">
        <f>$I$96&amp;"."&amp;$M$96&amp;"."&amp;$Q$96</f>
        <v>9.1.1</v>
      </c>
      <c r="AQ96" s="1191"/>
    </row>
    <row r="97" spans="1:43" ht="17.25" customHeight="1">
      <c r="A97" s="1758"/>
      <c r="B97" s="1771"/>
      <c r="C97" s="1763"/>
      <c r="D97" s="7589"/>
      <c r="E97" s="7590"/>
      <c r="F97" s="7578"/>
      <c r="G97" s="7592"/>
      <c r="H97" s="7612"/>
      <c r="I97" s="7612"/>
      <c r="J97" s="7611"/>
      <c r="K97" s="7615"/>
      <c r="L97" s="7541"/>
      <c r="M97" s="7541"/>
      <c r="N97" s="7616"/>
      <c r="O97" s="7615"/>
      <c r="P97" s="7541"/>
      <c r="Q97" s="7541"/>
      <c r="R97" s="7618" t="s">
        <v>24</v>
      </c>
      <c r="S97" s="7610"/>
      <c r="T97" s="1355"/>
      <c r="U97" s="1356"/>
      <c r="V97" s="1356"/>
      <c r="W97" s="7611"/>
      <c r="Y97" s="1184"/>
      <c r="Z97" s="1184"/>
      <c r="AA97" s="1184"/>
      <c r="AB97" s="1184"/>
      <c r="AC97" s="1184"/>
      <c r="AD97" s="1184"/>
      <c r="AE97" s="1184"/>
      <c r="AF97" s="1184"/>
      <c r="AG97" s="1184"/>
      <c r="AH97" s="1184"/>
      <c r="AI97" s="1184"/>
      <c r="AJ97" s="1184"/>
      <c r="AK97" s="1184"/>
      <c r="AL97" s="1771"/>
      <c r="AM97" s="1771"/>
      <c r="AN97" s="1771"/>
      <c r="AO97" s="1771"/>
      <c r="AP97" s="1771"/>
      <c r="AQ97" s="1771"/>
    </row>
    <row r="98" spans="1:43" ht="17.25" customHeight="1">
      <c r="A98" s="1758"/>
      <c r="B98" s="1771"/>
      <c r="C98" s="1763"/>
      <c r="D98" s="7589"/>
      <c r="E98" s="7590"/>
      <c r="F98" s="7578"/>
      <c r="G98" s="7592"/>
      <c r="H98" s="7574"/>
      <c r="I98" s="7574"/>
      <c r="J98" s="7613"/>
      <c r="K98" s="7615"/>
      <c r="L98" s="7574"/>
      <c r="M98" s="7574"/>
      <c r="N98" s="7617"/>
      <c r="O98" s="7545"/>
      <c r="P98" s="236"/>
      <c r="Q98" s="237"/>
      <c r="R98" s="237" t="s">
        <v>325</v>
      </c>
      <c r="S98" s="1764"/>
      <c r="T98" s="1764"/>
      <c r="U98" s="1764"/>
      <c r="V98" s="1764"/>
      <c r="W98" s="1353"/>
      <c r="Y98" s="1184"/>
      <c r="Z98" s="1184"/>
      <c r="AA98" s="1184"/>
      <c r="AB98" s="1184"/>
      <c r="AC98" s="1184"/>
      <c r="AD98" s="1184"/>
      <c r="AE98" s="1184"/>
      <c r="AF98" s="1184"/>
      <c r="AG98" s="1184"/>
      <c r="AH98" s="1184"/>
      <c r="AI98" s="1184"/>
      <c r="AJ98" s="1184"/>
      <c r="AK98" s="1184"/>
      <c r="AL98" s="1771"/>
      <c r="AM98" s="1771"/>
      <c r="AN98" s="1771"/>
      <c r="AO98" s="1771"/>
      <c r="AP98" s="1771"/>
      <c r="AQ98" s="1771"/>
    </row>
    <row r="99" spans="1:43" ht="17.25" customHeight="1">
      <c r="A99" s="1758"/>
      <c r="B99" s="1771"/>
      <c r="C99" s="1763"/>
      <c r="D99" s="7589"/>
      <c r="E99" s="7590"/>
      <c r="F99" s="7578"/>
      <c r="G99" s="7592"/>
      <c r="H99" s="7574"/>
      <c r="I99" s="7574"/>
      <c r="J99" s="7613"/>
      <c r="K99" s="7545"/>
      <c r="L99" s="236"/>
      <c r="M99" s="237"/>
      <c r="N99" s="237" t="s">
        <v>326</v>
      </c>
      <c r="O99" s="237"/>
      <c r="P99" s="237"/>
      <c r="Q99" s="237"/>
      <c r="R99" s="237"/>
      <c r="S99" s="1764"/>
      <c r="T99" s="1764"/>
      <c r="U99" s="1764"/>
      <c r="V99" s="1764"/>
      <c r="W99" s="238"/>
      <c r="Y99" s="1184"/>
      <c r="Z99" s="1184"/>
      <c r="AA99" s="1184"/>
      <c r="AB99" s="1184"/>
      <c r="AC99" s="1184"/>
      <c r="AD99" s="1184"/>
      <c r="AE99" s="1184"/>
      <c r="AF99" s="1184"/>
      <c r="AG99" s="1184"/>
      <c r="AH99" s="1184"/>
      <c r="AI99" s="1184"/>
      <c r="AJ99" s="1184"/>
      <c r="AK99" s="1184"/>
      <c r="AL99" s="1771"/>
      <c r="AM99" s="1771"/>
      <c r="AN99" s="1771"/>
      <c r="AO99" s="1771"/>
      <c r="AP99" s="1771"/>
      <c r="AQ99" s="1771"/>
    </row>
    <row r="100" spans="1:43" ht="17.25" customHeight="1">
      <c r="A100" s="1758"/>
      <c r="B100" s="1771"/>
      <c r="C100" s="1760"/>
      <c r="D100" s="7589"/>
      <c r="E100" s="7590"/>
      <c r="F100" s="7578"/>
      <c r="G100" s="7592"/>
      <c r="H100" s="7612" t="s">
        <v>101</v>
      </c>
      <c r="I100" s="7612" t="s">
        <v>129</v>
      </c>
      <c r="J100" s="7611" t="s">
        <v>367</v>
      </c>
      <c r="K100" s="7614" t="s">
        <v>60</v>
      </c>
      <c r="L100" s="7541"/>
      <c r="M100" s="7541" t="s">
        <v>97</v>
      </c>
      <c r="N100" s="7616" t="str">
        <f>IF(Z100="","",INDEX(TERRITORY_MR_LIST,MATCH(Z100,TERRITORY_LIST_ID,0)))</f>
        <v>Территория 7</v>
      </c>
      <c r="O100" s="7614" t="s">
        <v>55</v>
      </c>
      <c r="P100" s="7541"/>
      <c r="Q100" s="7541" t="s">
        <v>97</v>
      </c>
      <c r="R100" s="7618" t="s">
        <v>24</v>
      </c>
      <c r="S100" s="7610" t="s">
        <v>55</v>
      </c>
      <c r="T100" s="1722"/>
      <c r="U100" s="1722" t="s">
        <v>97</v>
      </c>
      <c r="V100" s="1354"/>
      <c r="W100" s="7611"/>
      <c r="Y100" s="1191"/>
      <c r="Z100" s="1191" t="s">
        <v>219</v>
      </c>
      <c r="AA100" s="1191"/>
      <c r="AB100" s="1191"/>
      <c r="AC100" s="1191" t="s">
        <v>321</v>
      </c>
      <c r="AD100" s="1191" t="s">
        <v>368</v>
      </c>
      <c r="AE100" s="1191" t="s">
        <v>369</v>
      </c>
      <c r="AF100" s="1191" t="s">
        <v>370</v>
      </c>
      <c r="AG100" s="1191" t="s">
        <v>371</v>
      </c>
      <c r="AH100" s="1191" t="str">
        <f>IF($E$64=0,"",$E$64)</f>
        <v>Тариф на питьевую воду (питьевое водоснабжение)</v>
      </c>
      <c r="AI100" s="1191" t="str">
        <f>IF($G$64=0,"",$G$64)</f>
        <v>Холодное водоснабжение. Питьевая вода</v>
      </c>
      <c r="AJ100" s="1191" t="str">
        <f>IF($J$100=0,"",$J$100)</f>
        <v>Тарифы на питьевую воду для потребителей, присоединенных к централизованным системам водоснабжения села Высоцкого, села Ореховки и хутора Казинки Петровского муниципального округа</v>
      </c>
      <c r="AK100" s="1191" t="str">
        <f>IF($K$100="нет","без дифференциации",IF($N$100=0,"",$N$100))</f>
        <v>Территория 7</v>
      </c>
      <c r="AL100" s="1762" t="str">
        <f>IF($O$100="нет","без дифференциации",IF($R$100=0,"",$R$100))</f>
        <v>без дифференциации</v>
      </c>
      <c r="AM100" s="1762"/>
      <c r="AN100" s="1191" t="str">
        <f>$I$100</f>
        <v>10</v>
      </c>
      <c r="AO100" s="1191" t="str">
        <f>$I$100&amp;"."&amp;$M$100</f>
        <v>10.1</v>
      </c>
      <c r="AP100" s="1191" t="str">
        <f>$I$100&amp;"."&amp;$M$100&amp;"."&amp;$Q$100</f>
        <v>10.1.1</v>
      </c>
      <c r="AQ100" s="1191"/>
    </row>
    <row r="101" spans="1:43" ht="17.25" customHeight="1">
      <c r="A101" s="1758"/>
      <c r="B101" s="1771"/>
      <c r="C101" s="1763"/>
      <c r="D101" s="7589"/>
      <c r="E101" s="7590"/>
      <c r="F101" s="7578"/>
      <c r="G101" s="7592"/>
      <c r="H101" s="7612"/>
      <c r="I101" s="7612"/>
      <c r="J101" s="7611"/>
      <c r="K101" s="7615"/>
      <c r="L101" s="7541"/>
      <c r="M101" s="7541"/>
      <c r="N101" s="7616"/>
      <c r="O101" s="7615"/>
      <c r="P101" s="7541"/>
      <c r="Q101" s="7541"/>
      <c r="R101" s="7618" t="s">
        <v>24</v>
      </c>
      <c r="S101" s="7610"/>
      <c r="T101" s="1355"/>
      <c r="U101" s="1356"/>
      <c r="V101" s="1356"/>
      <c r="W101" s="7611"/>
      <c r="Y101" s="1184"/>
      <c r="Z101" s="1184"/>
      <c r="AA101" s="1184"/>
      <c r="AB101" s="1184"/>
      <c r="AC101" s="1184"/>
      <c r="AD101" s="1184"/>
      <c r="AE101" s="1184"/>
      <c r="AF101" s="1184"/>
      <c r="AG101" s="1184"/>
      <c r="AH101" s="1184"/>
      <c r="AI101" s="1184"/>
      <c r="AJ101" s="1184"/>
      <c r="AK101" s="1184"/>
      <c r="AL101" s="1771"/>
      <c r="AM101" s="1771"/>
      <c r="AN101" s="1771"/>
      <c r="AO101" s="1771"/>
      <c r="AP101" s="1771"/>
      <c r="AQ101" s="1771"/>
    </row>
    <row r="102" spans="1:43" ht="17.25" customHeight="1">
      <c r="A102" s="1758"/>
      <c r="B102" s="1771"/>
      <c r="C102" s="1763"/>
      <c r="D102" s="7589"/>
      <c r="E102" s="7590"/>
      <c r="F102" s="7578"/>
      <c r="G102" s="7592"/>
      <c r="H102" s="7574"/>
      <c r="I102" s="7574"/>
      <c r="J102" s="7613"/>
      <c r="K102" s="7615"/>
      <c r="L102" s="7574"/>
      <c r="M102" s="7574"/>
      <c r="N102" s="7617"/>
      <c r="O102" s="7545"/>
      <c r="P102" s="236"/>
      <c r="Q102" s="237"/>
      <c r="R102" s="237" t="s">
        <v>325</v>
      </c>
      <c r="S102" s="1764"/>
      <c r="T102" s="1764"/>
      <c r="U102" s="1764"/>
      <c r="V102" s="1764"/>
      <c r="W102" s="1353"/>
      <c r="Y102" s="1184"/>
      <c r="Z102" s="1184"/>
      <c r="AA102" s="1184"/>
      <c r="AB102" s="1184"/>
      <c r="AC102" s="1184"/>
      <c r="AD102" s="1184"/>
      <c r="AE102" s="1184"/>
      <c r="AF102" s="1184"/>
      <c r="AG102" s="1184"/>
      <c r="AH102" s="1184"/>
      <c r="AI102" s="1184"/>
      <c r="AJ102" s="1184"/>
      <c r="AK102" s="1184"/>
      <c r="AL102" s="1771"/>
      <c r="AM102" s="1771"/>
      <c r="AN102" s="1771"/>
      <c r="AO102" s="1771"/>
      <c r="AP102" s="1771"/>
      <c r="AQ102" s="1771"/>
    </row>
    <row r="103" spans="1:43" ht="17.25" customHeight="1">
      <c r="A103" s="1758"/>
      <c r="B103" s="1771"/>
      <c r="C103" s="1763"/>
      <c r="D103" s="7589"/>
      <c r="E103" s="7590"/>
      <c r="F103" s="7578"/>
      <c r="G103" s="7592"/>
      <c r="H103" s="7574"/>
      <c r="I103" s="7574"/>
      <c r="J103" s="7613"/>
      <c r="K103" s="7545"/>
      <c r="L103" s="236"/>
      <c r="M103" s="237"/>
      <c r="N103" s="237" t="s">
        <v>326</v>
      </c>
      <c r="O103" s="237"/>
      <c r="P103" s="237"/>
      <c r="Q103" s="237"/>
      <c r="R103" s="237"/>
      <c r="S103" s="1764"/>
      <c r="T103" s="1764"/>
      <c r="U103" s="1764"/>
      <c r="V103" s="1764"/>
      <c r="W103" s="238"/>
      <c r="Y103" s="1184"/>
      <c r="Z103" s="1184"/>
      <c r="AA103" s="1184"/>
      <c r="AB103" s="1184"/>
      <c r="AC103" s="1184"/>
      <c r="AD103" s="1184"/>
      <c r="AE103" s="1184"/>
      <c r="AF103" s="1184"/>
      <c r="AG103" s="1184"/>
      <c r="AH103" s="1184"/>
      <c r="AI103" s="1184"/>
      <c r="AJ103" s="1184"/>
      <c r="AK103" s="1184"/>
      <c r="AL103" s="1771"/>
      <c r="AM103" s="1771"/>
      <c r="AN103" s="1771"/>
      <c r="AO103" s="1771"/>
      <c r="AP103" s="1771"/>
      <c r="AQ103" s="1771"/>
    </row>
    <row r="104" spans="1:43" ht="17.25" customHeight="1">
      <c r="A104" s="1758"/>
      <c r="B104" s="1771"/>
      <c r="C104" s="1760"/>
      <c r="D104" s="7589"/>
      <c r="E104" s="7590"/>
      <c r="F104" s="7578"/>
      <c r="G104" s="7592"/>
      <c r="H104" s="7612" t="s">
        <v>101</v>
      </c>
      <c r="I104" s="7612" t="s">
        <v>102</v>
      </c>
      <c r="J104" s="7611" t="s">
        <v>372</v>
      </c>
      <c r="K104" s="7614" t="s">
        <v>60</v>
      </c>
      <c r="L104" s="7541"/>
      <c r="M104" s="7541" t="s">
        <v>97</v>
      </c>
      <c r="N104" s="7616" t="str">
        <f>IF(Z104="","",INDEX(TERRITORY_MR_LIST,MATCH(Z104,TERRITORY_LIST_ID,0)))</f>
        <v>Территория 7</v>
      </c>
      <c r="O104" s="7614" t="s">
        <v>55</v>
      </c>
      <c r="P104" s="7541"/>
      <c r="Q104" s="7541" t="s">
        <v>97</v>
      </c>
      <c r="R104" s="7618" t="s">
        <v>24</v>
      </c>
      <c r="S104" s="7610" t="s">
        <v>55</v>
      </c>
      <c r="T104" s="1722"/>
      <c r="U104" s="1722" t="s">
        <v>97</v>
      </c>
      <c r="V104" s="1354"/>
      <c r="W104" s="7611"/>
      <c r="Y104" s="1191"/>
      <c r="Z104" s="1191" t="s">
        <v>219</v>
      </c>
      <c r="AA104" s="1191"/>
      <c r="AB104" s="1191"/>
      <c r="AC104" s="1191" t="s">
        <v>321</v>
      </c>
      <c r="AD104" s="1191" t="s">
        <v>373</v>
      </c>
      <c r="AE104" s="1191" t="s">
        <v>374</v>
      </c>
      <c r="AF104" s="1191" t="s">
        <v>375</v>
      </c>
      <c r="AG104" s="1191" t="s">
        <v>376</v>
      </c>
      <c r="AH104" s="1191" t="str">
        <f>IF($E$64=0,"",$E$64)</f>
        <v>Тариф на питьевую воду (питьевое водоснабжение)</v>
      </c>
      <c r="AI104" s="1191" t="str">
        <f>IF($G$64=0,"",$G$64)</f>
        <v>Холодное водоснабжение. Питьевая вода</v>
      </c>
      <c r="AJ104" s="1191" t="str">
        <f>IF($J$104=0,"",$J$104)</f>
        <v>Тарифы на питьевую воду для потребителей, присоединенных к централизованным системам водоснабжения села Гофицкого Петровского муниципального округа</v>
      </c>
      <c r="AK104" s="1191" t="str">
        <f>IF($K$104="нет","без дифференциации",IF($N$104=0,"",$N$104))</f>
        <v>Территория 7</v>
      </c>
      <c r="AL104" s="1762" t="str">
        <f>IF($O$104="нет","без дифференциации",IF($R$104=0,"",$R$104))</f>
        <v>без дифференциации</v>
      </c>
      <c r="AM104" s="1762"/>
      <c r="AN104" s="1191" t="str">
        <f>$I$104</f>
        <v>11</v>
      </c>
      <c r="AO104" s="1191" t="str">
        <f>$I$104&amp;"."&amp;$M$104</f>
        <v>11.1</v>
      </c>
      <c r="AP104" s="1191" t="str">
        <f>$I$104&amp;"."&amp;$M$104&amp;"."&amp;$Q$104</f>
        <v>11.1.1</v>
      </c>
      <c r="AQ104" s="1191"/>
    </row>
    <row r="105" spans="1:43" ht="17.25" customHeight="1">
      <c r="A105" s="1758"/>
      <c r="B105" s="1771"/>
      <c r="C105" s="1763"/>
      <c r="D105" s="7589"/>
      <c r="E105" s="7590"/>
      <c r="F105" s="7578"/>
      <c r="G105" s="7592"/>
      <c r="H105" s="7612"/>
      <c r="I105" s="7612"/>
      <c r="J105" s="7611"/>
      <c r="K105" s="7615"/>
      <c r="L105" s="7541"/>
      <c r="M105" s="7541"/>
      <c r="N105" s="7616"/>
      <c r="O105" s="7615"/>
      <c r="P105" s="7541"/>
      <c r="Q105" s="7541"/>
      <c r="R105" s="7618" t="s">
        <v>24</v>
      </c>
      <c r="S105" s="7610"/>
      <c r="T105" s="1355"/>
      <c r="U105" s="1356"/>
      <c r="V105" s="1356"/>
      <c r="W105" s="7611"/>
      <c r="Y105" s="1184"/>
      <c r="Z105" s="1184"/>
      <c r="AA105" s="1184"/>
      <c r="AB105" s="1184"/>
      <c r="AC105" s="1184"/>
      <c r="AD105" s="1184"/>
      <c r="AE105" s="1184"/>
      <c r="AF105" s="1184"/>
      <c r="AG105" s="1184"/>
      <c r="AH105" s="1184"/>
      <c r="AI105" s="1184"/>
      <c r="AJ105" s="1184"/>
      <c r="AK105" s="1184"/>
      <c r="AL105" s="1771"/>
      <c r="AM105" s="1771"/>
      <c r="AN105" s="1771"/>
      <c r="AO105" s="1771"/>
      <c r="AP105" s="1771"/>
      <c r="AQ105" s="1771"/>
    </row>
    <row r="106" spans="1:43" ht="17.25" customHeight="1">
      <c r="A106" s="1758"/>
      <c r="B106" s="1771"/>
      <c r="C106" s="1763"/>
      <c r="D106" s="7589"/>
      <c r="E106" s="7590"/>
      <c r="F106" s="7578"/>
      <c r="G106" s="7592"/>
      <c r="H106" s="7574"/>
      <c r="I106" s="7574"/>
      <c r="J106" s="7613"/>
      <c r="K106" s="7615"/>
      <c r="L106" s="7574"/>
      <c r="M106" s="7574"/>
      <c r="N106" s="7617"/>
      <c r="O106" s="7545"/>
      <c r="P106" s="236"/>
      <c r="Q106" s="237"/>
      <c r="R106" s="237" t="s">
        <v>325</v>
      </c>
      <c r="S106" s="1764"/>
      <c r="T106" s="1764"/>
      <c r="U106" s="1764"/>
      <c r="V106" s="1764"/>
      <c r="W106" s="1353"/>
      <c r="Y106" s="1184"/>
      <c r="Z106" s="1184"/>
      <c r="AA106" s="1184"/>
      <c r="AB106" s="1184"/>
      <c r="AC106" s="1184"/>
      <c r="AD106" s="1184"/>
      <c r="AE106" s="1184"/>
      <c r="AF106" s="1184"/>
      <c r="AG106" s="1184"/>
      <c r="AH106" s="1184"/>
      <c r="AI106" s="1184"/>
      <c r="AJ106" s="1184"/>
      <c r="AK106" s="1184"/>
      <c r="AL106" s="1771"/>
      <c r="AM106" s="1771"/>
      <c r="AN106" s="1771"/>
      <c r="AO106" s="1771"/>
      <c r="AP106" s="1771"/>
      <c r="AQ106" s="1771"/>
    </row>
    <row r="107" spans="1:43" ht="17.25" customHeight="1">
      <c r="A107" s="1758"/>
      <c r="B107" s="1771"/>
      <c r="C107" s="1763"/>
      <c r="D107" s="7589"/>
      <c r="E107" s="7590"/>
      <c r="F107" s="7578"/>
      <c r="G107" s="7592"/>
      <c r="H107" s="7574"/>
      <c r="I107" s="7574"/>
      <c r="J107" s="7613"/>
      <c r="K107" s="7545"/>
      <c r="L107" s="236"/>
      <c r="M107" s="237"/>
      <c r="N107" s="237" t="s">
        <v>326</v>
      </c>
      <c r="O107" s="237"/>
      <c r="P107" s="237"/>
      <c r="Q107" s="237"/>
      <c r="R107" s="237"/>
      <c r="S107" s="1764"/>
      <c r="T107" s="1764"/>
      <c r="U107" s="1764"/>
      <c r="V107" s="1764"/>
      <c r="W107" s="238"/>
      <c r="Y107" s="1184"/>
      <c r="Z107" s="1184"/>
      <c r="AA107" s="1184"/>
      <c r="AB107" s="1184"/>
      <c r="AC107" s="1184"/>
      <c r="AD107" s="1184"/>
      <c r="AE107" s="1184"/>
      <c r="AF107" s="1184"/>
      <c r="AG107" s="1184"/>
      <c r="AH107" s="1184"/>
      <c r="AI107" s="1184"/>
      <c r="AJ107" s="1184"/>
      <c r="AK107" s="1184"/>
      <c r="AL107" s="1771"/>
      <c r="AM107" s="1771"/>
      <c r="AN107" s="1771"/>
      <c r="AO107" s="1771"/>
      <c r="AP107" s="1771"/>
      <c r="AQ107" s="1771"/>
    </row>
    <row r="108" spans="1:43" ht="17.25" customHeight="1">
      <c r="A108" s="1758"/>
      <c r="B108" s="1771"/>
      <c r="C108" s="1760"/>
      <c r="D108" s="7589"/>
      <c r="E108" s="7590"/>
      <c r="F108" s="7578"/>
      <c r="G108" s="7592"/>
      <c r="H108" s="7612" t="s">
        <v>101</v>
      </c>
      <c r="I108" s="7612" t="s">
        <v>136</v>
      </c>
      <c r="J108" s="7611" t="s">
        <v>377</v>
      </c>
      <c r="K108" s="7614" t="s">
        <v>60</v>
      </c>
      <c r="L108" s="7541"/>
      <c r="M108" s="7541" t="s">
        <v>97</v>
      </c>
      <c r="N108" s="7616" t="str">
        <f>IF(Z108="","",INDEX(TERRITORY_MR_LIST,MATCH(Z108,TERRITORY_LIST_ID,0)))</f>
        <v>Территория 7</v>
      </c>
      <c r="O108" s="7614" t="s">
        <v>55</v>
      </c>
      <c r="P108" s="7541"/>
      <c r="Q108" s="7541" t="s">
        <v>97</v>
      </c>
      <c r="R108" s="7618" t="s">
        <v>24</v>
      </c>
      <c r="S108" s="7610" t="s">
        <v>55</v>
      </c>
      <c r="T108" s="1722"/>
      <c r="U108" s="1722" t="s">
        <v>97</v>
      </c>
      <c r="V108" s="1354"/>
      <c r="W108" s="7611"/>
      <c r="Y108" s="1191"/>
      <c r="Z108" s="1191" t="s">
        <v>219</v>
      </c>
      <c r="AA108" s="1191"/>
      <c r="AB108" s="1191"/>
      <c r="AC108" s="1191" t="s">
        <v>321</v>
      </c>
      <c r="AD108" s="1191" t="s">
        <v>378</v>
      </c>
      <c r="AE108" s="1191" t="s">
        <v>379</v>
      </c>
      <c r="AF108" s="1191" t="s">
        <v>380</v>
      </c>
      <c r="AG108" s="1191" t="s">
        <v>381</v>
      </c>
      <c r="AH108" s="1191" t="str">
        <f>IF($E$64=0,"",$E$64)</f>
        <v>Тариф на питьевую воду (питьевое водоснабжение)</v>
      </c>
      <c r="AI108" s="1191" t="str">
        <f>IF($G$64=0,"",$G$64)</f>
        <v>Холодное водоснабжение. Питьевая вода</v>
      </c>
      <c r="AJ108" s="1191" t="str">
        <f>IF($J$108=0,"",$J$108)</f>
        <v>Тарифы на питьевую воду для потребителей, присоединенных к централизованным системам водоснабжения села Донская Балка Петровского муниципального округа</v>
      </c>
      <c r="AK108" s="1191" t="str">
        <f>IF($K$108="нет","без дифференциации",IF($N$108=0,"",$N$108))</f>
        <v>Территория 7</v>
      </c>
      <c r="AL108" s="1762" t="str">
        <f>IF($O$108="нет","без дифференциации",IF($R$108=0,"",$R$108))</f>
        <v>без дифференциации</v>
      </c>
      <c r="AM108" s="1762"/>
      <c r="AN108" s="1191" t="str">
        <f>$I$108</f>
        <v>12</v>
      </c>
      <c r="AO108" s="1191" t="str">
        <f>$I$108&amp;"."&amp;$M$108</f>
        <v>12.1</v>
      </c>
      <c r="AP108" s="1191" t="str">
        <f>$I$108&amp;"."&amp;$M$108&amp;"."&amp;$Q$108</f>
        <v>12.1.1</v>
      </c>
      <c r="AQ108" s="1191"/>
    </row>
    <row r="109" spans="1:43" ht="17.25" customHeight="1">
      <c r="A109" s="1758"/>
      <c r="B109" s="1771"/>
      <c r="C109" s="1763"/>
      <c r="D109" s="7589"/>
      <c r="E109" s="7590"/>
      <c r="F109" s="7578"/>
      <c r="G109" s="7592"/>
      <c r="H109" s="7612"/>
      <c r="I109" s="7612"/>
      <c r="J109" s="7611"/>
      <c r="K109" s="7615"/>
      <c r="L109" s="7541"/>
      <c r="M109" s="7541"/>
      <c r="N109" s="7616"/>
      <c r="O109" s="7615"/>
      <c r="P109" s="7541"/>
      <c r="Q109" s="7541"/>
      <c r="R109" s="7618" t="s">
        <v>24</v>
      </c>
      <c r="S109" s="7610"/>
      <c r="T109" s="1355"/>
      <c r="U109" s="1356"/>
      <c r="V109" s="1356"/>
      <c r="W109" s="7611"/>
      <c r="Y109" s="1184"/>
      <c r="Z109" s="1184"/>
      <c r="AA109" s="1184"/>
      <c r="AB109" s="1184"/>
      <c r="AC109" s="1184"/>
      <c r="AD109" s="1184"/>
      <c r="AE109" s="1184"/>
      <c r="AF109" s="1184"/>
      <c r="AG109" s="1184"/>
      <c r="AH109" s="1184"/>
      <c r="AI109" s="1184"/>
      <c r="AJ109" s="1184"/>
      <c r="AK109" s="1184"/>
      <c r="AL109" s="1771"/>
      <c r="AM109" s="1771"/>
      <c r="AN109" s="1771"/>
      <c r="AO109" s="1771"/>
      <c r="AP109" s="1771"/>
      <c r="AQ109" s="1771"/>
    </row>
    <row r="110" spans="1:43" ht="17.25" customHeight="1">
      <c r="A110" s="1758"/>
      <c r="B110" s="1771"/>
      <c r="C110" s="1763"/>
      <c r="D110" s="7589"/>
      <c r="E110" s="7590"/>
      <c r="F110" s="7578"/>
      <c r="G110" s="7592"/>
      <c r="H110" s="7574"/>
      <c r="I110" s="7574"/>
      <c r="J110" s="7613"/>
      <c r="K110" s="7615"/>
      <c r="L110" s="7574"/>
      <c r="M110" s="7574"/>
      <c r="N110" s="7617"/>
      <c r="O110" s="7545"/>
      <c r="P110" s="236"/>
      <c r="Q110" s="237"/>
      <c r="R110" s="237" t="s">
        <v>325</v>
      </c>
      <c r="S110" s="1764"/>
      <c r="T110" s="1764"/>
      <c r="U110" s="1764"/>
      <c r="V110" s="1764"/>
      <c r="W110" s="1353"/>
      <c r="Y110" s="1184"/>
      <c r="Z110" s="1184"/>
      <c r="AA110" s="1184"/>
      <c r="AB110" s="1184"/>
      <c r="AC110" s="1184"/>
      <c r="AD110" s="1184"/>
      <c r="AE110" s="1184"/>
      <c r="AF110" s="1184"/>
      <c r="AG110" s="1184"/>
      <c r="AH110" s="1184"/>
      <c r="AI110" s="1184"/>
      <c r="AJ110" s="1184"/>
      <c r="AK110" s="1184"/>
      <c r="AL110" s="1771"/>
      <c r="AM110" s="1771"/>
      <c r="AN110" s="1771"/>
      <c r="AO110" s="1771"/>
      <c r="AP110" s="1771"/>
      <c r="AQ110" s="1771"/>
    </row>
    <row r="111" spans="1:43" ht="17.25" customHeight="1">
      <c r="A111" s="1758"/>
      <c r="B111" s="1771"/>
      <c r="C111" s="1763"/>
      <c r="D111" s="7589"/>
      <c r="E111" s="7590"/>
      <c r="F111" s="7578"/>
      <c r="G111" s="7592"/>
      <c r="H111" s="7574"/>
      <c r="I111" s="7574"/>
      <c r="J111" s="7613"/>
      <c r="K111" s="7545"/>
      <c r="L111" s="236"/>
      <c r="M111" s="237"/>
      <c r="N111" s="237" t="s">
        <v>326</v>
      </c>
      <c r="O111" s="237"/>
      <c r="P111" s="237"/>
      <c r="Q111" s="237"/>
      <c r="R111" s="237"/>
      <c r="S111" s="1764"/>
      <c r="T111" s="1764"/>
      <c r="U111" s="1764"/>
      <c r="V111" s="1764"/>
      <c r="W111" s="238"/>
      <c r="Y111" s="1184"/>
      <c r="Z111" s="1184"/>
      <c r="AA111" s="1184"/>
      <c r="AB111" s="1184"/>
      <c r="AC111" s="1184"/>
      <c r="AD111" s="1184"/>
      <c r="AE111" s="1184"/>
      <c r="AF111" s="1184"/>
      <c r="AG111" s="1184"/>
      <c r="AH111" s="1184"/>
      <c r="AI111" s="1184"/>
      <c r="AJ111" s="1184"/>
      <c r="AK111" s="1184"/>
      <c r="AL111" s="1771"/>
      <c r="AM111" s="1771"/>
      <c r="AN111" s="1771"/>
      <c r="AO111" s="1771"/>
      <c r="AP111" s="1771"/>
      <c r="AQ111" s="1771"/>
    </row>
    <row r="112" spans="1:43" ht="17.25" customHeight="1">
      <c r="A112" s="1758"/>
      <c r="B112" s="1771"/>
      <c r="C112" s="1760"/>
      <c r="D112" s="7589"/>
      <c r="E112" s="7590"/>
      <c r="F112" s="7578"/>
      <c r="G112" s="7592"/>
      <c r="H112" s="7612" t="s">
        <v>101</v>
      </c>
      <c r="I112" s="7612" t="s">
        <v>140</v>
      </c>
      <c r="J112" s="7611" t="s">
        <v>382</v>
      </c>
      <c r="K112" s="7614" t="s">
        <v>60</v>
      </c>
      <c r="L112" s="7541"/>
      <c r="M112" s="7541" t="s">
        <v>97</v>
      </c>
      <c r="N112" s="7616" t="str">
        <f>IF(Z112="","",INDEX(TERRITORY_MR_LIST,MATCH(Z112,TERRITORY_LIST_ID,0)))</f>
        <v>Территория 7</v>
      </c>
      <c r="O112" s="7614" t="s">
        <v>55</v>
      </c>
      <c r="P112" s="7541"/>
      <c r="Q112" s="7541" t="s">
        <v>97</v>
      </c>
      <c r="R112" s="7618" t="s">
        <v>24</v>
      </c>
      <c r="S112" s="7610" t="s">
        <v>55</v>
      </c>
      <c r="T112" s="1722"/>
      <c r="U112" s="1722" t="s">
        <v>97</v>
      </c>
      <c r="V112" s="1354"/>
      <c r="W112" s="7611"/>
      <c r="Y112" s="1191"/>
      <c r="Z112" s="1191" t="s">
        <v>219</v>
      </c>
      <c r="AA112" s="1191"/>
      <c r="AB112" s="1191"/>
      <c r="AC112" s="1191" t="s">
        <v>321</v>
      </c>
      <c r="AD112" s="1191" t="s">
        <v>383</v>
      </c>
      <c r="AE112" s="1191" t="s">
        <v>384</v>
      </c>
      <c r="AF112" s="1191" t="s">
        <v>385</v>
      </c>
      <c r="AG112" s="1191" t="s">
        <v>386</v>
      </c>
      <c r="AH112" s="1191" t="str">
        <f>IF($E$64=0,"",$E$64)</f>
        <v>Тариф на питьевую воду (питьевое водоснабжение)</v>
      </c>
      <c r="AI112" s="1191" t="str">
        <f>IF($G$64=0,"",$G$64)</f>
        <v>Холодное водоснабжение. Питьевая вода</v>
      </c>
      <c r="AJ112" s="1191" t="str">
        <f>IF($J$112=0,"",$J$112)</f>
        <v>Тарифы на питьевую воду для потребителей, присоединенных к централизованным системам водоснабжения села Константиновского и села Кугуты Петровского муниципального округа, ранее эксплуатируемым ГУП СК "Пчелка"</v>
      </c>
      <c r="AK112" s="1191" t="str">
        <f>IF($K$112="нет","без дифференциации",IF($N$112=0,"",$N$112))</f>
        <v>Территория 7</v>
      </c>
      <c r="AL112" s="1762" t="str">
        <f>IF($O$112="нет","без дифференциации",IF($R$112=0,"",$R$112))</f>
        <v>без дифференциации</v>
      </c>
      <c r="AM112" s="1762"/>
      <c r="AN112" s="1191" t="str">
        <f>$I$112</f>
        <v>13</v>
      </c>
      <c r="AO112" s="1191" t="str">
        <f>$I$112&amp;"."&amp;$M$112</f>
        <v>13.1</v>
      </c>
      <c r="AP112" s="1191" t="str">
        <f>$I$112&amp;"."&amp;$M$112&amp;"."&amp;$Q$112</f>
        <v>13.1.1</v>
      </c>
      <c r="AQ112" s="1191"/>
    </row>
    <row r="113" spans="1:43" ht="17.25" customHeight="1">
      <c r="A113" s="1758"/>
      <c r="B113" s="1771"/>
      <c r="C113" s="1763"/>
      <c r="D113" s="7589"/>
      <c r="E113" s="7590"/>
      <c r="F113" s="7578"/>
      <c r="G113" s="7592"/>
      <c r="H113" s="7612"/>
      <c r="I113" s="7612"/>
      <c r="J113" s="7611"/>
      <c r="K113" s="7615"/>
      <c r="L113" s="7541"/>
      <c r="M113" s="7541"/>
      <c r="N113" s="7616"/>
      <c r="O113" s="7615"/>
      <c r="P113" s="7541"/>
      <c r="Q113" s="7541"/>
      <c r="R113" s="7618" t="s">
        <v>24</v>
      </c>
      <c r="S113" s="7610"/>
      <c r="T113" s="1355"/>
      <c r="U113" s="1356"/>
      <c r="V113" s="1356"/>
      <c r="W113" s="7611"/>
      <c r="Y113" s="1184"/>
      <c r="Z113" s="1184"/>
      <c r="AA113" s="1184"/>
      <c r="AB113" s="1184"/>
      <c r="AC113" s="1184"/>
      <c r="AD113" s="1184"/>
      <c r="AE113" s="1184"/>
      <c r="AF113" s="1184"/>
      <c r="AG113" s="1184"/>
      <c r="AH113" s="1184"/>
      <c r="AI113" s="1184"/>
      <c r="AJ113" s="1184"/>
      <c r="AK113" s="1184"/>
      <c r="AL113" s="1771"/>
      <c r="AM113" s="1771"/>
      <c r="AN113" s="1771"/>
      <c r="AO113" s="1771"/>
      <c r="AP113" s="1771"/>
      <c r="AQ113" s="1771"/>
    </row>
    <row r="114" spans="1:43" ht="17.25" customHeight="1">
      <c r="A114" s="1758"/>
      <c r="B114" s="1771"/>
      <c r="C114" s="1763"/>
      <c r="D114" s="7589"/>
      <c r="E114" s="7590"/>
      <c r="F114" s="7578"/>
      <c r="G114" s="7592"/>
      <c r="H114" s="7574"/>
      <c r="I114" s="7574"/>
      <c r="J114" s="7613"/>
      <c r="K114" s="7615"/>
      <c r="L114" s="7574"/>
      <c r="M114" s="7574"/>
      <c r="N114" s="7617"/>
      <c r="O114" s="7545"/>
      <c r="P114" s="236"/>
      <c r="Q114" s="237"/>
      <c r="R114" s="237" t="s">
        <v>325</v>
      </c>
      <c r="S114" s="1764"/>
      <c r="T114" s="1764"/>
      <c r="U114" s="1764"/>
      <c r="V114" s="1764"/>
      <c r="W114" s="1353"/>
      <c r="Y114" s="1184"/>
      <c r="Z114" s="1184"/>
      <c r="AA114" s="1184"/>
      <c r="AB114" s="1184"/>
      <c r="AC114" s="1184"/>
      <c r="AD114" s="1184"/>
      <c r="AE114" s="1184"/>
      <c r="AF114" s="1184"/>
      <c r="AG114" s="1184"/>
      <c r="AH114" s="1184"/>
      <c r="AI114" s="1184"/>
      <c r="AJ114" s="1184"/>
      <c r="AK114" s="1184"/>
      <c r="AL114" s="1771"/>
      <c r="AM114" s="1771"/>
      <c r="AN114" s="1771"/>
      <c r="AO114" s="1771"/>
      <c r="AP114" s="1771"/>
      <c r="AQ114" s="1771"/>
    </row>
    <row r="115" spans="1:43" ht="17.25" customHeight="1">
      <c r="A115" s="1758"/>
      <c r="B115" s="1771"/>
      <c r="C115" s="1763"/>
      <c r="D115" s="7589"/>
      <c r="E115" s="7590"/>
      <c r="F115" s="7578"/>
      <c r="G115" s="7592"/>
      <c r="H115" s="7574"/>
      <c r="I115" s="7574"/>
      <c r="J115" s="7613"/>
      <c r="K115" s="7545"/>
      <c r="L115" s="236"/>
      <c r="M115" s="237"/>
      <c r="N115" s="237" t="s">
        <v>326</v>
      </c>
      <c r="O115" s="237"/>
      <c r="P115" s="237"/>
      <c r="Q115" s="237"/>
      <c r="R115" s="237"/>
      <c r="S115" s="1764"/>
      <c r="T115" s="1764"/>
      <c r="U115" s="1764"/>
      <c r="V115" s="1764"/>
      <c r="W115" s="238"/>
      <c r="Y115" s="1184"/>
      <c r="Z115" s="1184"/>
      <c r="AA115" s="1184"/>
      <c r="AB115" s="1184"/>
      <c r="AC115" s="1184"/>
      <c r="AD115" s="1184"/>
      <c r="AE115" s="1184"/>
      <c r="AF115" s="1184"/>
      <c r="AG115" s="1184"/>
      <c r="AH115" s="1184"/>
      <c r="AI115" s="1184"/>
      <c r="AJ115" s="1184"/>
      <c r="AK115" s="1184"/>
      <c r="AL115" s="1771"/>
      <c r="AM115" s="1771"/>
      <c r="AN115" s="1771"/>
      <c r="AO115" s="1771"/>
      <c r="AP115" s="1771"/>
      <c r="AQ115" s="1771"/>
    </row>
    <row r="116" spans="1:43" ht="17.25" customHeight="1">
      <c r="A116" s="1758"/>
      <c r="B116" s="1771"/>
      <c r="C116" s="1760"/>
      <c r="D116" s="7589"/>
      <c r="E116" s="7590"/>
      <c r="F116" s="7578"/>
      <c r="G116" s="7592"/>
      <c r="H116" s="7612" t="s">
        <v>101</v>
      </c>
      <c r="I116" s="7612" t="s">
        <v>144</v>
      </c>
      <c r="J116" s="7611" t="s">
        <v>387</v>
      </c>
      <c r="K116" s="7614" t="s">
        <v>60</v>
      </c>
      <c r="L116" s="7541"/>
      <c r="M116" s="7541" t="s">
        <v>97</v>
      </c>
      <c r="N116" s="7616" t="str">
        <f>IF(Z116="","",INDEX(TERRITORY_MR_LIST,MATCH(Z116,TERRITORY_LIST_ID,0)))</f>
        <v>Территория 7</v>
      </c>
      <c r="O116" s="7614" t="s">
        <v>55</v>
      </c>
      <c r="P116" s="7541"/>
      <c r="Q116" s="7541" t="s">
        <v>97</v>
      </c>
      <c r="R116" s="7618" t="s">
        <v>24</v>
      </c>
      <c r="S116" s="7610" t="s">
        <v>55</v>
      </c>
      <c r="T116" s="1722"/>
      <c r="U116" s="1722" t="s">
        <v>97</v>
      </c>
      <c r="V116" s="1354"/>
      <c r="W116" s="7611"/>
      <c r="Y116" s="1191"/>
      <c r="Z116" s="1191" t="s">
        <v>219</v>
      </c>
      <c r="AA116" s="1191"/>
      <c r="AB116" s="1191"/>
      <c r="AC116" s="1191" t="s">
        <v>321</v>
      </c>
      <c r="AD116" s="1191" t="s">
        <v>388</v>
      </c>
      <c r="AE116" s="1191" t="s">
        <v>389</v>
      </c>
      <c r="AF116" s="1191" t="s">
        <v>390</v>
      </c>
      <c r="AG116" s="1191" t="s">
        <v>391</v>
      </c>
      <c r="AH116" s="1191" t="str">
        <f>IF($E$64=0,"",$E$64)</f>
        <v>Тариф на питьевую воду (питьевое водоснабжение)</v>
      </c>
      <c r="AI116" s="1191" t="str">
        <f>IF($G$64=0,"",$G$64)</f>
        <v>Холодное водоснабжение. Питьевая вода</v>
      </c>
      <c r="AJ116" s="1191" t="str">
        <f>IF($J$116=0,"",$J$116)</f>
        <v>Тарифы на питьевую воду для потребителей, присоединенных к централизованным системам водоснабжения села Просянки Петровского муниципального округа</v>
      </c>
      <c r="AK116" s="1191" t="str">
        <f>IF($K$116="нет","без дифференциации",IF($N$116=0,"",$N$116))</f>
        <v>Территория 7</v>
      </c>
      <c r="AL116" s="1762" t="str">
        <f>IF($O$116="нет","без дифференциации",IF($R$116=0,"",$R$116))</f>
        <v>без дифференциации</v>
      </c>
      <c r="AM116" s="1762"/>
      <c r="AN116" s="1191" t="str">
        <f>$I$116</f>
        <v>14</v>
      </c>
      <c r="AO116" s="1191" t="str">
        <f>$I$116&amp;"."&amp;$M$116</f>
        <v>14.1</v>
      </c>
      <c r="AP116" s="1191" t="str">
        <f>$I$116&amp;"."&amp;$M$116&amp;"."&amp;$Q$116</f>
        <v>14.1.1</v>
      </c>
      <c r="AQ116" s="1191"/>
    </row>
    <row r="117" spans="1:43" ht="17.25" customHeight="1">
      <c r="A117" s="1758"/>
      <c r="B117" s="1771"/>
      <c r="C117" s="1763"/>
      <c r="D117" s="7589"/>
      <c r="E117" s="7590"/>
      <c r="F117" s="7578"/>
      <c r="G117" s="7592"/>
      <c r="H117" s="7612"/>
      <c r="I117" s="7612"/>
      <c r="J117" s="7611"/>
      <c r="K117" s="7615"/>
      <c r="L117" s="7541"/>
      <c r="M117" s="7541"/>
      <c r="N117" s="7616"/>
      <c r="O117" s="7615"/>
      <c r="P117" s="7541"/>
      <c r="Q117" s="7541"/>
      <c r="R117" s="7618" t="s">
        <v>24</v>
      </c>
      <c r="S117" s="7610"/>
      <c r="T117" s="1355"/>
      <c r="U117" s="1356"/>
      <c r="V117" s="1356"/>
      <c r="W117" s="7611"/>
      <c r="Y117" s="1184"/>
      <c r="Z117" s="1184"/>
      <c r="AA117" s="1184"/>
      <c r="AB117" s="1184"/>
      <c r="AC117" s="1184"/>
      <c r="AD117" s="1184"/>
      <c r="AE117" s="1184"/>
      <c r="AF117" s="1184"/>
      <c r="AG117" s="1184"/>
      <c r="AH117" s="1184"/>
      <c r="AI117" s="1184"/>
      <c r="AJ117" s="1184"/>
      <c r="AK117" s="1184"/>
      <c r="AL117" s="1771"/>
      <c r="AM117" s="1771"/>
      <c r="AN117" s="1771"/>
      <c r="AO117" s="1771"/>
      <c r="AP117" s="1771"/>
      <c r="AQ117" s="1771"/>
    </row>
    <row r="118" spans="1:43" ht="17.25" customHeight="1">
      <c r="A118" s="1758"/>
      <c r="B118" s="1771"/>
      <c r="C118" s="1763"/>
      <c r="D118" s="7589"/>
      <c r="E118" s="7590"/>
      <c r="F118" s="7578"/>
      <c r="G118" s="7592"/>
      <c r="H118" s="7574"/>
      <c r="I118" s="7574"/>
      <c r="J118" s="7613"/>
      <c r="K118" s="7615"/>
      <c r="L118" s="7574"/>
      <c r="M118" s="7574"/>
      <c r="N118" s="7617"/>
      <c r="O118" s="7545"/>
      <c r="P118" s="236"/>
      <c r="Q118" s="237"/>
      <c r="R118" s="237" t="s">
        <v>325</v>
      </c>
      <c r="S118" s="1764"/>
      <c r="T118" s="1764"/>
      <c r="U118" s="1764"/>
      <c r="V118" s="1764"/>
      <c r="W118" s="1353"/>
      <c r="Y118" s="1184"/>
      <c r="Z118" s="1184"/>
      <c r="AA118" s="1184"/>
      <c r="AB118" s="1184"/>
      <c r="AC118" s="1184"/>
      <c r="AD118" s="1184"/>
      <c r="AE118" s="1184"/>
      <c r="AF118" s="1184"/>
      <c r="AG118" s="1184"/>
      <c r="AH118" s="1184"/>
      <c r="AI118" s="1184"/>
      <c r="AJ118" s="1184"/>
      <c r="AK118" s="1184"/>
      <c r="AL118" s="1771"/>
      <c r="AM118" s="1771"/>
      <c r="AN118" s="1771"/>
      <c r="AO118" s="1771"/>
      <c r="AP118" s="1771"/>
      <c r="AQ118" s="1771"/>
    </row>
    <row r="119" spans="1:43" ht="17.25" customHeight="1">
      <c r="A119" s="1758"/>
      <c r="B119" s="1771"/>
      <c r="C119" s="1763"/>
      <c r="D119" s="7589"/>
      <c r="E119" s="7590"/>
      <c r="F119" s="7578"/>
      <c r="G119" s="7592"/>
      <c r="H119" s="7574"/>
      <c r="I119" s="7574"/>
      <c r="J119" s="7613"/>
      <c r="K119" s="7545"/>
      <c r="L119" s="236"/>
      <c r="M119" s="237"/>
      <c r="N119" s="237" t="s">
        <v>326</v>
      </c>
      <c r="O119" s="237"/>
      <c r="P119" s="237"/>
      <c r="Q119" s="237"/>
      <c r="R119" s="237"/>
      <c r="S119" s="1764"/>
      <c r="T119" s="1764"/>
      <c r="U119" s="1764"/>
      <c r="V119" s="1764"/>
      <c r="W119" s="238"/>
      <c r="Y119" s="1184"/>
      <c r="Z119" s="1184"/>
      <c r="AA119" s="1184"/>
      <c r="AB119" s="1184"/>
      <c r="AC119" s="1184"/>
      <c r="AD119" s="1184"/>
      <c r="AE119" s="1184"/>
      <c r="AF119" s="1184"/>
      <c r="AG119" s="1184"/>
      <c r="AH119" s="1184"/>
      <c r="AI119" s="1184"/>
      <c r="AJ119" s="1184"/>
      <c r="AK119" s="1184"/>
      <c r="AL119" s="1771"/>
      <c r="AM119" s="1771"/>
      <c r="AN119" s="1771"/>
      <c r="AO119" s="1771"/>
      <c r="AP119" s="1771"/>
      <c r="AQ119" s="1771"/>
    </row>
    <row r="120" spans="1:43" ht="17.25" customHeight="1">
      <c r="A120" s="1758"/>
      <c r="B120" s="1771"/>
      <c r="C120" s="1760"/>
      <c r="D120" s="7589"/>
      <c r="E120" s="7590"/>
      <c r="F120" s="7578"/>
      <c r="G120" s="7592"/>
      <c r="H120" s="7612" t="s">
        <v>101</v>
      </c>
      <c r="I120" s="7612" t="s">
        <v>148</v>
      </c>
      <c r="J120" s="7611" t="s">
        <v>392</v>
      </c>
      <c r="K120" s="7614" t="s">
        <v>60</v>
      </c>
      <c r="L120" s="7541"/>
      <c r="M120" s="7541" t="s">
        <v>97</v>
      </c>
      <c r="N120" s="7616" t="str">
        <f>IF(Z120="","",INDEX(TERRITORY_MR_LIST,MATCH(Z120,TERRITORY_LIST_ID,0)))</f>
        <v>Территория 7</v>
      </c>
      <c r="O120" s="7614" t="s">
        <v>55</v>
      </c>
      <c r="P120" s="7541"/>
      <c r="Q120" s="7541" t="s">
        <v>97</v>
      </c>
      <c r="R120" s="7618" t="s">
        <v>24</v>
      </c>
      <c r="S120" s="7610" t="s">
        <v>55</v>
      </c>
      <c r="T120" s="1722"/>
      <c r="U120" s="1722" t="s">
        <v>97</v>
      </c>
      <c r="V120" s="1354"/>
      <c r="W120" s="7611"/>
      <c r="Y120" s="1191"/>
      <c r="Z120" s="1191" t="s">
        <v>219</v>
      </c>
      <c r="AA120" s="1191"/>
      <c r="AB120" s="1191"/>
      <c r="AC120" s="1191" t="s">
        <v>321</v>
      </c>
      <c r="AD120" s="1191" t="s">
        <v>393</v>
      </c>
      <c r="AE120" s="1191" t="s">
        <v>394</v>
      </c>
      <c r="AF120" s="1191" t="s">
        <v>395</v>
      </c>
      <c r="AG120" s="1191" t="s">
        <v>396</v>
      </c>
      <c r="AH120" s="1191" t="str">
        <f>IF($E$64=0,"",$E$64)</f>
        <v>Тариф на питьевую воду (питьевое водоснабжение)</v>
      </c>
      <c r="AI120" s="1191" t="str">
        <f>IF($G$64=0,"",$G$64)</f>
        <v>Холодное водоснабжение. Питьевая вода</v>
      </c>
      <c r="AJ120" s="1191" t="str">
        <f>IF($J$120=0,"",$J$120)</f>
        <v>Тарифы на питьевую воду для потребителей, присоединенных к централизованным системам водоснабжения села Сухая Буйвола Петровского муниципального округа</v>
      </c>
      <c r="AK120" s="1191" t="str">
        <f>IF($K$120="нет","без дифференциации",IF($N$120=0,"",$N$120))</f>
        <v>Территория 7</v>
      </c>
      <c r="AL120" s="1762" t="str">
        <f>IF($O$120="нет","без дифференциации",IF($R$120=0,"",$R$120))</f>
        <v>без дифференциации</v>
      </c>
      <c r="AM120" s="1762"/>
      <c r="AN120" s="1191" t="str">
        <f>$I$120</f>
        <v>15</v>
      </c>
      <c r="AO120" s="1191" t="str">
        <f>$I$120&amp;"."&amp;$M$120</f>
        <v>15.1</v>
      </c>
      <c r="AP120" s="1191" t="str">
        <f>$I$120&amp;"."&amp;$M$120&amp;"."&amp;$Q$120</f>
        <v>15.1.1</v>
      </c>
      <c r="AQ120" s="1191"/>
    </row>
    <row r="121" spans="1:43" ht="17.25" customHeight="1">
      <c r="A121" s="1758"/>
      <c r="B121" s="1771"/>
      <c r="C121" s="1763"/>
      <c r="D121" s="7589"/>
      <c r="E121" s="7590"/>
      <c r="F121" s="7578"/>
      <c r="G121" s="7592"/>
      <c r="H121" s="7612"/>
      <c r="I121" s="7612"/>
      <c r="J121" s="7611"/>
      <c r="K121" s="7615"/>
      <c r="L121" s="7541"/>
      <c r="M121" s="7541"/>
      <c r="N121" s="7616"/>
      <c r="O121" s="7615"/>
      <c r="P121" s="7541"/>
      <c r="Q121" s="7541"/>
      <c r="R121" s="7618" t="s">
        <v>24</v>
      </c>
      <c r="S121" s="7610"/>
      <c r="T121" s="1355"/>
      <c r="U121" s="1356"/>
      <c r="V121" s="1356"/>
      <c r="W121" s="7611"/>
      <c r="Y121" s="1184"/>
      <c r="Z121" s="1184"/>
      <c r="AA121" s="1184"/>
      <c r="AB121" s="1184"/>
      <c r="AC121" s="1184"/>
      <c r="AD121" s="1184"/>
      <c r="AE121" s="1184"/>
      <c r="AF121" s="1184"/>
      <c r="AG121" s="1184"/>
      <c r="AH121" s="1184"/>
      <c r="AI121" s="1184"/>
      <c r="AJ121" s="1184"/>
      <c r="AK121" s="1184"/>
      <c r="AL121" s="1771"/>
      <c r="AM121" s="1771"/>
      <c r="AN121" s="1771"/>
      <c r="AO121" s="1771"/>
      <c r="AP121" s="1771"/>
      <c r="AQ121" s="1771"/>
    </row>
    <row r="122" spans="1:43" ht="17.25" customHeight="1">
      <c r="A122" s="1758"/>
      <c r="B122" s="1771"/>
      <c r="C122" s="1763"/>
      <c r="D122" s="7589"/>
      <c r="E122" s="7590"/>
      <c r="F122" s="7578"/>
      <c r="G122" s="7592"/>
      <c r="H122" s="7574"/>
      <c r="I122" s="7574"/>
      <c r="J122" s="7613"/>
      <c r="K122" s="7615"/>
      <c r="L122" s="7574"/>
      <c r="M122" s="7574"/>
      <c r="N122" s="7617"/>
      <c r="O122" s="7545"/>
      <c r="P122" s="236"/>
      <c r="Q122" s="237"/>
      <c r="R122" s="237" t="s">
        <v>325</v>
      </c>
      <c r="S122" s="1764"/>
      <c r="T122" s="1764"/>
      <c r="U122" s="1764"/>
      <c r="V122" s="1764"/>
      <c r="W122" s="1353"/>
      <c r="Y122" s="1184"/>
      <c r="Z122" s="1184"/>
      <c r="AA122" s="1184"/>
      <c r="AB122" s="1184"/>
      <c r="AC122" s="1184"/>
      <c r="AD122" s="1184"/>
      <c r="AE122" s="1184"/>
      <c r="AF122" s="1184"/>
      <c r="AG122" s="1184"/>
      <c r="AH122" s="1184"/>
      <c r="AI122" s="1184"/>
      <c r="AJ122" s="1184"/>
      <c r="AK122" s="1184"/>
      <c r="AL122" s="1771"/>
      <c r="AM122" s="1771"/>
      <c r="AN122" s="1771"/>
      <c r="AO122" s="1771"/>
      <c r="AP122" s="1771"/>
      <c r="AQ122" s="1771"/>
    </row>
    <row r="123" spans="1:43" ht="17.25" customHeight="1">
      <c r="A123" s="1758"/>
      <c r="B123" s="1771"/>
      <c r="C123" s="1763"/>
      <c r="D123" s="7589"/>
      <c r="E123" s="7590"/>
      <c r="F123" s="7578"/>
      <c r="G123" s="7592"/>
      <c r="H123" s="7574"/>
      <c r="I123" s="7574"/>
      <c r="J123" s="7613"/>
      <c r="K123" s="7545"/>
      <c r="L123" s="236"/>
      <c r="M123" s="237"/>
      <c r="N123" s="237" t="s">
        <v>326</v>
      </c>
      <c r="O123" s="237"/>
      <c r="P123" s="237"/>
      <c r="Q123" s="237"/>
      <c r="R123" s="237"/>
      <c r="S123" s="1764"/>
      <c r="T123" s="1764"/>
      <c r="U123" s="1764"/>
      <c r="V123" s="1764"/>
      <c r="W123" s="238"/>
      <c r="Y123" s="1184"/>
      <c r="Z123" s="1184"/>
      <c r="AA123" s="1184"/>
      <c r="AB123" s="1184"/>
      <c r="AC123" s="1184"/>
      <c r="AD123" s="1184"/>
      <c r="AE123" s="1184"/>
      <c r="AF123" s="1184"/>
      <c r="AG123" s="1184"/>
      <c r="AH123" s="1184"/>
      <c r="AI123" s="1184"/>
      <c r="AJ123" s="1184"/>
      <c r="AK123" s="1184"/>
      <c r="AL123" s="1771"/>
      <c r="AM123" s="1771"/>
      <c r="AN123" s="1771"/>
      <c r="AO123" s="1771"/>
      <c r="AP123" s="1771"/>
      <c r="AQ123" s="1771"/>
    </row>
    <row r="124" spans="1:43" ht="17.25" customHeight="1">
      <c r="A124" s="1758"/>
      <c r="B124" s="1771"/>
      <c r="C124" s="1760"/>
      <c r="D124" s="7589"/>
      <c r="E124" s="7590"/>
      <c r="F124" s="7578"/>
      <c r="G124" s="7592"/>
      <c r="H124" s="7612" t="s">
        <v>101</v>
      </c>
      <c r="I124" s="7612" t="s">
        <v>152</v>
      </c>
      <c r="J124" s="7611" t="s">
        <v>397</v>
      </c>
      <c r="K124" s="7614" t="s">
        <v>60</v>
      </c>
      <c r="L124" s="7541"/>
      <c r="M124" s="7541" t="s">
        <v>97</v>
      </c>
      <c r="N124" s="7616" t="str">
        <f>IF(Z124="","",INDEX(TERRITORY_MR_LIST,MATCH(Z124,TERRITORY_LIST_ID,0)))</f>
        <v>Территория 8</v>
      </c>
      <c r="O124" s="7614" t="s">
        <v>55</v>
      </c>
      <c r="P124" s="7541"/>
      <c r="Q124" s="7541" t="s">
        <v>97</v>
      </c>
      <c r="R124" s="7618" t="s">
        <v>24</v>
      </c>
      <c r="S124" s="7610" t="s">
        <v>55</v>
      </c>
      <c r="T124" s="1722"/>
      <c r="U124" s="1722" t="s">
        <v>97</v>
      </c>
      <c r="V124" s="1354"/>
      <c r="W124" s="7611"/>
      <c r="Y124" s="1191"/>
      <c r="Z124" s="1191" t="s">
        <v>220</v>
      </c>
      <c r="AA124" s="1191"/>
      <c r="AB124" s="1191"/>
      <c r="AC124" s="1191" t="s">
        <v>321</v>
      </c>
      <c r="AD124" s="1191" t="s">
        <v>398</v>
      </c>
      <c r="AE124" s="1191" t="s">
        <v>399</v>
      </c>
      <c r="AF124" s="1191" t="s">
        <v>400</v>
      </c>
      <c r="AG124" s="1191" t="s">
        <v>401</v>
      </c>
      <c r="AH124" s="1191" t="str">
        <f>IF($E$64=0,"",$E$64)</f>
        <v>Тариф на питьевую воду (питьевое водоснабжение)</v>
      </c>
      <c r="AI124" s="1191" t="str">
        <f>IF($G$64=0,"",$G$64)</f>
        <v>Холодное водоснабжение. Питьевая вода</v>
      </c>
      <c r="AJ124" s="1191" t="str">
        <f>IF($J$124=0,"",$J$124)</f>
        <v>Тарифы на питьевую воду для потребителей, присоединенных к централизованным системам водоснабжения "водозабор Юца", "станция Расшеватка", города Светлограда Петровского муниципального округа, города Георгиевска и села Краснокумского Георгиевского муниципального округа, ранее эксплуатируемым ОАО "РЖД"</v>
      </c>
      <c r="AK124" s="1191" t="str">
        <f>IF($K$124="нет","без дифференциации",IF($N$124=0,"",$N$124))</f>
        <v>Территория 8</v>
      </c>
      <c r="AL124" s="1762" t="str">
        <f>IF($O$124="нет","без дифференциации",IF($R$124=0,"",$R$124))</f>
        <v>без дифференциации</v>
      </c>
      <c r="AM124" s="1762"/>
      <c r="AN124" s="1191" t="str">
        <f>$I$124</f>
        <v>16</v>
      </c>
      <c r="AO124" s="1191" t="str">
        <f>$I$124&amp;"."&amp;$M$124</f>
        <v>16.1</v>
      </c>
      <c r="AP124" s="1191" t="str">
        <f>$I$124&amp;"."&amp;$M$124&amp;"."&amp;$Q$124</f>
        <v>16.1.1</v>
      </c>
      <c r="AQ124" s="1191"/>
    </row>
    <row r="125" spans="1:43" ht="17.25" customHeight="1">
      <c r="A125" s="1758"/>
      <c r="B125" s="1771"/>
      <c r="C125" s="1763"/>
      <c r="D125" s="7589"/>
      <c r="E125" s="7590"/>
      <c r="F125" s="7578"/>
      <c r="G125" s="7592"/>
      <c r="H125" s="7612"/>
      <c r="I125" s="7612"/>
      <c r="J125" s="7611"/>
      <c r="K125" s="7615"/>
      <c r="L125" s="7541"/>
      <c r="M125" s="7541"/>
      <c r="N125" s="7616"/>
      <c r="O125" s="7615"/>
      <c r="P125" s="7541"/>
      <c r="Q125" s="7541"/>
      <c r="R125" s="7618" t="s">
        <v>24</v>
      </c>
      <c r="S125" s="7610"/>
      <c r="T125" s="1355"/>
      <c r="U125" s="1356"/>
      <c r="V125" s="1356"/>
      <c r="W125" s="7611"/>
      <c r="Y125" s="1184"/>
      <c r="Z125" s="1184"/>
      <c r="AA125" s="1184"/>
      <c r="AB125" s="1184"/>
      <c r="AC125" s="1184"/>
      <c r="AD125" s="1184"/>
      <c r="AE125" s="1184"/>
      <c r="AF125" s="1184"/>
      <c r="AG125" s="1184"/>
      <c r="AH125" s="1184"/>
      <c r="AI125" s="1184"/>
      <c r="AJ125" s="1184"/>
      <c r="AK125" s="1184"/>
      <c r="AL125" s="1771"/>
      <c r="AM125" s="1771"/>
      <c r="AN125" s="1771"/>
      <c r="AO125" s="1771"/>
      <c r="AP125" s="1771"/>
      <c r="AQ125" s="1771"/>
    </row>
    <row r="126" spans="1:43" ht="17.25" customHeight="1">
      <c r="A126" s="1758"/>
      <c r="B126" s="1771"/>
      <c r="C126" s="1763"/>
      <c r="D126" s="7589"/>
      <c r="E126" s="7590"/>
      <c r="F126" s="7578"/>
      <c r="G126" s="7592"/>
      <c r="H126" s="7574"/>
      <c r="I126" s="7574"/>
      <c r="J126" s="7613"/>
      <c r="K126" s="7615"/>
      <c r="L126" s="7574"/>
      <c r="M126" s="7574"/>
      <c r="N126" s="7617"/>
      <c r="O126" s="7545"/>
      <c r="P126" s="236"/>
      <c r="Q126" s="237"/>
      <c r="R126" s="237" t="s">
        <v>325</v>
      </c>
      <c r="S126" s="1764"/>
      <c r="T126" s="1764"/>
      <c r="U126" s="1764"/>
      <c r="V126" s="1764"/>
      <c r="W126" s="1353"/>
      <c r="Y126" s="1184"/>
      <c r="Z126" s="1184"/>
      <c r="AA126" s="1184"/>
      <c r="AB126" s="1184"/>
      <c r="AC126" s="1184"/>
      <c r="AD126" s="1184"/>
      <c r="AE126" s="1184"/>
      <c r="AF126" s="1184"/>
      <c r="AG126" s="1184"/>
      <c r="AH126" s="1184"/>
      <c r="AI126" s="1184"/>
      <c r="AJ126" s="1184"/>
      <c r="AK126" s="1184"/>
      <c r="AL126" s="1771"/>
      <c r="AM126" s="1771"/>
      <c r="AN126" s="1771"/>
      <c r="AO126" s="1771"/>
      <c r="AP126" s="1771"/>
      <c r="AQ126" s="1771"/>
    </row>
    <row r="127" spans="1:43" ht="17.25" customHeight="1">
      <c r="A127" s="1758"/>
      <c r="B127" s="1771"/>
      <c r="C127" s="1763"/>
      <c r="D127" s="7589"/>
      <c r="E127" s="7590"/>
      <c r="F127" s="7578"/>
      <c r="G127" s="7592"/>
      <c r="H127" s="7574"/>
      <c r="I127" s="7574"/>
      <c r="J127" s="7613"/>
      <c r="K127" s="7545"/>
      <c r="L127" s="236"/>
      <c r="M127" s="237"/>
      <c r="N127" s="237" t="s">
        <v>326</v>
      </c>
      <c r="O127" s="237"/>
      <c r="P127" s="237"/>
      <c r="Q127" s="237"/>
      <c r="R127" s="237"/>
      <c r="S127" s="1764"/>
      <c r="T127" s="1764"/>
      <c r="U127" s="1764"/>
      <c r="V127" s="1764"/>
      <c r="W127" s="238"/>
      <c r="Y127" s="1184"/>
      <c r="Z127" s="1184"/>
      <c r="AA127" s="1184"/>
      <c r="AB127" s="1184"/>
      <c r="AC127" s="1184"/>
      <c r="AD127" s="1184"/>
      <c r="AE127" s="1184"/>
      <c r="AF127" s="1184"/>
      <c r="AG127" s="1184"/>
      <c r="AH127" s="1184"/>
      <c r="AI127" s="1184"/>
      <c r="AJ127" s="1184"/>
      <c r="AK127" s="1184"/>
      <c r="AL127" s="1771"/>
      <c r="AM127" s="1771"/>
      <c r="AN127" s="1771"/>
      <c r="AO127" s="1771"/>
      <c r="AP127" s="1771"/>
      <c r="AQ127" s="1771"/>
    </row>
    <row r="128" spans="1:43" s="1771" customFormat="1" ht="17.25" customHeight="1">
      <c r="A128" s="240"/>
      <c r="C128" s="239"/>
      <c r="D128" s="7574"/>
      <c r="E128" s="7576"/>
      <c r="F128" s="7579"/>
      <c r="G128" s="7593"/>
      <c r="H128" s="1849"/>
      <c r="I128" s="1850"/>
      <c r="J128" s="1851" t="s">
        <v>402</v>
      </c>
      <c r="K128" s="1852"/>
      <c r="L128" s="1853"/>
      <c r="M128" s="1854"/>
      <c r="N128" s="1855"/>
      <c r="O128" s="1856"/>
      <c r="P128" s="1857"/>
      <c r="Q128" s="1858"/>
      <c r="R128" s="1859"/>
      <c r="S128" s="1860"/>
      <c r="T128" s="1861"/>
      <c r="U128" s="1862"/>
      <c r="V128" s="1863"/>
      <c r="W128" s="186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row>
    <row r="129" spans="1:43" s="1771" customFormat="1" ht="17.25" customHeight="1">
      <c r="A129" s="240"/>
      <c r="C129" s="126"/>
      <c r="D129" s="7573">
        <v>2</v>
      </c>
      <c r="E129" s="7575" t="s">
        <v>403</v>
      </c>
      <c r="F129" s="7577" t="s">
        <v>55</v>
      </c>
      <c r="G129" s="7575"/>
      <c r="H129" s="7580"/>
      <c r="I129" s="7582"/>
      <c r="J129" s="7584"/>
      <c r="K129" s="7567"/>
      <c r="L129" s="7567"/>
      <c r="M129" s="7567"/>
      <c r="N129" s="7569"/>
      <c r="O129" s="7567"/>
      <c r="P129" s="7567"/>
      <c r="Q129" s="7567"/>
      <c r="R129" s="7572"/>
      <c r="S129" s="7567"/>
      <c r="T129" s="1362"/>
      <c r="U129" s="1362"/>
      <c r="V129" s="1364"/>
      <c r="W129" s="1220"/>
      <c r="X129" s="1191"/>
      <c r="Y129" s="1191"/>
      <c r="Z129" s="1191"/>
      <c r="AA129" s="1191"/>
      <c r="AB129" s="1191"/>
      <c r="AC129" s="1191" t="s">
        <v>404</v>
      </c>
      <c r="AD129" s="1191" t="s">
        <v>405</v>
      </c>
      <c r="AE129" s="1191" t="s">
        <v>406</v>
      </c>
      <c r="AF129" s="1191" t="s">
        <v>407</v>
      </c>
      <c r="AG129" s="1191"/>
      <c r="AH129" s="1191" t="str">
        <f>IF($E$129=0,"",$E$129)</f>
        <v>Тариф на техническую воду</v>
      </c>
      <c r="AI129" s="1191" t="str">
        <f>IF($G$129=0,"",$G$129)</f>
        <v/>
      </c>
      <c r="AJ129" s="1191" t="str">
        <f>IF($J$129=0,"",$J$129)</f>
        <v/>
      </c>
      <c r="AK129" s="1191" t="str">
        <f>IF($K$129="нет","без дифференциации",IF($N$129=0,"",$N$129))</f>
        <v/>
      </c>
      <c r="AL129" s="1191" t="str">
        <f>IF($O$129="нет","без дифференциации",IF($R$129=0,"",$R$129))</f>
        <v/>
      </c>
      <c r="AM129" s="1191" t="str">
        <f>IF($S$129="нет","без дифференциации",IF($V$129=0,"",$V$129))</f>
        <v/>
      </c>
      <c r="AN129" s="1692">
        <f>$I$129</f>
        <v>0</v>
      </c>
      <c r="AO129" s="1191" t="str">
        <f>$I$129&amp;"."&amp;$M$129</f>
        <v>.</v>
      </c>
      <c r="AP129" s="1184" t="str">
        <f>$I$129&amp;"."&amp;$M$129&amp;"."&amp;$Q$129</f>
        <v>..</v>
      </c>
      <c r="AQ129" s="1184" t="str">
        <f>$I$129&amp;"."&amp;$M$129&amp;"."&amp;$Q$129&amp;"."&amp;$U$129</f>
        <v>...</v>
      </c>
    </row>
    <row r="130" spans="1:43" s="1771" customFormat="1" ht="17.25" customHeight="1">
      <c r="A130" s="240"/>
      <c r="C130" s="239"/>
      <c r="D130" s="7573"/>
      <c r="E130" s="7575"/>
      <c r="F130" s="7578"/>
      <c r="G130" s="7575"/>
      <c r="H130" s="7581"/>
      <c r="I130" s="7583"/>
      <c r="J130" s="7585"/>
      <c r="K130" s="7568"/>
      <c r="L130" s="7568"/>
      <c r="M130" s="7568"/>
      <c r="N130" s="7570"/>
      <c r="O130" s="7568"/>
      <c r="P130" s="7568"/>
      <c r="Q130" s="7568"/>
      <c r="R130" s="7571"/>
      <c r="S130" s="7568"/>
      <c r="T130" s="1221"/>
      <c r="U130" s="1221"/>
      <c r="V130" s="1221"/>
      <c r="W130" s="1222"/>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row>
    <row r="131" spans="1:43" s="1771" customFormat="1" ht="17.25" customHeight="1">
      <c r="A131" s="240"/>
      <c r="C131" s="239"/>
      <c r="D131" s="7574"/>
      <c r="E131" s="7576"/>
      <c r="F131" s="7578"/>
      <c r="G131" s="7576"/>
      <c r="H131" s="7581"/>
      <c r="I131" s="7583"/>
      <c r="J131" s="7586"/>
      <c r="K131" s="7568"/>
      <c r="L131" s="7568"/>
      <c r="M131" s="7568"/>
      <c r="N131" s="7571"/>
      <c r="O131" s="7568"/>
      <c r="P131" s="1363"/>
      <c r="Q131" s="1221"/>
      <c r="R131" s="1221"/>
      <c r="S131" s="251"/>
      <c r="T131" s="251"/>
      <c r="U131" s="251"/>
      <c r="V131" s="251"/>
      <c r="W131" s="1222"/>
      <c r="X131" s="1184"/>
      <c r="Y131" s="1184"/>
      <c r="Z131" s="1184"/>
      <c r="AA131" s="1184"/>
      <c r="AB131" s="1184"/>
      <c r="AC131" s="1184"/>
      <c r="AD131" s="1184"/>
      <c r="AE131" s="1184"/>
      <c r="AF131" s="1184"/>
      <c r="AG131" s="1184"/>
      <c r="AH131" s="1184"/>
      <c r="AI131" s="1184"/>
      <c r="AJ131" s="1184"/>
      <c r="AK131" s="1184"/>
      <c r="AL131" s="1184"/>
      <c r="AM131" s="1184"/>
      <c r="AN131" s="1184"/>
      <c r="AO131" s="1184"/>
      <c r="AP131" s="1184"/>
      <c r="AQ131" s="1184"/>
    </row>
    <row r="132" spans="1:43" s="1771" customFormat="1" ht="17.25" customHeight="1">
      <c r="A132" s="240"/>
      <c r="C132" s="239"/>
      <c r="D132" s="7574"/>
      <c r="E132" s="7576"/>
      <c r="F132" s="7578"/>
      <c r="G132" s="7576"/>
      <c r="H132" s="7581"/>
      <c r="I132" s="7583"/>
      <c r="J132" s="7586"/>
      <c r="K132" s="7568"/>
      <c r="L132" s="1221"/>
      <c r="M132" s="1221"/>
      <c r="N132" s="1221"/>
      <c r="O132" s="1221"/>
      <c r="P132" s="1221"/>
      <c r="Q132" s="1221"/>
      <c r="R132" s="1221"/>
      <c r="S132" s="251"/>
      <c r="T132" s="251"/>
      <c r="U132" s="251"/>
      <c r="V132" s="251"/>
      <c r="W132" s="1222"/>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row>
    <row r="133" spans="1:43" s="1771" customFormat="1" ht="17.25" customHeight="1">
      <c r="A133" s="240"/>
      <c r="C133" s="239"/>
      <c r="D133" s="7574"/>
      <c r="E133" s="7576"/>
      <c r="F133" s="7579"/>
      <c r="G133" s="7576"/>
      <c r="H133" s="1223"/>
      <c r="I133" s="1224"/>
      <c r="J133" s="1224"/>
      <c r="K133" s="1224"/>
      <c r="L133" s="1224"/>
      <c r="M133" s="1224"/>
      <c r="N133" s="1224"/>
      <c r="O133" s="1224"/>
      <c r="P133" s="1224"/>
      <c r="Q133" s="1224"/>
      <c r="R133" s="1224"/>
      <c r="S133" s="1225"/>
      <c r="T133" s="1225"/>
      <c r="U133" s="1225"/>
      <c r="V133" s="1225"/>
      <c r="W133" s="1226"/>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row>
    <row r="134" spans="1:43" s="1771" customFormat="1" ht="17.25" customHeight="1">
      <c r="A134" s="240"/>
      <c r="C134" s="126"/>
      <c r="D134" s="7573">
        <v>3</v>
      </c>
      <c r="E134" s="7575" t="s">
        <v>408</v>
      </c>
      <c r="F134" s="7577" t="s">
        <v>55</v>
      </c>
      <c r="G134" s="7575"/>
      <c r="H134" s="7580"/>
      <c r="I134" s="7582"/>
      <c r="J134" s="7584"/>
      <c r="K134" s="7567"/>
      <c r="L134" s="7567"/>
      <c r="M134" s="7567"/>
      <c r="N134" s="7569"/>
      <c r="O134" s="7567"/>
      <c r="P134" s="7567"/>
      <c r="Q134" s="7567"/>
      <c r="R134" s="7572"/>
      <c r="S134" s="7567"/>
      <c r="T134" s="1362"/>
      <c r="U134" s="1362"/>
      <c r="V134" s="1364"/>
      <c r="W134" s="1220"/>
      <c r="X134" s="1191"/>
      <c r="Y134" s="1191"/>
      <c r="Z134" s="1191"/>
      <c r="AA134" s="1191"/>
      <c r="AB134" s="1191"/>
      <c r="AC134" s="1191" t="s">
        <v>409</v>
      </c>
      <c r="AD134" s="1191" t="s">
        <v>410</v>
      </c>
      <c r="AE134" s="1191" t="s">
        <v>411</v>
      </c>
      <c r="AF134" s="1191" t="s">
        <v>412</v>
      </c>
      <c r="AG134" s="1191"/>
      <c r="AH134" s="1191" t="str">
        <f>IF($E$134=0,"",$E$134)</f>
        <v>Тариф на транспортировку воды</v>
      </c>
      <c r="AI134" s="1191" t="str">
        <f>IF($G$134=0,"",$G$134)</f>
        <v/>
      </c>
      <c r="AJ134" s="1191" t="str">
        <f>IF($J$134=0,"",$J$134)</f>
        <v/>
      </c>
      <c r="AK134" s="1191" t="str">
        <f>IF($K$134="нет","без дифференциации",IF($N$134=0,"",$N$134))</f>
        <v/>
      </c>
      <c r="AL134" s="1191" t="str">
        <f>IF($O$134="нет","без дифференциации",IF($R$134=0,"",$R$134))</f>
        <v/>
      </c>
      <c r="AM134" s="1191" t="str">
        <f>IF($S$134="нет","без дифференциации",IF($V$134=0,"",$V$134))</f>
        <v/>
      </c>
      <c r="AN134" s="1692">
        <f>$I$134</f>
        <v>0</v>
      </c>
      <c r="AO134" s="1191" t="str">
        <f>$I$134&amp;"."&amp;$M$134</f>
        <v>.</v>
      </c>
      <c r="AP134" s="1184" t="str">
        <f>$I$134&amp;"."&amp;$M$134&amp;"."&amp;$Q$134</f>
        <v>..</v>
      </c>
      <c r="AQ134" s="1184" t="str">
        <f>$I$134&amp;"."&amp;$M$134&amp;"."&amp;$Q$134&amp;"."&amp;$U$134</f>
        <v>...</v>
      </c>
    </row>
    <row r="135" spans="1:43" s="1771" customFormat="1" ht="17.25" customHeight="1">
      <c r="A135" s="240"/>
      <c r="C135" s="239"/>
      <c r="D135" s="7573"/>
      <c r="E135" s="7575"/>
      <c r="F135" s="7578"/>
      <c r="G135" s="7575"/>
      <c r="H135" s="7581"/>
      <c r="I135" s="7583"/>
      <c r="J135" s="7585"/>
      <c r="K135" s="7568"/>
      <c r="L135" s="7568"/>
      <c r="M135" s="7568"/>
      <c r="N135" s="7570"/>
      <c r="O135" s="7568"/>
      <c r="P135" s="7568"/>
      <c r="Q135" s="7568"/>
      <c r="R135" s="7571"/>
      <c r="S135" s="7568"/>
      <c r="T135" s="1221"/>
      <c r="U135" s="1221"/>
      <c r="V135" s="1221"/>
      <c r="W135" s="1222"/>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row>
    <row r="136" spans="1:43" s="1771" customFormat="1" ht="17.25" customHeight="1">
      <c r="A136" s="240"/>
      <c r="C136" s="239"/>
      <c r="D136" s="7574"/>
      <c r="E136" s="7576"/>
      <c r="F136" s="7578"/>
      <c r="G136" s="7576"/>
      <c r="H136" s="7581"/>
      <c r="I136" s="7583"/>
      <c r="J136" s="7586"/>
      <c r="K136" s="7568"/>
      <c r="L136" s="7568"/>
      <c r="M136" s="7568"/>
      <c r="N136" s="7571"/>
      <c r="O136" s="7568"/>
      <c r="P136" s="1363"/>
      <c r="Q136" s="1221"/>
      <c r="R136" s="1221"/>
      <c r="S136" s="251"/>
      <c r="T136" s="251"/>
      <c r="U136" s="251"/>
      <c r="V136" s="251"/>
      <c r="W136" s="1222"/>
      <c r="X136" s="1184"/>
      <c r="Y136" s="1184"/>
      <c r="Z136" s="1184"/>
      <c r="AA136" s="1184"/>
      <c r="AB136" s="1184"/>
      <c r="AC136" s="1184"/>
      <c r="AD136" s="1184"/>
      <c r="AE136" s="1184"/>
      <c r="AF136" s="1184"/>
      <c r="AG136" s="1184"/>
      <c r="AH136" s="1184"/>
      <c r="AI136" s="1184"/>
      <c r="AJ136" s="1184"/>
      <c r="AK136" s="1184"/>
      <c r="AL136" s="1184"/>
      <c r="AM136" s="1184"/>
      <c r="AN136" s="1184"/>
      <c r="AO136" s="1184"/>
      <c r="AP136" s="1184"/>
      <c r="AQ136" s="1184"/>
    </row>
    <row r="137" spans="1:43" s="1771" customFormat="1" ht="17.25" customHeight="1">
      <c r="A137" s="240"/>
      <c r="C137" s="239"/>
      <c r="D137" s="7574"/>
      <c r="E137" s="7576"/>
      <c r="F137" s="7578"/>
      <c r="G137" s="7576"/>
      <c r="H137" s="7581"/>
      <c r="I137" s="7583"/>
      <c r="J137" s="7586"/>
      <c r="K137" s="7568"/>
      <c r="L137" s="1221"/>
      <c r="M137" s="1221"/>
      <c r="N137" s="1221"/>
      <c r="O137" s="1221"/>
      <c r="P137" s="1221"/>
      <c r="Q137" s="1221"/>
      <c r="R137" s="1221"/>
      <c r="S137" s="251"/>
      <c r="T137" s="251"/>
      <c r="U137" s="251"/>
      <c r="V137" s="251"/>
      <c r="W137" s="1222"/>
      <c r="X137" s="1184"/>
      <c r="Y137" s="1184"/>
      <c r="Z137" s="1184"/>
      <c r="AA137" s="1184"/>
      <c r="AB137" s="1184"/>
      <c r="AC137" s="1184"/>
      <c r="AD137" s="1184"/>
      <c r="AE137" s="1184"/>
      <c r="AF137" s="1184"/>
      <c r="AG137" s="1184"/>
      <c r="AH137" s="1184"/>
      <c r="AI137" s="1184"/>
      <c r="AJ137" s="1184"/>
      <c r="AK137" s="1184"/>
      <c r="AL137" s="1184"/>
      <c r="AM137" s="1184"/>
      <c r="AN137" s="1184"/>
      <c r="AO137" s="1184"/>
      <c r="AP137" s="1184"/>
      <c r="AQ137" s="1184"/>
    </row>
    <row r="138" spans="1:43" s="1771" customFormat="1" ht="17.25" customHeight="1">
      <c r="A138" s="240"/>
      <c r="C138" s="239"/>
      <c r="D138" s="7574"/>
      <c r="E138" s="7576"/>
      <c r="F138" s="7579"/>
      <c r="G138" s="7576"/>
      <c r="H138" s="1223"/>
      <c r="I138" s="1224"/>
      <c r="J138" s="1224"/>
      <c r="K138" s="1224"/>
      <c r="L138" s="1224"/>
      <c r="M138" s="1224"/>
      <c r="N138" s="1224"/>
      <c r="O138" s="1224"/>
      <c r="P138" s="1224"/>
      <c r="Q138" s="1224"/>
      <c r="R138" s="1224"/>
      <c r="S138" s="1225"/>
      <c r="T138" s="1225"/>
      <c r="U138" s="1225"/>
      <c r="V138" s="1225"/>
      <c r="W138" s="1226"/>
      <c r="X138" s="1184"/>
      <c r="Y138" s="1184"/>
      <c r="Z138" s="1184"/>
      <c r="AA138" s="1184"/>
      <c r="AB138" s="1184"/>
      <c r="AC138" s="1184"/>
      <c r="AD138" s="1184"/>
      <c r="AE138" s="1184"/>
      <c r="AF138" s="1184"/>
      <c r="AG138" s="1184"/>
      <c r="AH138" s="1184"/>
      <c r="AI138" s="1184"/>
      <c r="AJ138" s="1184"/>
      <c r="AK138" s="1184"/>
      <c r="AL138" s="1184"/>
      <c r="AM138" s="1184"/>
      <c r="AN138" s="1184"/>
      <c r="AO138" s="1184"/>
      <c r="AP138" s="1184"/>
      <c r="AQ138" s="1184"/>
    </row>
    <row r="139" spans="1:43" s="1771" customFormat="1" ht="17.25" customHeight="1">
      <c r="A139" s="240"/>
      <c r="C139" s="126"/>
      <c r="D139" s="7573">
        <v>4</v>
      </c>
      <c r="E139" s="7575" t="s">
        <v>413</v>
      </c>
      <c r="F139" s="7577" t="s">
        <v>55</v>
      </c>
      <c r="G139" s="7575"/>
      <c r="H139" s="7580"/>
      <c r="I139" s="7582"/>
      <c r="J139" s="7584"/>
      <c r="K139" s="7567"/>
      <c r="L139" s="7567"/>
      <c r="M139" s="7567"/>
      <c r="N139" s="7569"/>
      <c r="O139" s="7567"/>
      <c r="P139" s="7567"/>
      <c r="Q139" s="7567"/>
      <c r="R139" s="7572"/>
      <c r="S139" s="7567"/>
      <c r="T139" s="1362"/>
      <c r="U139" s="1362"/>
      <c r="V139" s="1364"/>
      <c r="W139" s="1220"/>
      <c r="X139" s="1191"/>
      <c r="Y139" s="1191"/>
      <c r="Z139" s="1191"/>
      <c r="AA139" s="1191"/>
      <c r="AB139" s="1191"/>
      <c r="AC139" s="1191" t="s">
        <v>414</v>
      </c>
      <c r="AD139" s="1191" t="s">
        <v>415</v>
      </c>
      <c r="AE139" s="1191" t="s">
        <v>416</v>
      </c>
      <c r="AF139" s="1191" t="s">
        <v>417</v>
      </c>
      <c r="AG139" s="1191"/>
      <c r="AH139" s="1191" t="str">
        <f>IF($E$139=0,"",$E$139)</f>
        <v>Тариф на подвоз воды</v>
      </c>
      <c r="AI139" s="1191" t="str">
        <f>IF($G$139=0,"",$G$139)</f>
        <v/>
      </c>
      <c r="AJ139" s="1191" t="str">
        <f>IF($J$139=0,"",$J$139)</f>
        <v/>
      </c>
      <c r="AK139" s="1191" t="str">
        <f>IF($K$139="нет","без дифференциации",IF($N$139=0,"",$N$139))</f>
        <v/>
      </c>
      <c r="AL139" s="1191" t="str">
        <f>IF($O$139="нет","без дифференциации",IF($R$139=0,"",$R$139))</f>
        <v/>
      </c>
      <c r="AM139" s="1191" t="str">
        <f>IF($S$139="нет","без дифференциации",IF($V$139=0,"",$V$139))</f>
        <v/>
      </c>
      <c r="AN139" s="1692">
        <f>$I$139</f>
        <v>0</v>
      </c>
      <c r="AO139" s="1191" t="str">
        <f>$I$139&amp;"."&amp;$M$139</f>
        <v>.</v>
      </c>
      <c r="AP139" s="1184" t="str">
        <f>$I$139&amp;"."&amp;$M$139&amp;"."&amp;$Q$139</f>
        <v>..</v>
      </c>
      <c r="AQ139" s="1184" t="str">
        <f>$I$139&amp;"."&amp;$M$139&amp;"."&amp;$Q$139&amp;"."&amp;$U$139</f>
        <v>...</v>
      </c>
    </row>
    <row r="140" spans="1:43" s="1771" customFormat="1" ht="17.25" customHeight="1">
      <c r="A140" s="240"/>
      <c r="C140" s="239"/>
      <c r="D140" s="7573"/>
      <c r="E140" s="7575"/>
      <c r="F140" s="7578"/>
      <c r="G140" s="7575"/>
      <c r="H140" s="7581"/>
      <c r="I140" s="7583"/>
      <c r="J140" s="7585"/>
      <c r="K140" s="7568"/>
      <c r="L140" s="7568"/>
      <c r="M140" s="7568"/>
      <c r="N140" s="7570"/>
      <c r="O140" s="7568"/>
      <c r="P140" s="7568"/>
      <c r="Q140" s="7568"/>
      <c r="R140" s="7571"/>
      <c r="S140" s="7568"/>
      <c r="T140" s="1221"/>
      <c r="U140" s="1221"/>
      <c r="V140" s="1221"/>
      <c r="W140" s="1222"/>
      <c r="X140" s="1184"/>
      <c r="Y140" s="1184"/>
      <c r="Z140" s="1184"/>
      <c r="AA140" s="1184"/>
      <c r="AB140" s="1184"/>
      <c r="AC140" s="1184"/>
      <c r="AD140" s="1184"/>
      <c r="AE140" s="1184"/>
      <c r="AF140" s="1184"/>
      <c r="AG140" s="1184"/>
      <c r="AH140" s="1184"/>
      <c r="AI140" s="1184"/>
      <c r="AJ140" s="1184"/>
      <c r="AK140" s="1184"/>
      <c r="AL140" s="1184"/>
      <c r="AM140" s="1184"/>
      <c r="AN140" s="1184"/>
      <c r="AO140" s="1184"/>
      <c r="AP140" s="1184"/>
      <c r="AQ140" s="1184"/>
    </row>
    <row r="141" spans="1:43" s="1771" customFormat="1" ht="17.25" customHeight="1">
      <c r="A141" s="240"/>
      <c r="C141" s="239"/>
      <c r="D141" s="7574"/>
      <c r="E141" s="7576"/>
      <c r="F141" s="7578"/>
      <c r="G141" s="7576"/>
      <c r="H141" s="7581"/>
      <c r="I141" s="7583"/>
      <c r="J141" s="7586"/>
      <c r="K141" s="7568"/>
      <c r="L141" s="7568"/>
      <c r="M141" s="7568"/>
      <c r="N141" s="7571"/>
      <c r="O141" s="7568"/>
      <c r="P141" s="1363"/>
      <c r="Q141" s="1221"/>
      <c r="R141" s="1221"/>
      <c r="S141" s="251"/>
      <c r="T141" s="251"/>
      <c r="U141" s="251"/>
      <c r="V141" s="251"/>
      <c r="W141" s="1222"/>
      <c r="X141" s="1184"/>
      <c r="Y141" s="1184"/>
      <c r="Z141" s="1184"/>
      <c r="AA141" s="1184"/>
      <c r="AB141" s="1184"/>
      <c r="AC141" s="1184"/>
      <c r="AD141" s="1184"/>
      <c r="AE141" s="1184"/>
      <c r="AF141" s="1184"/>
      <c r="AG141" s="1184"/>
      <c r="AH141" s="1184"/>
      <c r="AI141" s="1184"/>
      <c r="AJ141" s="1184"/>
      <c r="AK141" s="1184"/>
      <c r="AL141" s="1184"/>
      <c r="AM141" s="1184"/>
      <c r="AN141" s="1184"/>
      <c r="AO141" s="1184"/>
      <c r="AP141" s="1184"/>
      <c r="AQ141" s="1184"/>
    </row>
    <row r="142" spans="1:43" s="1771" customFormat="1" ht="17.25" customHeight="1">
      <c r="A142" s="240"/>
      <c r="C142" s="239"/>
      <c r="D142" s="7574"/>
      <c r="E142" s="7576"/>
      <c r="F142" s="7578"/>
      <c r="G142" s="7576"/>
      <c r="H142" s="7581"/>
      <c r="I142" s="7583"/>
      <c r="J142" s="7586"/>
      <c r="K142" s="7568"/>
      <c r="L142" s="1221"/>
      <c r="M142" s="1221"/>
      <c r="N142" s="1221"/>
      <c r="O142" s="1221"/>
      <c r="P142" s="1221"/>
      <c r="Q142" s="1221"/>
      <c r="R142" s="1221"/>
      <c r="S142" s="251"/>
      <c r="T142" s="251"/>
      <c r="U142" s="251"/>
      <c r="V142" s="251"/>
      <c r="W142" s="1222"/>
      <c r="X142" s="1184"/>
      <c r="Y142" s="1184"/>
      <c r="Z142" s="1184"/>
      <c r="AA142" s="1184"/>
      <c r="AB142" s="1184"/>
      <c r="AC142" s="1184"/>
      <c r="AD142" s="1184"/>
      <c r="AE142" s="1184"/>
      <c r="AF142" s="1184"/>
      <c r="AG142" s="1184"/>
      <c r="AH142" s="1184"/>
      <c r="AI142" s="1184"/>
      <c r="AJ142" s="1184"/>
      <c r="AK142" s="1184"/>
      <c r="AL142" s="1184"/>
      <c r="AM142" s="1184"/>
      <c r="AN142" s="1184"/>
      <c r="AO142" s="1184"/>
      <c r="AP142" s="1184"/>
      <c r="AQ142" s="1184"/>
    </row>
    <row r="143" spans="1:43" s="1771" customFormat="1" ht="17.25" customHeight="1">
      <c r="A143" s="240"/>
      <c r="C143" s="239"/>
      <c r="D143" s="7574"/>
      <c r="E143" s="7576"/>
      <c r="F143" s="7579"/>
      <c r="G143" s="7576"/>
      <c r="H143" s="1223"/>
      <c r="I143" s="1224"/>
      <c r="J143" s="1224"/>
      <c r="K143" s="1224"/>
      <c r="L143" s="1224"/>
      <c r="M143" s="1224"/>
      <c r="N143" s="1224"/>
      <c r="O143" s="1224"/>
      <c r="P143" s="1224"/>
      <c r="Q143" s="1224"/>
      <c r="R143" s="1224"/>
      <c r="S143" s="1225"/>
      <c r="T143" s="1225"/>
      <c r="U143" s="1225"/>
      <c r="V143" s="1225"/>
      <c r="W143" s="1226"/>
      <c r="X143" s="1184"/>
      <c r="Y143" s="1184"/>
      <c r="Z143" s="1184"/>
      <c r="AA143" s="1184"/>
      <c r="AB143" s="1184"/>
      <c r="AC143" s="1184"/>
      <c r="AD143" s="1184"/>
      <c r="AE143" s="1184"/>
      <c r="AF143" s="1184"/>
      <c r="AG143" s="1184"/>
      <c r="AH143" s="1184"/>
      <c r="AI143" s="1184"/>
      <c r="AJ143" s="1184"/>
      <c r="AK143" s="1184"/>
      <c r="AL143" s="1184"/>
      <c r="AM143" s="1184"/>
      <c r="AN143" s="1184"/>
      <c r="AO143" s="1184"/>
      <c r="AP143" s="1184"/>
      <c r="AQ143" s="1184"/>
    </row>
    <row r="144" spans="1:43" s="1771" customFormat="1" ht="17.25" customHeight="1">
      <c r="A144" s="240"/>
      <c r="C144" s="126"/>
      <c r="D144" s="7573">
        <v>5</v>
      </c>
      <c r="E144" s="7575" t="s">
        <v>418</v>
      </c>
      <c r="F144" s="7577" t="s">
        <v>55</v>
      </c>
      <c r="G144" s="7575"/>
      <c r="H144" s="7580"/>
      <c r="I144" s="7582"/>
      <c r="J144" s="7584"/>
      <c r="K144" s="7567"/>
      <c r="L144" s="7567"/>
      <c r="M144" s="7567"/>
      <c r="N144" s="7569"/>
      <c r="O144" s="7567"/>
      <c r="P144" s="7567"/>
      <c r="Q144" s="7567"/>
      <c r="R144" s="7572"/>
      <c r="S144" s="7567"/>
      <c r="T144" s="1386"/>
      <c r="U144" s="1386"/>
      <c r="V144" s="1388"/>
      <c r="W144" s="1220"/>
      <c r="X144" s="1191"/>
      <c r="Y144" s="1191"/>
      <c r="Z144" s="1191"/>
      <c r="AA144" s="1191"/>
      <c r="AB144" s="1191"/>
      <c r="AC144" s="1191" t="s">
        <v>419</v>
      </c>
      <c r="AD144" s="1191" t="s">
        <v>420</v>
      </c>
      <c r="AE144" s="1191" t="s">
        <v>421</v>
      </c>
      <c r="AF144" s="1191" t="s">
        <v>422</v>
      </c>
      <c r="AG144" s="1191"/>
      <c r="AH144" s="1191" t="str">
        <f>IF($E$144=0,"",$E$144)</f>
        <v>Тариф на подключение (технологическое присоединение) к централизованной системе холодного водоснабжения</v>
      </c>
      <c r="AI144" s="1191" t="str">
        <f>IF($G$144=0,"",$G$144)</f>
        <v/>
      </c>
      <c r="AJ144" s="1191" t="str">
        <f>IF($J$144=0,"",$J$144)</f>
        <v/>
      </c>
      <c r="AK144" s="1191" t="str">
        <f>IF($K$144="нет","без дифференциации",IF($N$144=0,"",$N$144))</f>
        <v/>
      </c>
      <c r="AL144" s="1191" t="str">
        <f>IF($O$144="нет","без дифференциации",IF($R$144=0,"",$R$144))</f>
        <v/>
      </c>
      <c r="AM144" s="1191" t="str">
        <f>IF($S$144="нет","без дифференциации",IF($V$144=0,"",$V$144))</f>
        <v/>
      </c>
      <c r="AN144" s="1692">
        <f>$I$144</f>
        <v>0</v>
      </c>
      <c r="AO144" s="1191" t="str">
        <f>$I$144&amp;"."&amp;$M$144</f>
        <v>.</v>
      </c>
      <c r="AP144" s="1184" t="str">
        <f>$I$144&amp;"."&amp;$M$144&amp;"."&amp;$Q$144</f>
        <v>..</v>
      </c>
      <c r="AQ144" s="1184" t="str">
        <f>$I$144&amp;"."&amp;$M$144&amp;"."&amp;$Q$144&amp;"."&amp;$U$144</f>
        <v>...</v>
      </c>
    </row>
    <row r="145" spans="1:43" s="1771" customFormat="1" ht="17.25" customHeight="1">
      <c r="A145" s="240"/>
      <c r="C145" s="239"/>
      <c r="D145" s="7573"/>
      <c r="E145" s="7575"/>
      <c r="F145" s="7578"/>
      <c r="G145" s="7575"/>
      <c r="H145" s="7581"/>
      <c r="I145" s="7583"/>
      <c r="J145" s="7585"/>
      <c r="K145" s="7568"/>
      <c r="L145" s="7568"/>
      <c r="M145" s="7568"/>
      <c r="N145" s="7570"/>
      <c r="O145" s="7568"/>
      <c r="P145" s="7568"/>
      <c r="Q145" s="7568"/>
      <c r="R145" s="7571"/>
      <c r="S145" s="7568"/>
      <c r="T145" s="1221"/>
      <c r="U145" s="1221"/>
      <c r="V145" s="1221"/>
      <c r="W145" s="1222"/>
      <c r="X145" s="1184"/>
      <c r="Y145" s="1184"/>
      <c r="Z145" s="1184"/>
      <c r="AA145" s="1184"/>
      <c r="AB145" s="1184"/>
      <c r="AC145" s="1184"/>
      <c r="AD145" s="1184"/>
      <c r="AE145" s="1184"/>
      <c r="AF145" s="1184"/>
      <c r="AG145" s="1184"/>
      <c r="AH145" s="1184"/>
      <c r="AI145" s="1184"/>
      <c r="AJ145" s="1184"/>
      <c r="AK145" s="1184"/>
      <c r="AL145" s="1184"/>
      <c r="AM145" s="1184"/>
      <c r="AN145" s="1184"/>
      <c r="AO145" s="1184"/>
      <c r="AP145" s="1184"/>
      <c r="AQ145" s="1184"/>
    </row>
    <row r="146" spans="1:43" s="1771" customFormat="1" ht="17.25" customHeight="1">
      <c r="A146" s="240"/>
      <c r="C146" s="239"/>
      <c r="D146" s="7574"/>
      <c r="E146" s="7576"/>
      <c r="F146" s="7578"/>
      <c r="G146" s="7576"/>
      <c r="H146" s="7581"/>
      <c r="I146" s="7583"/>
      <c r="J146" s="7586"/>
      <c r="K146" s="7568"/>
      <c r="L146" s="7568"/>
      <c r="M146" s="7568"/>
      <c r="N146" s="7571"/>
      <c r="O146" s="7568"/>
      <c r="P146" s="1387"/>
      <c r="Q146" s="1221"/>
      <c r="R146" s="1221"/>
      <c r="S146" s="251"/>
      <c r="T146" s="251"/>
      <c r="U146" s="251"/>
      <c r="V146" s="251"/>
      <c r="W146" s="1222"/>
      <c r="X146" s="1184"/>
      <c r="Y146" s="1184"/>
      <c r="Z146" s="1184"/>
      <c r="AA146" s="1184"/>
      <c r="AB146" s="1184"/>
      <c r="AC146" s="1184"/>
      <c r="AD146" s="1184"/>
      <c r="AE146" s="1184"/>
      <c r="AF146" s="1184"/>
      <c r="AG146" s="1184"/>
      <c r="AH146" s="1184"/>
      <c r="AI146" s="1184"/>
      <c r="AJ146" s="1184"/>
      <c r="AK146" s="1184"/>
      <c r="AL146" s="1184"/>
      <c r="AM146" s="1184"/>
      <c r="AN146" s="1184"/>
      <c r="AO146" s="1184"/>
      <c r="AP146" s="1184"/>
      <c r="AQ146" s="1184"/>
    </row>
    <row r="147" spans="1:43" s="1771" customFormat="1" ht="17.25" customHeight="1">
      <c r="A147" s="240"/>
      <c r="C147" s="239"/>
      <c r="D147" s="7574"/>
      <c r="E147" s="7576"/>
      <c r="F147" s="7578"/>
      <c r="G147" s="7576"/>
      <c r="H147" s="7581"/>
      <c r="I147" s="7583"/>
      <c r="J147" s="7586"/>
      <c r="K147" s="7568"/>
      <c r="L147" s="1221"/>
      <c r="M147" s="1221"/>
      <c r="N147" s="1221"/>
      <c r="O147" s="1221"/>
      <c r="P147" s="1221"/>
      <c r="Q147" s="1221"/>
      <c r="R147" s="1221"/>
      <c r="S147" s="251"/>
      <c r="T147" s="251"/>
      <c r="U147" s="251"/>
      <c r="V147" s="251"/>
      <c r="W147" s="1222"/>
      <c r="X147" s="1184"/>
      <c r="Y147" s="1184"/>
      <c r="Z147" s="1184"/>
      <c r="AA147" s="1184"/>
      <c r="AB147" s="1184"/>
      <c r="AC147" s="1184"/>
      <c r="AD147" s="1184"/>
      <c r="AE147" s="1184"/>
      <c r="AF147" s="1184"/>
      <c r="AG147" s="1184"/>
      <c r="AH147" s="1184"/>
      <c r="AI147" s="1184"/>
      <c r="AJ147" s="1184"/>
      <c r="AK147" s="1184"/>
      <c r="AL147" s="1184"/>
      <c r="AM147" s="1184"/>
      <c r="AN147" s="1184"/>
      <c r="AO147" s="1184"/>
      <c r="AP147" s="1184"/>
      <c r="AQ147" s="1184"/>
    </row>
    <row r="148" spans="1:43" s="1771" customFormat="1" ht="17.25" customHeight="1">
      <c r="A148" s="240"/>
      <c r="C148" s="239"/>
      <c r="D148" s="7574"/>
      <c r="E148" s="7576"/>
      <c r="F148" s="7579"/>
      <c r="G148" s="7576"/>
      <c r="H148" s="1223"/>
      <c r="I148" s="1224"/>
      <c r="J148" s="1224"/>
      <c r="K148" s="1224"/>
      <c r="L148" s="1224"/>
      <c r="M148" s="1224"/>
      <c r="N148" s="1224"/>
      <c r="O148" s="1224"/>
      <c r="P148" s="1224"/>
      <c r="Q148" s="1224"/>
      <c r="R148" s="1224"/>
      <c r="S148" s="1225"/>
      <c r="T148" s="1225"/>
      <c r="U148" s="1225"/>
      <c r="V148" s="1225"/>
      <c r="W148" s="1226"/>
      <c r="X148" s="1184"/>
      <c r="Y148" s="1184"/>
      <c r="Z148" s="1184"/>
      <c r="AA148" s="1184"/>
      <c r="AB148" s="1184"/>
      <c r="AC148" s="1184"/>
      <c r="AD148" s="1184"/>
      <c r="AE148" s="1184"/>
      <c r="AF148" s="1184"/>
      <c r="AG148" s="1184"/>
      <c r="AH148" s="1184"/>
      <c r="AI148" s="1184"/>
      <c r="AJ148" s="1184"/>
      <c r="AK148" s="1184"/>
      <c r="AL148" s="1184"/>
      <c r="AM148" s="1184"/>
      <c r="AN148" s="1184"/>
      <c r="AO148" s="1184"/>
      <c r="AP148" s="1184"/>
      <c r="AQ148" s="1184"/>
    </row>
    <row r="149" spans="1:43" s="1771" customFormat="1" ht="11.25" hidden="1" customHeight="1">
      <c r="A149" s="191"/>
      <c r="B149" s="191"/>
      <c r="Y149" s="1184"/>
      <c r="Z149" s="1184"/>
      <c r="AA149" s="1184"/>
      <c r="AB149" s="1184"/>
      <c r="AC149" s="1184"/>
      <c r="AD149" s="1184"/>
      <c r="AE149" s="1184"/>
      <c r="AF149" s="1184"/>
      <c r="AG149" s="1184"/>
      <c r="AH149" s="1184"/>
      <c r="AI149" s="1184"/>
      <c r="AJ149" s="1184"/>
      <c r="AK149" s="1184"/>
      <c r="AL149" s="1184"/>
      <c r="AM149" s="1184"/>
      <c r="AN149" s="1184"/>
      <c r="AO149" s="1184"/>
      <c r="AP149" s="1184"/>
      <c r="AQ149" s="1184"/>
    </row>
    <row r="150" spans="1:43" s="1771" customFormat="1" ht="17.25" hidden="1" customHeight="1">
      <c r="A150" s="240"/>
      <c r="C150" s="126"/>
      <c r="D150" s="7573">
        <v>1</v>
      </c>
      <c r="E150" s="7575" t="s">
        <v>423</v>
      </c>
      <c r="F150" s="7577" t="s">
        <v>55</v>
      </c>
      <c r="G150" s="7575"/>
      <c r="H150" s="7580"/>
      <c r="I150" s="7582"/>
      <c r="J150" s="7584"/>
      <c r="K150" s="7567"/>
      <c r="L150" s="7567"/>
      <c r="M150" s="7567"/>
      <c r="N150" s="7569"/>
      <c r="O150" s="7567"/>
      <c r="P150" s="7567"/>
      <c r="Q150" s="7567"/>
      <c r="R150" s="7572"/>
      <c r="S150" s="7567"/>
      <c r="T150" s="1386"/>
      <c r="U150" s="1386"/>
      <c r="V150" s="1388"/>
      <c r="W150" s="1220"/>
      <c r="Y150" s="1191"/>
      <c r="Z150" s="1191"/>
      <c r="AA150" s="1191"/>
      <c r="AB150" s="1191"/>
      <c r="AC150" s="1191" t="s">
        <v>424</v>
      </c>
      <c r="AD150" s="1191" t="s">
        <v>425</v>
      </c>
      <c r="AE150" s="1191" t="s">
        <v>426</v>
      </c>
      <c r="AF150" s="1191" t="s">
        <v>427</v>
      </c>
      <c r="AG150" s="1191"/>
      <c r="AH150" s="1191" t="str">
        <f>IF($E$150=0,"",$E$150)</f>
        <v>Тариф на горячую воду (горячее водоснабжение)</v>
      </c>
      <c r="AI150" s="1191" t="str">
        <f>IF($G$150=0,"",$G$150)</f>
        <v/>
      </c>
      <c r="AJ150" s="1191" t="str">
        <f>IF($J$150=0,"",$J$150)</f>
        <v/>
      </c>
      <c r="AK150" s="1191" t="str">
        <f>IF($K$150="нет","без дифференциации",IF($N$150=0,"",$N$150))</f>
        <v/>
      </c>
      <c r="AL150" s="1191" t="str">
        <f>IF($O$150="нет","без дифференциации",IF($R$150=0,"",$R$150))</f>
        <v/>
      </c>
      <c r="AM150" s="1191" t="str">
        <f>IF($S$150="нет","без дифференциации",IF($V$150=0,"",$V$150))</f>
        <v/>
      </c>
      <c r="AN150" s="1191">
        <f>$I$150</f>
        <v>0</v>
      </c>
      <c r="AO150" s="1191" t="str">
        <f>$I$150&amp;"."&amp;$M$150</f>
        <v>.</v>
      </c>
      <c r="AP150" s="1191" t="str">
        <f>$I$150&amp;"."&amp;$M$150&amp;"."&amp;$Q$150</f>
        <v>..</v>
      </c>
      <c r="AQ150" s="1191" t="str">
        <f>$I$150&amp;"."&amp;$M$150&amp;"."&amp;$Q$150&amp;"."&amp;$U$150</f>
        <v>...</v>
      </c>
    </row>
    <row r="151" spans="1:43" s="1771" customFormat="1" ht="17.25" hidden="1" customHeight="1">
      <c r="A151" s="240"/>
      <c r="C151" s="239"/>
      <c r="D151" s="7573"/>
      <c r="E151" s="7575"/>
      <c r="F151" s="7578"/>
      <c r="G151" s="7575"/>
      <c r="H151" s="7581"/>
      <c r="I151" s="7583"/>
      <c r="J151" s="7585"/>
      <c r="K151" s="7568"/>
      <c r="L151" s="7568"/>
      <c r="M151" s="7568"/>
      <c r="N151" s="7570"/>
      <c r="O151" s="7568"/>
      <c r="P151" s="7568"/>
      <c r="Q151" s="7568"/>
      <c r="R151" s="7571"/>
      <c r="S151" s="7568"/>
      <c r="T151" s="1221"/>
      <c r="U151" s="1221"/>
      <c r="V151" s="1221"/>
      <c r="W151" s="1222"/>
      <c r="Y151" s="1184"/>
      <c r="Z151" s="1184"/>
      <c r="AA151" s="1184"/>
      <c r="AB151" s="1184"/>
      <c r="AC151" s="1184"/>
      <c r="AD151" s="1184"/>
      <c r="AE151" s="1184"/>
      <c r="AF151" s="1184"/>
      <c r="AG151" s="1184"/>
      <c r="AH151" s="1184"/>
      <c r="AI151" s="1184"/>
      <c r="AJ151" s="1184"/>
      <c r="AK151" s="1184"/>
      <c r="AL151" s="1184"/>
      <c r="AM151" s="1184"/>
      <c r="AN151" s="1184"/>
      <c r="AO151" s="1184"/>
      <c r="AP151" s="1184"/>
      <c r="AQ151" s="1184"/>
    </row>
    <row r="152" spans="1:43" s="1771" customFormat="1" ht="17.25" hidden="1" customHeight="1">
      <c r="A152" s="240"/>
      <c r="C152" s="126"/>
      <c r="D152" s="7573"/>
      <c r="E152" s="7575"/>
      <c r="F152" s="7578"/>
      <c r="G152" s="7575"/>
      <c r="H152" s="7581"/>
      <c r="I152" s="7583"/>
      <c r="J152" s="7586"/>
      <c r="K152" s="7568"/>
      <c r="L152" s="7568"/>
      <c r="M152" s="7568"/>
      <c r="N152" s="7571"/>
      <c r="O152" s="7568"/>
      <c r="P152" s="1387"/>
      <c r="Q152" s="1221"/>
      <c r="R152" s="1221"/>
      <c r="S152" s="251"/>
      <c r="T152" s="251"/>
      <c r="U152" s="251"/>
      <c r="V152" s="251"/>
      <c r="W152" s="1222"/>
      <c r="Y152" s="1191"/>
      <c r="Z152" s="1191"/>
      <c r="AA152" s="1191"/>
      <c r="AB152" s="1191"/>
      <c r="AC152" s="1191"/>
      <c r="AD152" s="1191"/>
      <c r="AE152" s="1191"/>
      <c r="AF152" s="1191"/>
      <c r="AG152" s="1191"/>
      <c r="AH152" s="1191"/>
      <c r="AI152" s="1191"/>
      <c r="AJ152" s="1191"/>
      <c r="AK152" s="1191"/>
      <c r="AL152" s="1191"/>
      <c r="AM152" s="1191"/>
      <c r="AN152" s="1191"/>
      <c r="AO152" s="1191"/>
      <c r="AP152" s="1191"/>
      <c r="AQ152" s="1191"/>
    </row>
    <row r="153" spans="1:43" s="1771" customFormat="1" ht="17.25" hidden="1" customHeight="1">
      <c r="A153" s="240"/>
      <c r="C153" s="239"/>
      <c r="D153" s="7573"/>
      <c r="E153" s="7575"/>
      <c r="F153" s="7578"/>
      <c r="G153" s="7575"/>
      <c r="H153" s="7581"/>
      <c r="I153" s="7583"/>
      <c r="J153" s="7586"/>
      <c r="K153" s="7568"/>
      <c r="L153" s="1221"/>
      <c r="M153" s="1221"/>
      <c r="N153" s="1221"/>
      <c r="O153" s="1221"/>
      <c r="P153" s="1221"/>
      <c r="Q153" s="1221"/>
      <c r="R153" s="1221"/>
      <c r="S153" s="251"/>
      <c r="T153" s="251"/>
      <c r="U153" s="251"/>
      <c r="V153" s="251"/>
      <c r="W153" s="1222"/>
      <c r="Y153" s="1184"/>
      <c r="Z153" s="1184"/>
      <c r="AA153" s="1184"/>
      <c r="AB153" s="1184"/>
      <c r="AC153" s="1184"/>
      <c r="AD153" s="1184"/>
      <c r="AE153" s="1184"/>
      <c r="AF153" s="1184"/>
      <c r="AG153" s="1184"/>
      <c r="AH153" s="1184"/>
      <c r="AI153" s="1184"/>
      <c r="AJ153" s="1184"/>
      <c r="AK153" s="1184"/>
      <c r="AL153" s="1184"/>
      <c r="AM153" s="1184"/>
      <c r="AN153" s="1184"/>
      <c r="AO153" s="1184"/>
      <c r="AP153" s="1184"/>
      <c r="AQ153" s="1184"/>
    </row>
    <row r="154" spans="1:43" s="1771" customFormat="1" ht="17.25" hidden="1" customHeight="1">
      <c r="A154" s="240"/>
      <c r="C154" s="239"/>
      <c r="D154" s="7574"/>
      <c r="E154" s="7576"/>
      <c r="F154" s="7579"/>
      <c r="G154" s="7576"/>
      <c r="H154" s="1223"/>
      <c r="I154" s="1224"/>
      <c r="J154" s="1224"/>
      <c r="K154" s="1224"/>
      <c r="L154" s="1224"/>
      <c r="M154" s="1224"/>
      <c r="N154" s="1224"/>
      <c r="O154" s="1224"/>
      <c r="P154" s="1224"/>
      <c r="Q154" s="1224"/>
      <c r="R154" s="1224"/>
      <c r="S154" s="1225"/>
      <c r="T154" s="1225"/>
      <c r="U154" s="1225"/>
      <c r="V154" s="1225"/>
      <c r="W154" s="1226"/>
      <c r="Y154" s="1184"/>
      <c r="Z154" s="1184"/>
      <c r="AA154" s="1184"/>
      <c r="AB154" s="1184"/>
      <c r="AC154" s="1184"/>
      <c r="AD154" s="1184"/>
      <c r="AE154" s="1184"/>
      <c r="AF154" s="1184"/>
      <c r="AG154" s="1184"/>
      <c r="AH154" s="1184"/>
      <c r="AI154" s="1184"/>
      <c r="AJ154" s="1184"/>
      <c r="AK154" s="1184"/>
      <c r="AL154" s="1184"/>
      <c r="AM154" s="1184"/>
      <c r="AN154" s="1184"/>
      <c r="AO154" s="1184"/>
      <c r="AP154" s="1184"/>
      <c r="AQ154" s="1184"/>
    </row>
    <row r="155" spans="1:43" s="1771" customFormat="1" ht="17.25" hidden="1" customHeight="1">
      <c r="A155" s="240"/>
      <c r="C155" s="126"/>
      <c r="D155" s="7573">
        <v>2</v>
      </c>
      <c r="E155" s="7575" t="s">
        <v>428</v>
      </c>
      <c r="F155" s="7577" t="s">
        <v>55</v>
      </c>
      <c r="G155" s="7575"/>
      <c r="H155" s="7580"/>
      <c r="I155" s="7582"/>
      <c r="J155" s="7584"/>
      <c r="K155" s="7567"/>
      <c r="L155" s="7567"/>
      <c r="M155" s="7567"/>
      <c r="N155" s="7569"/>
      <c r="O155" s="7567"/>
      <c r="P155" s="7567"/>
      <c r="Q155" s="7567"/>
      <c r="R155" s="7572"/>
      <c r="S155" s="7567"/>
      <c r="T155" s="1386"/>
      <c r="U155" s="1386"/>
      <c r="V155" s="1388"/>
      <c r="W155" s="1220"/>
      <c r="X155" s="1191"/>
      <c r="Y155" s="1191"/>
      <c r="Z155" s="1191"/>
      <c r="AA155" s="1191"/>
      <c r="AB155" s="1191"/>
      <c r="AC155" s="1191" t="s">
        <v>429</v>
      </c>
      <c r="AD155" s="1191" t="s">
        <v>430</v>
      </c>
      <c r="AE155" s="1191" t="s">
        <v>431</v>
      </c>
      <c r="AF155" s="1191" t="s">
        <v>432</v>
      </c>
      <c r="AG155" s="1191"/>
      <c r="AH155" s="1191" t="str">
        <f>IF($E$155=0,"",$E$155)</f>
        <v>Тариф на транспортировку горячей воды</v>
      </c>
      <c r="AI155" s="1191" t="str">
        <f>IF($G$155=0,"",$G$155)</f>
        <v/>
      </c>
      <c r="AJ155" s="1191" t="str">
        <f>IF($J$155=0,"",$J$155)</f>
        <v/>
      </c>
      <c r="AK155" s="1191" t="str">
        <f>IF($K$155="нет","без дифференциации",IF($N$155=0,"",$N$155))</f>
        <v/>
      </c>
      <c r="AL155" s="1191" t="str">
        <f>IF($O$155="нет","без дифференциации",IF($R$155=0,"",$R$155))</f>
        <v/>
      </c>
      <c r="AM155" s="1191" t="str">
        <f>IF($S$155="нет","без дифференциации",IF($V$155=0,"",$V$155))</f>
        <v/>
      </c>
      <c r="AN155" s="1692">
        <f>$I$155</f>
        <v>0</v>
      </c>
      <c r="AO155" s="1191" t="str">
        <f>$I$155&amp;"."&amp;$M$155</f>
        <v>.</v>
      </c>
      <c r="AP155" s="1184" t="str">
        <f>$I$155&amp;"."&amp;$M$155&amp;"."&amp;$Q$155</f>
        <v>..</v>
      </c>
      <c r="AQ155" s="1184" t="str">
        <f>$I$155&amp;"."&amp;$M$155&amp;"."&amp;$Q$155&amp;"."&amp;$U$155</f>
        <v>...</v>
      </c>
    </row>
    <row r="156" spans="1:43" s="1771" customFormat="1" ht="17.25" hidden="1" customHeight="1">
      <c r="A156" s="240"/>
      <c r="C156" s="239"/>
      <c r="D156" s="7573"/>
      <c r="E156" s="7575"/>
      <c r="F156" s="7578"/>
      <c r="G156" s="7575"/>
      <c r="H156" s="7581"/>
      <c r="I156" s="7583"/>
      <c r="J156" s="7585"/>
      <c r="K156" s="7568"/>
      <c r="L156" s="7568"/>
      <c r="M156" s="7568"/>
      <c r="N156" s="7570"/>
      <c r="O156" s="7568"/>
      <c r="P156" s="7568"/>
      <c r="Q156" s="7568"/>
      <c r="R156" s="7571"/>
      <c r="S156" s="7568"/>
      <c r="T156" s="1221"/>
      <c r="U156" s="1221"/>
      <c r="V156" s="1221"/>
      <c r="W156" s="1222"/>
      <c r="X156" s="1184"/>
      <c r="Y156" s="1184"/>
      <c r="Z156" s="1184"/>
      <c r="AA156" s="1184"/>
      <c r="AB156" s="1184"/>
      <c r="AC156" s="1184"/>
      <c r="AD156" s="1184"/>
      <c r="AE156" s="1184"/>
      <c r="AF156" s="1184"/>
      <c r="AG156" s="1184"/>
      <c r="AH156" s="1184"/>
      <c r="AI156" s="1184"/>
      <c r="AJ156" s="1184"/>
      <c r="AK156" s="1184"/>
      <c r="AL156" s="1184"/>
      <c r="AM156" s="1184"/>
      <c r="AN156" s="1184"/>
      <c r="AO156" s="1184"/>
      <c r="AP156" s="1184"/>
      <c r="AQ156" s="1184"/>
    </row>
    <row r="157" spans="1:43" s="1771" customFormat="1" ht="17.25" hidden="1" customHeight="1">
      <c r="A157" s="240"/>
      <c r="C157" s="239"/>
      <c r="D157" s="7574"/>
      <c r="E157" s="7576"/>
      <c r="F157" s="7578"/>
      <c r="G157" s="7576"/>
      <c r="H157" s="7581"/>
      <c r="I157" s="7583"/>
      <c r="J157" s="7586"/>
      <c r="K157" s="7568"/>
      <c r="L157" s="7568"/>
      <c r="M157" s="7568"/>
      <c r="N157" s="7571"/>
      <c r="O157" s="7568"/>
      <c r="P157" s="1387"/>
      <c r="Q157" s="1221"/>
      <c r="R157" s="1221"/>
      <c r="S157" s="251"/>
      <c r="T157" s="251"/>
      <c r="U157" s="251"/>
      <c r="V157" s="251"/>
      <c r="W157" s="1222"/>
      <c r="X157" s="1184"/>
      <c r="Y157" s="1184"/>
      <c r="Z157" s="1184"/>
      <c r="AA157" s="1184"/>
      <c r="AB157" s="1184"/>
      <c r="AC157" s="1184"/>
      <c r="AD157" s="1184"/>
      <c r="AE157" s="1184"/>
      <c r="AF157" s="1184"/>
      <c r="AG157" s="1184"/>
      <c r="AH157" s="1184"/>
      <c r="AI157" s="1184"/>
      <c r="AJ157" s="1184"/>
      <c r="AK157" s="1184"/>
      <c r="AL157" s="1184"/>
      <c r="AM157" s="1184"/>
      <c r="AN157" s="1184"/>
      <c r="AO157" s="1184"/>
      <c r="AP157" s="1184"/>
      <c r="AQ157" s="1184"/>
    </row>
    <row r="158" spans="1:43" s="1771" customFormat="1" ht="17.25" hidden="1" customHeight="1">
      <c r="A158" s="240"/>
      <c r="C158" s="239"/>
      <c r="D158" s="7574"/>
      <c r="E158" s="7576"/>
      <c r="F158" s="7578"/>
      <c r="G158" s="7576"/>
      <c r="H158" s="7581"/>
      <c r="I158" s="7583"/>
      <c r="J158" s="7586"/>
      <c r="K158" s="7568"/>
      <c r="L158" s="1221"/>
      <c r="M158" s="1221"/>
      <c r="N158" s="1221"/>
      <c r="O158" s="1221"/>
      <c r="P158" s="1221"/>
      <c r="Q158" s="1221"/>
      <c r="R158" s="1221"/>
      <c r="S158" s="251"/>
      <c r="T158" s="251"/>
      <c r="U158" s="251"/>
      <c r="V158" s="251"/>
      <c r="W158" s="1222"/>
      <c r="X158" s="1184"/>
      <c r="Y158" s="1184"/>
      <c r="Z158" s="1184"/>
      <c r="AA158" s="1184"/>
      <c r="AB158" s="1184"/>
      <c r="AC158" s="1184"/>
      <c r="AD158" s="1184"/>
      <c r="AE158" s="1184"/>
      <c r="AF158" s="1184"/>
      <c r="AG158" s="1184"/>
      <c r="AH158" s="1184"/>
      <c r="AI158" s="1184"/>
      <c r="AJ158" s="1184"/>
      <c r="AK158" s="1184"/>
      <c r="AL158" s="1184"/>
      <c r="AM158" s="1184"/>
      <c r="AN158" s="1184"/>
      <c r="AO158" s="1184"/>
      <c r="AP158" s="1184"/>
      <c r="AQ158" s="1184"/>
    </row>
    <row r="159" spans="1:43" s="1771" customFormat="1" ht="17.25" hidden="1" customHeight="1">
      <c r="A159" s="240"/>
      <c r="C159" s="239"/>
      <c r="D159" s="7574"/>
      <c r="E159" s="7576"/>
      <c r="F159" s="7579"/>
      <c r="G159" s="7576"/>
      <c r="H159" s="1223"/>
      <c r="I159" s="1224"/>
      <c r="J159" s="1224"/>
      <c r="K159" s="1224"/>
      <c r="L159" s="1224"/>
      <c r="M159" s="1224"/>
      <c r="N159" s="1224"/>
      <c r="O159" s="1224"/>
      <c r="P159" s="1224"/>
      <c r="Q159" s="1224"/>
      <c r="R159" s="1224"/>
      <c r="S159" s="1225"/>
      <c r="T159" s="1225"/>
      <c r="U159" s="1225"/>
      <c r="V159" s="1225"/>
      <c r="W159" s="1226"/>
      <c r="X159" s="1184"/>
      <c r="Y159" s="1184"/>
      <c r="Z159" s="1184"/>
      <c r="AA159" s="1184"/>
      <c r="AB159" s="1184"/>
      <c r="AC159" s="1184"/>
      <c r="AD159" s="1184"/>
      <c r="AE159" s="1184"/>
      <c r="AF159" s="1184"/>
      <c r="AG159" s="1184"/>
      <c r="AH159" s="1184"/>
      <c r="AI159" s="1184"/>
      <c r="AJ159" s="1184"/>
      <c r="AK159" s="1184"/>
      <c r="AL159" s="1184"/>
      <c r="AM159" s="1184"/>
      <c r="AN159" s="1184"/>
      <c r="AO159" s="1184"/>
      <c r="AP159" s="1184"/>
      <c r="AQ159" s="1184"/>
    </row>
    <row r="160" spans="1:43" s="1771" customFormat="1" ht="17.25" hidden="1" customHeight="1">
      <c r="A160" s="240"/>
      <c r="C160" s="126"/>
      <c r="D160" s="7573">
        <v>3</v>
      </c>
      <c r="E160" s="7575" t="s">
        <v>433</v>
      </c>
      <c r="F160" s="7577" t="s">
        <v>55</v>
      </c>
      <c r="G160" s="7575"/>
      <c r="H160" s="7580"/>
      <c r="I160" s="7582"/>
      <c r="J160" s="7584"/>
      <c r="K160" s="7567"/>
      <c r="L160" s="7567"/>
      <c r="M160" s="7567"/>
      <c r="N160" s="7569"/>
      <c r="O160" s="7567"/>
      <c r="P160" s="7567"/>
      <c r="Q160" s="7567"/>
      <c r="R160" s="7572"/>
      <c r="S160" s="7567"/>
      <c r="T160" s="1386"/>
      <c r="U160" s="1386"/>
      <c r="V160" s="1388"/>
      <c r="W160" s="1220"/>
      <c r="X160" s="1191"/>
      <c r="Y160" s="1191"/>
      <c r="Z160" s="1191"/>
      <c r="AA160" s="1191"/>
      <c r="AB160" s="1191"/>
      <c r="AC160" s="1191" t="s">
        <v>434</v>
      </c>
      <c r="AD160" s="1191" t="s">
        <v>435</v>
      </c>
      <c r="AE160" s="1191" t="s">
        <v>436</v>
      </c>
      <c r="AF160" s="1191" t="s">
        <v>437</v>
      </c>
      <c r="AG160" s="1191"/>
      <c r="AH160" s="1191" t="str">
        <f>IF($E$160=0,"",$E$160)</f>
        <v>Тариф на подключение (технологическое присоединение) к централизованной системе горячего водоснабжения</v>
      </c>
      <c r="AI160" s="1191" t="str">
        <f>IF($G$160=0,"",$G$160)</f>
        <v/>
      </c>
      <c r="AJ160" s="1191" t="str">
        <f>IF($J$160=0,"",$J$160)</f>
        <v/>
      </c>
      <c r="AK160" s="1191" t="str">
        <f>IF($K$160="нет","без дифференциации",IF($N$160=0,"",$N$160))</f>
        <v/>
      </c>
      <c r="AL160" s="1191" t="str">
        <f>IF($O$160="нет","без дифференциации",IF($R$160=0,"",$R$160))</f>
        <v/>
      </c>
      <c r="AM160" s="1191" t="str">
        <f>IF($S$160="нет","без дифференциации",IF($V$160=0,"",$V$160))</f>
        <v/>
      </c>
      <c r="AN160" s="1692">
        <f>$I$160</f>
        <v>0</v>
      </c>
      <c r="AO160" s="1191" t="str">
        <f>$I$160&amp;"."&amp;$M$160</f>
        <v>.</v>
      </c>
      <c r="AP160" s="1184" t="str">
        <f>$I$160&amp;"."&amp;$M$160&amp;"."&amp;$Q$160</f>
        <v>..</v>
      </c>
      <c r="AQ160" s="1184" t="str">
        <f>$I$160&amp;"."&amp;$M$160&amp;"."&amp;$Q$160&amp;"."&amp;$U$160</f>
        <v>...</v>
      </c>
    </row>
    <row r="161" spans="1:43" s="1771" customFormat="1" ht="17.25" hidden="1" customHeight="1">
      <c r="A161" s="240"/>
      <c r="C161" s="239"/>
      <c r="D161" s="7573"/>
      <c r="E161" s="7575"/>
      <c r="F161" s="7578"/>
      <c r="G161" s="7575"/>
      <c r="H161" s="7581"/>
      <c r="I161" s="7583"/>
      <c r="J161" s="7585"/>
      <c r="K161" s="7568"/>
      <c r="L161" s="7568"/>
      <c r="M161" s="7568"/>
      <c r="N161" s="7570"/>
      <c r="O161" s="7568"/>
      <c r="P161" s="7568"/>
      <c r="Q161" s="7568"/>
      <c r="R161" s="7571"/>
      <c r="S161" s="7568"/>
      <c r="T161" s="1221"/>
      <c r="U161" s="1221"/>
      <c r="V161" s="1221"/>
      <c r="W161" s="1222"/>
      <c r="X161" s="1184"/>
      <c r="Y161" s="1184"/>
      <c r="Z161" s="1184"/>
      <c r="AA161" s="1184"/>
      <c r="AB161" s="1184"/>
      <c r="AC161" s="1184"/>
      <c r="AD161" s="1184"/>
      <c r="AE161" s="1184"/>
      <c r="AF161" s="1184"/>
      <c r="AG161" s="1184"/>
      <c r="AH161" s="1184"/>
      <c r="AI161" s="1184"/>
      <c r="AJ161" s="1184"/>
      <c r="AK161" s="1184"/>
      <c r="AL161" s="1184"/>
      <c r="AM161" s="1184"/>
      <c r="AN161" s="1184"/>
      <c r="AO161" s="1184"/>
      <c r="AP161" s="1184"/>
      <c r="AQ161" s="1184"/>
    </row>
    <row r="162" spans="1:43" s="1771" customFormat="1" ht="17.25" hidden="1" customHeight="1">
      <c r="A162" s="240"/>
      <c r="C162" s="239"/>
      <c r="D162" s="7574"/>
      <c r="E162" s="7576"/>
      <c r="F162" s="7578"/>
      <c r="G162" s="7576"/>
      <c r="H162" s="7581"/>
      <c r="I162" s="7583"/>
      <c r="J162" s="7586"/>
      <c r="K162" s="7568"/>
      <c r="L162" s="7568"/>
      <c r="M162" s="7568"/>
      <c r="N162" s="7571"/>
      <c r="O162" s="7568"/>
      <c r="P162" s="1387"/>
      <c r="Q162" s="1221"/>
      <c r="R162" s="1221"/>
      <c r="S162" s="251"/>
      <c r="T162" s="251"/>
      <c r="U162" s="251"/>
      <c r="V162" s="251"/>
      <c r="W162" s="1222"/>
      <c r="X162" s="1184"/>
      <c r="Y162" s="1184"/>
      <c r="Z162" s="1184"/>
      <c r="AA162" s="1184"/>
      <c r="AB162" s="1184"/>
      <c r="AC162" s="1184"/>
      <c r="AD162" s="1184"/>
      <c r="AE162" s="1184"/>
      <c r="AF162" s="1184"/>
      <c r="AG162" s="1184"/>
      <c r="AH162" s="1184"/>
      <c r="AI162" s="1184"/>
      <c r="AJ162" s="1184"/>
      <c r="AK162" s="1184"/>
      <c r="AL162" s="1184"/>
      <c r="AM162" s="1184"/>
      <c r="AN162" s="1184"/>
      <c r="AO162" s="1184"/>
      <c r="AP162" s="1184"/>
      <c r="AQ162" s="1184"/>
    </row>
    <row r="163" spans="1:43" s="1771" customFormat="1" ht="17.25" hidden="1" customHeight="1">
      <c r="A163" s="240"/>
      <c r="C163" s="239"/>
      <c r="D163" s="7574"/>
      <c r="E163" s="7576"/>
      <c r="F163" s="7578"/>
      <c r="G163" s="7576"/>
      <c r="H163" s="7581"/>
      <c r="I163" s="7583"/>
      <c r="J163" s="7586"/>
      <c r="K163" s="7568"/>
      <c r="L163" s="1221"/>
      <c r="M163" s="1221"/>
      <c r="N163" s="1221"/>
      <c r="O163" s="1221"/>
      <c r="P163" s="1221"/>
      <c r="Q163" s="1221"/>
      <c r="R163" s="1221"/>
      <c r="S163" s="251"/>
      <c r="T163" s="251"/>
      <c r="U163" s="251"/>
      <c r="V163" s="251"/>
      <c r="W163" s="1222"/>
      <c r="X163" s="1184"/>
      <c r="Y163" s="1184"/>
      <c r="Z163" s="1184"/>
      <c r="AA163" s="1184"/>
      <c r="AB163" s="1184"/>
      <c r="AC163" s="1184"/>
      <c r="AD163" s="1184"/>
      <c r="AE163" s="1184"/>
      <c r="AF163" s="1184"/>
      <c r="AG163" s="1184"/>
      <c r="AH163" s="1184"/>
      <c r="AI163" s="1184"/>
      <c r="AJ163" s="1184"/>
      <c r="AK163" s="1184"/>
      <c r="AL163" s="1184"/>
      <c r="AM163" s="1184"/>
      <c r="AN163" s="1184"/>
      <c r="AO163" s="1184"/>
      <c r="AP163" s="1184"/>
      <c r="AQ163" s="1184"/>
    </row>
    <row r="164" spans="1:43" s="1771" customFormat="1" ht="17.25" hidden="1" customHeight="1">
      <c r="A164" s="240"/>
      <c r="C164" s="239"/>
      <c r="D164" s="7574"/>
      <c r="E164" s="7576"/>
      <c r="F164" s="7579"/>
      <c r="G164" s="7576"/>
      <c r="H164" s="1223"/>
      <c r="I164" s="1224"/>
      <c r="J164" s="1224"/>
      <c r="K164" s="1224"/>
      <c r="L164" s="1224"/>
      <c r="M164" s="1224"/>
      <c r="N164" s="1224"/>
      <c r="O164" s="1224"/>
      <c r="P164" s="1224"/>
      <c r="Q164" s="1224"/>
      <c r="R164" s="1224"/>
      <c r="S164" s="1225"/>
      <c r="T164" s="1225"/>
      <c r="U164" s="1225"/>
      <c r="V164" s="1225"/>
      <c r="W164" s="1226"/>
      <c r="X164" s="1184"/>
      <c r="Y164" s="1184"/>
      <c r="Z164" s="1184"/>
      <c r="AA164" s="1184"/>
      <c r="AB164" s="1184"/>
      <c r="AC164" s="1184"/>
      <c r="AD164" s="1184"/>
      <c r="AE164" s="1184"/>
      <c r="AF164" s="1184"/>
      <c r="AG164" s="1184"/>
      <c r="AH164" s="1184"/>
      <c r="AI164" s="1184"/>
      <c r="AJ164" s="1184"/>
      <c r="AK164" s="1184"/>
      <c r="AL164" s="1184"/>
      <c r="AM164" s="1184"/>
      <c r="AN164" s="1184"/>
      <c r="AO164" s="1184"/>
      <c r="AP164" s="1184"/>
      <c r="AQ164" s="1184"/>
    </row>
    <row r="165" spans="1:43" s="1771" customFormat="1" ht="11.25" hidden="1" customHeight="1">
      <c r="A165" s="191"/>
      <c r="B165" s="191"/>
      <c r="Y165" s="1184"/>
      <c r="Z165" s="1184"/>
      <c r="AA165" s="1184"/>
      <c r="AB165" s="1184"/>
      <c r="AC165" s="1184"/>
      <c r="AD165" s="1184"/>
      <c r="AE165" s="1184"/>
      <c r="AF165" s="1184"/>
      <c r="AG165" s="1184"/>
      <c r="AH165" s="1184"/>
      <c r="AI165" s="1184"/>
      <c r="AJ165" s="1184"/>
      <c r="AK165" s="1184"/>
      <c r="AL165" s="1184"/>
      <c r="AM165" s="1184"/>
      <c r="AN165" s="1184"/>
      <c r="AO165" s="1184"/>
      <c r="AP165" s="1184"/>
      <c r="AQ165" s="1184"/>
    </row>
    <row r="166" spans="1:43" s="1771" customFormat="1" ht="17.25" hidden="1" customHeight="1">
      <c r="A166" s="240"/>
      <c r="C166" s="126"/>
      <c r="D166" s="7573">
        <v>1</v>
      </c>
      <c r="E166" s="7575" t="s">
        <v>438</v>
      </c>
      <c r="F166" s="7577" t="s">
        <v>55</v>
      </c>
      <c r="G166" s="7575"/>
      <c r="H166" s="7580"/>
      <c r="I166" s="7582"/>
      <c r="J166" s="7584"/>
      <c r="K166" s="7567"/>
      <c r="L166" s="7567"/>
      <c r="M166" s="7567"/>
      <c r="N166" s="7569"/>
      <c r="O166" s="7567"/>
      <c r="P166" s="7567"/>
      <c r="Q166" s="7567"/>
      <c r="R166" s="7572"/>
      <c r="S166" s="7567"/>
      <c r="T166" s="1386"/>
      <c r="U166" s="1386"/>
      <c r="V166" s="1388"/>
      <c r="W166" s="1220"/>
      <c r="Y166" s="1191"/>
      <c r="Z166" s="1191"/>
      <c r="AA166" s="1191"/>
      <c r="AB166" s="1191"/>
      <c r="AC166" s="1191" t="s">
        <v>439</v>
      </c>
      <c r="AD166" s="1191" t="s">
        <v>440</v>
      </c>
      <c r="AE166" s="1191" t="s">
        <v>441</v>
      </c>
      <c r="AF166" s="1191" t="s">
        <v>442</v>
      </c>
      <c r="AG166" s="1191"/>
      <c r="AH166" s="1191" t="str">
        <f>IF($E$166=0,"",$E$166)</f>
        <v>Тариф на водоотведение</v>
      </c>
      <c r="AI166" s="1191" t="str">
        <f>IF($G$166=0,"",$G$166)</f>
        <v/>
      </c>
      <c r="AJ166" s="1191" t="str">
        <f>IF($J$166=0,"",$J$166)</f>
        <v/>
      </c>
      <c r="AK166" s="1191" t="str">
        <f>IF($K$166="нет","без дифференциации",IF($N$166=0,"",$N$166))</f>
        <v/>
      </c>
      <c r="AL166" s="1191" t="str">
        <f>IF($O$166="нет","без дифференциации",IF($R$166=0,"",$R$166))</f>
        <v/>
      </c>
      <c r="AM166" s="1191" t="str">
        <f>IF($S$166="нет","без дифференциации",IF($V$166=0,"",$V$166))</f>
        <v/>
      </c>
      <c r="AN166" s="1191">
        <f>$I$166</f>
        <v>0</v>
      </c>
      <c r="AO166" s="1191" t="str">
        <f>$I$166&amp;"."&amp;$M$166</f>
        <v>.</v>
      </c>
      <c r="AP166" s="1191" t="str">
        <f>$I$166&amp;"."&amp;$M$166&amp;"."&amp;$Q$166</f>
        <v>..</v>
      </c>
      <c r="AQ166" s="1191" t="str">
        <f>$I$166&amp;"."&amp;$M$166&amp;"."&amp;$Q$166&amp;"."&amp;$U$166</f>
        <v>...</v>
      </c>
    </row>
    <row r="167" spans="1:43" s="1771" customFormat="1" ht="17.25" hidden="1" customHeight="1">
      <c r="A167" s="240"/>
      <c r="C167" s="239"/>
      <c r="D167" s="7573"/>
      <c r="E167" s="7575"/>
      <c r="F167" s="7578"/>
      <c r="G167" s="7575"/>
      <c r="H167" s="7581"/>
      <c r="I167" s="7583"/>
      <c r="J167" s="7585"/>
      <c r="K167" s="7568"/>
      <c r="L167" s="7568"/>
      <c r="M167" s="7568"/>
      <c r="N167" s="7570"/>
      <c r="O167" s="7568"/>
      <c r="P167" s="7568"/>
      <c r="Q167" s="7568"/>
      <c r="R167" s="7571"/>
      <c r="S167" s="7568"/>
      <c r="T167" s="1221"/>
      <c r="U167" s="1221"/>
      <c r="V167" s="1221"/>
      <c r="W167" s="1222"/>
      <c r="Y167" s="1184"/>
      <c r="Z167" s="1184"/>
      <c r="AA167" s="1184"/>
      <c r="AB167" s="1184"/>
      <c r="AC167" s="1184"/>
      <c r="AD167" s="1184"/>
      <c r="AE167" s="1184"/>
      <c r="AF167" s="1184"/>
      <c r="AG167" s="1184"/>
      <c r="AH167" s="1184"/>
      <c r="AI167" s="1184"/>
      <c r="AJ167" s="1184"/>
      <c r="AK167" s="1184"/>
      <c r="AL167" s="1184"/>
      <c r="AM167" s="1184"/>
      <c r="AN167" s="1184"/>
      <c r="AO167" s="1184"/>
      <c r="AP167" s="1184"/>
      <c r="AQ167" s="1184"/>
    </row>
    <row r="168" spans="1:43" s="1771" customFormat="1" ht="17.25" hidden="1" customHeight="1">
      <c r="A168" s="240"/>
      <c r="C168" s="126"/>
      <c r="D168" s="7573"/>
      <c r="E168" s="7575"/>
      <c r="F168" s="7578"/>
      <c r="G168" s="7575"/>
      <c r="H168" s="7581"/>
      <c r="I168" s="7583"/>
      <c r="J168" s="7586"/>
      <c r="K168" s="7568"/>
      <c r="L168" s="7568"/>
      <c r="M168" s="7568"/>
      <c r="N168" s="7571"/>
      <c r="O168" s="7568"/>
      <c r="P168" s="1387"/>
      <c r="Q168" s="1221"/>
      <c r="R168" s="1221"/>
      <c r="S168" s="251"/>
      <c r="T168" s="251"/>
      <c r="U168" s="251"/>
      <c r="V168" s="251"/>
      <c r="W168" s="1222"/>
      <c r="Y168" s="1191"/>
      <c r="Z168" s="1191"/>
      <c r="AA168" s="1191"/>
      <c r="AB168" s="1191"/>
      <c r="AC168" s="1191"/>
      <c r="AD168" s="1191"/>
      <c r="AE168" s="1191"/>
      <c r="AF168" s="1191"/>
      <c r="AG168" s="1191"/>
      <c r="AH168" s="1191"/>
      <c r="AI168" s="1191"/>
      <c r="AJ168" s="1191"/>
      <c r="AK168" s="1191"/>
      <c r="AL168" s="1191"/>
      <c r="AM168" s="1191"/>
      <c r="AN168" s="1191"/>
      <c r="AO168" s="1191"/>
      <c r="AP168" s="1191"/>
      <c r="AQ168" s="1191"/>
    </row>
    <row r="169" spans="1:43" s="1771" customFormat="1" ht="17.25" hidden="1" customHeight="1">
      <c r="A169" s="240"/>
      <c r="C169" s="239"/>
      <c r="D169" s="7573"/>
      <c r="E169" s="7575"/>
      <c r="F169" s="7578"/>
      <c r="G169" s="7575"/>
      <c r="H169" s="7581"/>
      <c r="I169" s="7583"/>
      <c r="J169" s="7586"/>
      <c r="K169" s="7568"/>
      <c r="L169" s="1221"/>
      <c r="M169" s="1221"/>
      <c r="N169" s="1221"/>
      <c r="O169" s="1221"/>
      <c r="P169" s="1221"/>
      <c r="Q169" s="1221"/>
      <c r="R169" s="1221"/>
      <c r="S169" s="251"/>
      <c r="T169" s="251"/>
      <c r="U169" s="251"/>
      <c r="V169" s="251"/>
      <c r="W169" s="1222"/>
      <c r="Y169" s="1184"/>
      <c r="Z169" s="1184"/>
      <c r="AA169" s="1184"/>
      <c r="AB169" s="1184"/>
      <c r="AC169" s="1184"/>
      <c r="AD169" s="1184"/>
      <c r="AE169" s="1184"/>
      <c r="AF169" s="1184"/>
      <c r="AG169" s="1184"/>
      <c r="AH169" s="1184"/>
      <c r="AI169" s="1184"/>
      <c r="AJ169" s="1184"/>
      <c r="AK169" s="1184"/>
      <c r="AL169" s="1184"/>
      <c r="AM169" s="1184"/>
      <c r="AN169" s="1184"/>
      <c r="AO169" s="1184"/>
      <c r="AP169" s="1184"/>
      <c r="AQ169" s="1184"/>
    </row>
    <row r="170" spans="1:43" s="1771" customFormat="1" ht="17.25" hidden="1" customHeight="1">
      <c r="A170" s="240"/>
      <c r="C170" s="239"/>
      <c r="D170" s="7574"/>
      <c r="E170" s="7576"/>
      <c r="F170" s="7579"/>
      <c r="G170" s="7576"/>
      <c r="H170" s="1223"/>
      <c r="I170" s="1224"/>
      <c r="J170" s="1224"/>
      <c r="K170" s="1224"/>
      <c r="L170" s="1224"/>
      <c r="M170" s="1224"/>
      <c r="N170" s="1224"/>
      <c r="O170" s="1224"/>
      <c r="P170" s="1224"/>
      <c r="Q170" s="1224"/>
      <c r="R170" s="1224"/>
      <c r="S170" s="1225"/>
      <c r="T170" s="1225"/>
      <c r="U170" s="1225"/>
      <c r="V170" s="1225"/>
      <c r="W170" s="1226"/>
      <c r="Y170" s="1184"/>
      <c r="Z170" s="1184"/>
      <c r="AA170" s="1184"/>
      <c r="AB170" s="1184"/>
      <c r="AC170" s="1184"/>
      <c r="AD170" s="1184"/>
      <c r="AE170" s="1184"/>
      <c r="AF170" s="1184"/>
      <c r="AG170" s="1184"/>
      <c r="AH170" s="1184"/>
      <c r="AI170" s="1184"/>
      <c r="AJ170" s="1184"/>
      <c r="AK170" s="1184"/>
      <c r="AL170" s="1184"/>
      <c r="AM170" s="1184"/>
      <c r="AN170" s="1184"/>
      <c r="AO170" s="1184"/>
      <c r="AP170" s="1184"/>
      <c r="AQ170" s="1184"/>
    </row>
    <row r="171" spans="1:43" s="1771" customFormat="1" ht="17.25" hidden="1" customHeight="1">
      <c r="A171" s="240"/>
      <c r="C171" s="126"/>
      <c r="D171" s="7573">
        <v>2</v>
      </c>
      <c r="E171" s="7575" t="s">
        <v>443</v>
      </c>
      <c r="F171" s="7577" t="s">
        <v>55</v>
      </c>
      <c r="G171" s="7575"/>
      <c r="H171" s="7580"/>
      <c r="I171" s="7582"/>
      <c r="J171" s="7584"/>
      <c r="K171" s="7567"/>
      <c r="L171" s="7567"/>
      <c r="M171" s="7567"/>
      <c r="N171" s="7569"/>
      <c r="O171" s="7567"/>
      <c r="P171" s="7567"/>
      <c r="Q171" s="7567"/>
      <c r="R171" s="7572"/>
      <c r="S171" s="7567"/>
      <c r="T171" s="1386"/>
      <c r="U171" s="1386"/>
      <c r="V171" s="1388"/>
      <c r="W171" s="1220"/>
      <c r="X171" s="1191"/>
      <c r="Y171" s="1191"/>
      <c r="Z171" s="1191"/>
      <c r="AA171" s="1191"/>
      <c r="AB171" s="1191"/>
      <c r="AC171" s="1191" t="s">
        <v>444</v>
      </c>
      <c r="AD171" s="1191" t="s">
        <v>445</v>
      </c>
      <c r="AE171" s="1191" t="s">
        <v>446</v>
      </c>
      <c r="AF171" s="1191" t="s">
        <v>447</v>
      </c>
      <c r="AG171" s="1191"/>
      <c r="AH171" s="1191" t="str">
        <f>IF($E$171=0,"",$E$171)</f>
        <v>Тариф на транспортировку сточных вод</v>
      </c>
      <c r="AI171" s="1191" t="str">
        <f>IF($G$171=0,"",$G$171)</f>
        <v/>
      </c>
      <c r="AJ171" s="1191" t="str">
        <f>IF($J$171=0,"",$J$171)</f>
        <v/>
      </c>
      <c r="AK171" s="1191" t="str">
        <f>IF($K$171="нет","без дифференциации",IF($N$171=0,"",$N$171))</f>
        <v/>
      </c>
      <c r="AL171" s="1191" t="str">
        <f>IF($O$171="нет","без дифференциации",IF($R$171=0,"",$R$171))</f>
        <v/>
      </c>
      <c r="AM171" s="1191" t="str">
        <f>IF($S$171="нет","без дифференциации",IF($V$171=0,"",$V$171))</f>
        <v/>
      </c>
      <c r="AN171" s="1692">
        <f>$I$171</f>
        <v>0</v>
      </c>
      <c r="AO171" s="1191" t="str">
        <f>$I$171&amp;"."&amp;$M$171</f>
        <v>.</v>
      </c>
      <c r="AP171" s="1184" t="str">
        <f>$I$171&amp;"."&amp;$M$171&amp;"."&amp;$Q$171</f>
        <v>..</v>
      </c>
      <c r="AQ171" s="1184" t="str">
        <f>$I$171&amp;"."&amp;$M$171&amp;"."&amp;$Q$171&amp;"."&amp;$U$171</f>
        <v>...</v>
      </c>
    </row>
    <row r="172" spans="1:43" s="1771" customFormat="1" ht="17.25" hidden="1" customHeight="1">
      <c r="A172" s="240"/>
      <c r="C172" s="239"/>
      <c r="D172" s="7573"/>
      <c r="E172" s="7575"/>
      <c r="F172" s="7578"/>
      <c r="G172" s="7575"/>
      <c r="H172" s="7581"/>
      <c r="I172" s="7583"/>
      <c r="J172" s="7585"/>
      <c r="K172" s="7568"/>
      <c r="L172" s="7568"/>
      <c r="M172" s="7568"/>
      <c r="N172" s="7570"/>
      <c r="O172" s="7568"/>
      <c r="P172" s="7568"/>
      <c r="Q172" s="7568"/>
      <c r="R172" s="7571"/>
      <c r="S172" s="7568"/>
      <c r="T172" s="1221"/>
      <c r="U172" s="1221"/>
      <c r="V172" s="1221"/>
      <c r="W172" s="1222"/>
      <c r="X172" s="1184"/>
      <c r="Y172" s="1184"/>
      <c r="Z172" s="1184"/>
      <c r="AA172" s="1184"/>
      <c r="AB172" s="1184"/>
      <c r="AC172" s="1184"/>
      <c r="AD172" s="1184"/>
      <c r="AE172" s="1184"/>
      <c r="AF172" s="1184"/>
      <c r="AG172" s="1184"/>
      <c r="AH172" s="1184"/>
      <c r="AI172" s="1184"/>
      <c r="AJ172" s="1184"/>
      <c r="AK172" s="1184"/>
      <c r="AL172" s="1184"/>
      <c r="AM172" s="1184"/>
      <c r="AN172" s="1184"/>
      <c r="AO172" s="1184"/>
      <c r="AP172" s="1184"/>
      <c r="AQ172" s="1184"/>
    </row>
    <row r="173" spans="1:43" s="1771" customFormat="1" ht="17.25" hidden="1" customHeight="1">
      <c r="A173" s="240"/>
      <c r="C173" s="239"/>
      <c r="D173" s="7574"/>
      <c r="E173" s="7576"/>
      <c r="F173" s="7578"/>
      <c r="G173" s="7576"/>
      <c r="H173" s="7581"/>
      <c r="I173" s="7583"/>
      <c r="J173" s="7586"/>
      <c r="K173" s="7568"/>
      <c r="L173" s="7568"/>
      <c r="M173" s="7568"/>
      <c r="N173" s="7571"/>
      <c r="O173" s="7568"/>
      <c r="P173" s="1387"/>
      <c r="Q173" s="1221"/>
      <c r="R173" s="1221"/>
      <c r="S173" s="251"/>
      <c r="T173" s="251"/>
      <c r="U173" s="251"/>
      <c r="V173" s="251"/>
      <c r="W173" s="1222"/>
      <c r="X173" s="1184"/>
      <c r="Y173" s="1184"/>
      <c r="Z173" s="1184"/>
      <c r="AA173" s="1184"/>
      <c r="AB173" s="1184"/>
      <c r="AC173" s="1184"/>
      <c r="AD173" s="1184"/>
      <c r="AE173" s="1184"/>
      <c r="AF173" s="1184"/>
      <c r="AG173" s="1184"/>
      <c r="AH173" s="1184"/>
      <c r="AI173" s="1184"/>
      <c r="AJ173" s="1184"/>
      <c r="AK173" s="1184"/>
      <c r="AL173" s="1184"/>
      <c r="AM173" s="1184"/>
      <c r="AN173" s="1184"/>
      <c r="AO173" s="1184"/>
      <c r="AP173" s="1184"/>
      <c r="AQ173" s="1184"/>
    </row>
    <row r="174" spans="1:43" s="1771" customFormat="1" ht="17.25" hidden="1" customHeight="1">
      <c r="A174" s="240"/>
      <c r="C174" s="239"/>
      <c r="D174" s="7574"/>
      <c r="E174" s="7576"/>
      <c r="F174" s="7578"/>
      <c r="G174" s="7576"/>
      <c r="H174" s="7581"/>
      <c r="I174" s="7583"/>
      <c r="J174" s="7586"/>
      <c r="K174" s="7568"/>
      <c r="L174" s="1221"/>
      <c r="M174" s="1221"/>
      <c r="N174" s="1221"/>
      <c r="O174" s="1221"/>
      <c r="P174" s="1221"/>
      <c r="Q174" s="1221"/>
      <c r="R174" s="1221"/>
      <c r="S174" s="251"/>
      <c r="T174" s="251"/>
      <c r="U174" s="251"/>
      <c r="V174" s="251"/>
      <c r="W174" s="1222"/>
      <c r="X174" s="1184"/>
      <c r="Y174" s="1184"/>
      <c r="Z174" s="1184"/>
      <c r="AA174" s="1184"/>
      <c r="AB174" s="1184"/>
      <c r="AC174" s="1184"/>
      <c r="AD174" s="1184"/>
      <c r="AE174" s="1184"/>
      <c r="AF174" s="1184"/>
      <c r="AG174" s="1184"/>
      <c r="AH174" s="1184"/>
      <c r="AI174" s="1184"/>
      <c r="AJ174" s="1184"/>
      <c r="AK174" s="1184"/>
      <c r="AL174" s="1184"/>
      <c r="AM174" s="1184"/>
      <c r="AN174" s="1184"/>
      <c r="AO174" s="1184"/>
      <c r="AP174" s="1184"/>
      <c r="AQ174" s="1184"/>
    </row>
    <row r="175" spans="1:43" s="1771" customFormat="1" ht="17.25" hidden="1" customHeight="1">
      <c r="A175" s="240"/>
      <c r="C175" s="239"/>
      <c r="D175" s="7574"/>
      <c r="E175" s="7576"/>
      <c r="F175" s="7579"/>
      <c r="G175" s="7576"/>
      <c r="H175" s="1223"/>
      <c r="I175" s="1224"/>
      <c r="J175" s="1224"/>
      <c r="K175" s="1224"/>
      <c r="L175" s="1224"/>
      <c r="M175" s="1224"/>
      <c r="N175" s="1224"/>
      <c r="O175" s="1224"/>
      <c r="P175" s="1224"/>
      <c r="Q175" s="1224"/>
      <c r="R175" s="1224"/>
      <c r="S175" s="1225"/>
      <c r="T175" s="1225"/>
      <c r="U175" s="1225"/>
      <c r="V175" s="1225"/>
      <c r="W175" s="1226"/>
      <c r="X175" s="1184"/>
      <c r="Y175" s="1184"/>
      <c r="Z175" s="1184"/>
      <c r="AA175" s="1184"/>
      <c r="AB175" s="1184"/>
      <c r="AC175" s="1184"/>
      <c r="AD175" s="1184"/>
      <c r="AE175" s="1184"/>
      <c r="AF175" s="1184"/>
      <c r="AG175" s="1184"/>
      <c r="AH175" s="1184"/>
      <c r="AI175" s="1184"/>
      <c r="AJ175" s="1184"/>
      <c r="AK175" s="1184"/>
      <c r="AL175" s="1184"/>
      <c r="AM175" s="1184"/>
      <c r="AN175" s="1184"/>
      <c r="AO175" s="1184"/>
      <c r="AP175" s="1184"/>
      <c r="AQ175" s="1184"/>
    </row>
    <row r="176" spans="1:43" s="1771" customFormat="1" ht="17.25" hidden="1" customHeight="1">
      <c r="A176" s="240"/>
      <c r="C176" s="126"/>
      <c r="D176" s="7573">
        <v>3</v>
      </c>
      <c r="E176" s="7575" t="s">
        <v>448</v>
      </c>
      <c r="F176" s="7577" t="s">
        <v>55</v>
      </c>
      <c r="G176" s="7575"/>
      <c r="H176" s="7580"/>
      <c r="I176" s="7582"/>
      <c r="J176" s="7584"/>
      <c r="K176" s="7567"/>
      <c r="L176" s="7567"/>
      <c r="M176" s="7567"/>
      <c r="N176" s="7569"/>
      <c r="O176" s="7567"/>
      <c r="P176" s="7567"/>
      <c r="Q176" s="7567"/>
      <c r="R176" s="7572"/>
      <c r="S176" s="7567"/>
      <c r="T176" s="1386"/>
      <c r="U176" s="1386"/>
      <c r="V176" s="1388"/>
      <c r="W176" s="1220"/>
      <c r="X176" s="1191"/>
      <c r="Y176" s="1191"/>
      <c r="Z176" s="1191"/>
      <c r="AA176" s="1191"/>
      <c r="AB176" s="1191"/>
      <c r="AC176" s="1191" t="s">
        <v>449</v>
      </c>
      <c r="AD176" s="1191" t="s">
        <v>450</v>
      </c>
      <c r="AE176" s="1191" t="s">
        <v>451</v>
      </c>
      <c r="AF176" s="1191" t="s">
        <v>452</v>
      </c>
      <c r="AG176" s="1191"/>
      <c r="AH176" s="1191" t="str">
        <f>IF($E$176=0,"",$E$176)</f>
        <v>Тариф на подключение (технологическое присоединение) к централизованной системе водоотведения</v>
      </c>
      <c r="AI176" s="1191" t="str">
        <f>IF($G$176=0,"",$G$176)</f>
        <v/>
      </c>
      <c r="AJ176" s="1191" t="str">
        <f>IF($J$176=0,"",$J$176)</f>
        <v/>
      </c>
      <c r="AK176" s="1191" t="str">
        <f>IF($K$176="нет","без дифференциации",IF($N$176=0,"",$N$176))</f>
        <v/>
      </c>
      <c r="AL176" s="1191" t="str">
        <f>IF($O$176="нет","без дифференциации",IF($R$176=0,"",$R$176))</f>
        <v/>
      </c>
      <c r="AM176" s="1191" t="str">
        <f>IF($S$176="нет","без дифференциации",IF($V$176=0,"",$V$176))</f>
        <v/>
      </c>
      <c r="AN176" s="1692">
        <f>$I$176</f>
        <v>0</v>
      </c>
      <c r="AO176" s="1191" t="str">
        <f>$I$176&amp;"."&amp;$M$176</f>
        <v>.</v>
      </c>
      <c r="AP176" s="1184" t="str">
        <f>$I$176&amp;"."&amp;$M$176&amp;"."&amp;$Q$176</f>
        <v>..</v>
      </c>
      <c r="AQ176" s="1184" t="str">
        <f>$I$176&amp;"."&amp;$M$176&amp;"."&amp;$Q$176&amp;"."&amp;$U$176</f>
        <v>...</v>
      </c>
    </row>
    <row r="177" spans="1:43" s="1771" customFormat="1" ht="17.25" hidden="1" customHeight="1">
      <c r="A177" s="240"/>
      <c r="C177" s="239"/>
      <c r="D177" s="7573"/>
      <c r="E177" s="7575"/>
      <c r="F177" s="7578"/>
      <c r="G177" s="7575"/>
      <c r="H177" s="7581"/>
      <c r="I177" s="7583"/>
      <c r="J177" s="7585"/>
      <c r="K177" s="7568"/>
      <c r="L177" s="7568"/>
      <c r="M177" s="7568"/>
      <c r="N177" s="7570"/>
      <c r="O177" s="7568"/>
      <c r="P177" s="7568"/>
      <c r="Q177" s="7568"/>
      <c r="R177" s="7571"/>
      <c r="S177" s="7568"/>
      <c r="T177" s="1221"/>
      <c r="U177" s="1221"/>
      <c r="V177" s="1221"/>
      <c r="W177" s="1222"/>
      <c r="X177" s="1184"/>
      <c r="Y177" s="1184"/>
      <c r="Z177" s="1184"/>
      <c r="AA177" s="1184"/>
      <c r="AB177" s="1184"/>
      <c r="AC177" s="1184"/>
      <c r="AD177" s="1184"/>
      <c r="AE177" s="1184"/>
      <c r="AF177" s="1184"/>
      <c r="AG177" s="1184"/>
      <c r="AH177" s="1184"/>
      <c r="AI177" s="1184"/>
      <c r="AJ177" s="1184"/>
      <c r="AK177" s="1184"/>
      <c r="AL177" s="1184"/>
      <c r="AM177" s="1184"/>
      <c r="AN177" s="1184"/>
      <c r="AO177" s="1184"/>
      <c r="AP177" s="1184"/>
      <c r="AQ177" s="1184"/>
    </row>
    <row r="178" spans="1:43" s="1771" customFormat="1" ht="17.25" hidden="1" customHeight="1">
      <c r="A178" s="240"/>
      <c r="C178" s="239"/>
      <c r="D178" s="7574"/>
      <c r="E178" s="7576"/>
      <c r="F178" s="7578"/>
      <c r="G178" s="7576"/>
      <c r="H178" s="7581"/>
      <c r="I178" s="7583"/>
      <c r="J178" s="7586"/>
      <c r="K178" s="7568"/>
      <c r="L178" s="7568"/>
      <c r="M178" s="7568"/>
      <c r="N178" s="7571"/>
      <c r="O178" s="7568"/>
      <c r="P178" s="1387"/>
      <c r="Q178" s="1221"/>
      <c r="R178" s="1221"/>
      <c r="S178" s="251"/>
      <c r="T178" s="251"/>
      <c r="U178" s="251"/>
      <c r="V178" s="251"/>
      <c r="W178" s="1222"/>
      <c r="X178" s="1184"/>
      <c r="Y178" s="1184"/>
      <c r="Z178" s="1184"/>
      <c r="AA178" s="1184"/>
      <c r="AB178" s="1184"/>
      <c r="AC178" s="1184"/>
      <c r="AD178" s="1184"/>
      <c r="AE178" s="1184"/>
      <c r="AF178" s="1184"/>
      <c r="AG178" s="1184"/>
      <c r="AH178" s="1184"/>
      <c r="AI178" s="1184"/>
      <c r="AJ178" s="1184"/>
      <c r="AK178" s="1184"/>
      <c r="AL178" s="1184"/>
      <c r="AM178" s="1184"/>
      <c r="AN178" s="1184"/>
      <c r="AO178" s="1184"/>
      <c r="AP178" s="1184"/>
      <c r="AQ178" s="1184"/>
    </row>
    <row r="179" spans="1:43" s="1771" customFormat="1" ht="17.25" hidden="1" customHeight="1">
      <c r="A179" s="240"/>
      <c r="C179" s="239"/>
      <c r="D179" s="7574"/>
      <c r="E179" s="7576"/>
      <c r="F179" s="7578"/>
      <c r="G179" s="7576"/>
      <c r="H179" s="7581"/>
      <c r="I179" s="7583"/>
      <c r="J179" s="7586"/>
      <c r="K179" s="7568"/>
      <c r="L179" s="1221"/>
      <c r="M179" s="1221"/>
      <c r="N179" s="1221"/>
      <c r="O179" s="1221"/>
      <c r="P179" s="1221"/>
      <c r="Q179" s="1221"/>
      <c r="R179" s="1221"/>
      <c r="S179" s="251"/>
      <c r="T179" s="251"/>
      <c r="U179" s="251"/>
      <c r="V179" s="251"/>
      <c r="W179" s="1222"/>
      <c r="X179" s="1184"/>
      <c r="Y179" s="1184"/>
      <c r="Z179" s="1184"/>
      <c r="AA179" s="1184"/>
      <c r="AB179" s="1184"/>
      <c r="AC179" s="1184"/>
      <c r="AD179" s="1184"/>
      <c r="AE179" s="1184"/>
      <c r="AF179" s="1184"/>
      <c r="AG179" s="1184"/>
      <c r="AH179" s="1184"/>
      <c r="AI179" s="1184"/>
      <c r="AJ179" s="1184"/>
      <c r="AK179" s="1184"/>
      <c r="AL179" s="1184"/>
      <c r="AM179" s="1184"/>
      <c r="AN179" s="1184"/>
      <c r="AO179" s="1184"/>
      <c r="AP179" s="1184"/>
      <c r="AQ179" s="1184"/>
    </row>
    <row r="180" spans="1:43" s="1771" customFormat="1" ht="17.25" hidden="1" customHeight="1">
      <c r="A180" s="240"/>
      <c r="C180" s="239"/>
      <c r="D180" s="7574"/>
      <c r="E180" s="7576"/>
      <c r="F180" s="7579"/>
      <c r="G180" s="7576"/>
      <c r="H180" s="1223"/>
      <c r="I180" s="1224"/>
      <c r="J180" s="1224"/>
      <c r="K180" s="1224"/>
      <c r="L180" s="1224"/>
      <c r="M180" s="1224"/>
      <c r="N180" s="1224"/>
      <c r="O180" s="1224"/>
      <c r="P180" s="1224"/>
      <c r="Q180" s="1224"/>
      <c r="R180" s="1224"/>
      <c r="S180" s="1225"/>
      <c r="T180" s="1225"/>
      <c r="U180" s="1225"/>
      <c r="V180" s="1225"/>
      <c r="W180" s="1226"/>
      <c r="X180" s="1184"/>
      <c r="Y180" s="1184"/>
      <c r="Z180" s="1184"/>
      <c r="AA180" s="1184"/>
      <c r="AB180" s="1184"/>
      <c r="AC180" s="1184"/>
      <c r="AD180" s="1184"/>
      <c r="AE180" s="1184"/>
      <c r="AF180" s="1184"/>
      <c r="AG180" s="1184"/>
      <c r="AH180" s="1184"/>
      <c r="AI180" s="1184"/>
      <c r="AJ180" s="1184"/>
      <c r="AK180" s="1184"/>
      <c r="AL180" s="1184"/>
      <c r="AM180" s="1184"/>
      <c r="AN180" s="1184"/>
      <c r="AO180" s="1184"/>
      <c r="AP180" s="1184"/>
      <c r="AQ180" s="1184"/>
    </row>
    <row r="184" spans="1:43" ht="11.25" customHeight="1">
      <c r="E184" s="1272"/>
    </row>
    <row r="185" spans="1:43" ht="11.25" customHeight="1">
      <c r="E185" s="1272"/>
    </row>
    <row r="186" spans="1:43" ht="11.25" customHeight="1">
      <c r="E186" s="1272"/>
    </row>
    <row r="187" spans="1:43" ht="11.25" customHeight="1">
      <c r="E187" s="1272"/>
    </row>
    <row r="188" spans="1:43" ht="11.25" customHeight="1">
      <c r="E188" s="1272"/>
    </row>
    <row r="189" spans="1:43" ht="11.25" customHeight="1">
      <c r="E189" s="1272"/>
    </row>
    <row r="190" spans="1:43" ht="11.25" customHeight="1">
      <c r="E190" s="1272"/>
    </row>
  </sheetData>
  <sheetProtection formatColumns="0" formatRows="0" insertRows="0" deleteColumns="0" deleteRows="0" sort="0" autoFilter="0"/>
  <mergeCells count="527">
    <mergeCell ref="W124:W125"/>
    <mergeCell ref="H124:H127"/>
    <mergeCell ref="I124:I127"/>
    <mergeCell ref="K124:K127"/>
    <mergeCell ref="L124:L126"/>
    <mergeCell ref="M124:M126"/>
    <mergeCell ref="N124:N126"/>
    <mergeCell ref="O124:O126"/>
    <mergeCell ref="P124:P125"/>
    <mergeCell ref="Q124:Q125"/>
    <mergeCell ref="R124:R125"/>
    <mergeCell ref="S124:S125"/>
    <mergeCell ref="J124:J127"/>
    <mergeCell ref="W120:W121"/>
    <mergeCell ref="H120:H123"/>
    <mergeCell ref="I120:I123"/>
    <mergeCell ref="K120:K123"/>
    <mergeCell ref="L120:L122"/>
    <mergeCell ref="M120:M122"/>
    <mergeCell ref="N120:N122"/>
    <mergeCell ref="O120:O122"/>
    <mergeCell ref="P120:P121"/>
    <mergeCell ref="Q120:Q121"/>
    <mergeCell ref="R120:R121"/>
    <mergeCell ref="S120:S121"/>
    <mergeCell ref="J120:J123"/>
    <mergeCell ref="W116:W117"/>
    <mergeCell ref="H116:H119"/>
    <mergeCell ref="I116:I119"/>
    <mergeCell ref="K116:K119"/>
    <mergeCell ref="L116:L118"/>
    <mergeCell ref="M116:M118"/>
    <mergeCell ref="N116:N118"/>
    <mergeCell ref="O116:O118"/>
    <mergeCell ref="P116:P117"/>
    <mergeCell ref="Q116:Q117"/>
    <mergeCell ref="R116:R117"/>
    <mergeCell ref="S116:S117"/>
    <mergeCell ref="J116:J119"/>
    <mergeCell ref="W112:W113"/>
    <mergeCell ref="H112:H115"/>
    <mergeCell ref="I112:I115"/>
    <mergeCell ref="K112:K115"/>
    <mergeCell ref="L112:L114"/>
    <mergeCell ref="M112:M114"/>
    <mergeCell ref="N112:N114"/>
    <mergeCell ref="O112:O114"/>
    <mergeCell ref="P112:P113"/>
    <mergeCell ref="Q112:Q113"/>
    <mergeCell ref="R112:R113"/>
    <mergeCell ref="S112:S113"/>
    <mergeCell ref="J112:J115"/>
    <mergeCell ref="W108:W109"/>
    <mergeCell ref="H108:H111"/>
    <mergeCell ref="I108:I111"/>
    <mergeCell ref="K108:K111"/>
    <mergeCell ref="L108:L110"/>
    <mergeCell ref="M108:M110"/>
    <mergeCell ref="N108:N110"/>
    <mergeCell ref="O108:O110"/>
    <mergeCell ref="P108:P109"/>
    <mergeCell ref="Q108:Q109"/>
    <mergeCell ref="R108:R109"/>
    <mergeCell ref="S108:S109"/>
    <mergeCell ref="J108:J111"/>
    <mergeCell ref="W104:W105"/>
    <mergeCell ref="H104:H107"/>
    <mergeCell ref="I104:I107"/>
    <mergeCell ref="K104:K107"/>
    <mergeCell ref="L104:L106"/>
    <mergeCell ref="M104:M106"/>
    <mergeCell ref="N104:N106"/>
    <mergeCell ref="O104:O106"/>
    <mergeCell ref="P104:P105"/>
    <mergeCell ref="Q104:Q105"/>
    <mergeCell ref="R104:R105"/>
    <mergeCell ref="S104:S105"/>
    <mergeCell ref="J104:J107"/>
    <mergeCell ref="W100:W101"/>
    <mergeCell ref="H100:H103"/>
    <mergeCell ref="I100:I103"/>
    <mergeCell ref="K100:K103"/>
    <mergeCell ref="L100:L102"/>
    <mergeCell ref="M100:M102"/>
    <mergeCell ref="N100:N102"/>
    <mergeCell ref="O100:O102"/>
    <mergeCell ref="P100:P101"/>
    <mergeCell ref="Q100:Q101"/>
    <mergeCell ref="R100:R101"/>
    <mergeCell ref="S100:S101"/>
    <mergeCell ref="J100:J103"/>
    <mergeCell ref="W96:W97"/>
    <mergeCell ref="H96:H99"/>
    <mergeCell ref="I96:I99"/>
    <mergeCell ref="K96:K99"/>
    <mergeCell ref="L96:L98"/>
    <mergeCell ref="M96:M98"/>
    <mergeCell ref="N96:N98"/>
    <mergeCell ref="O96:O98"/>
    <mergeCell ref="P96:P97"/>
    <mergeCell ref="Q96:Q97"/>
    <mergeCell ref="R96:R97"/>
    <mergeCell ref="S96:S97"/>
    <mergeCell ref="J96:J99"/>
    <mergeCell ref="W92:W93"/>
    <mergeCell ref="H92:H95"/>
    <mergeCell ref="I92:I95"/>
    <mergeCell ref="K92:K95"/>
    <mergeCell ref="L92:L94"/>
    <mergeCell ref="M92:M94"/>
    <mergeCell ref="N92:N94"/>
    <mergeCell ref="O92:O94"/>
    <mergeCell ref="P92:P93"/>
    <mergeCell ref="Q92:Q93"/>
    <mergeCell ref="R92:R93"/>
    <mergeCell ref="S92:S93"/>
    <mergeCell ref="J92:J95"/>
    <mergeCell ref="W88:W89"/>
    <mergeCell ref="H88:H91"/>
    <mergeCell ref="I88:I91"/>
    <mergeCell ref="K88:K91"/>
    <mergeCell ref="L88:L90"/>
    <mergeCell ref="M88:M90"/>
    <mergeCell ref="N88:N90"/>
    <mergeCell ref="O88:O90"/>
    <mergeCell ref="P88:P89"/>
    <mergeCell ref="Q88:Q89"/>
    <mergeCell ref="R88:R89"/>
    <mergeCell ref="S88:S89"/>
    <mergeCell ref="J88:J91"/>
    <mergeCell ref="W84:W85"/>
    <mergeCell ref="H84:H87"/>
    <mergeCell ref="I84:I87"/>
    <mergeCell ref="K84:K87"/>
    <mergeCell ref="L84:L86"/>
    <mergeCell ref="M84:M86"/>
    <mergeCell ref="N84:N86"/>
    <mergeCell ref="O84:O86"/>
    <mergeCell ref="P84:P85"/>
    <mergeCell ref="Q84:Q85"/>
    <mergeCell ref="R84:R85"/>
    <mergeCell ref="S84:S85"/>
    <mergeCell ref="J84:J87"/>
    <mergeCell ref="W80:W81"/>
    <mergeCell ref="H80:H83"/>
    <mergeCell ref="I80:I83"/>
    <mergeCell ref="K80:K83"/>
    <mergeCell ref="L80:L82"/>
    <mergeCell ref="M80:M82"/>
    <mergeCell ref="N80:N82"/>
    <mergeCell ref="O80:O82"/>
    <mergeCell ref="P80:P81"/>
    <mergeCell ref="Q80:Q81"/>
    <mergeCell ref="R80:R81"/>
    <mergeCell ref="S80:S81"/>
    <mergeCell ref="J80:J83"/>
    <mergeCell ref="W76:W77"/>
    <mergeCell ref="H76:H79"/>
    <mergeCell ref="I76:I79"/>
    <mergeCell ref="K76:K79"/>
    <mergeCell ref="L76:L78"/>
    <mergeCell ref="M76:M78"/>
    <mergeCell ref="N76:N78"/>
    <mergeCell ref="O76:O78"/>
    <mergeCell ref="P76:P77"/>
    <mergeCell ref="Q76:Q77"/>
    <mergeCell ref="R76:R77"/>
    <mergeCell ref="S76:S77"/>
    <mergeCell ref="J76:J79"/>
    <mergeCell ref="W72:W73"/>
    <mergeCell ref="H72:H75"/>
    <mergeCell ref="I72:I75"/>
    <mergeCell ref="J72:J75"/>
    <mergeCell ref="K72:K75"/>
    <mergeCell ref="L72:L74"/>
    <mergeCell ref="M72:M74"/>
    <mergeCell ref="N72:N74"/>
    <mergeCell ref="O72:O74"/>
    <mergeCell ref="P72:P73"/>
    <mergeCell ref="Q72:Q73"/>
    <mergeCell ref="R72:R73"/>
    <mergeCell ref="S72:S73"/>
    <mergeCell ref="Q64:Q65"/>
    <mergeCell ref="R64:R65"/>
    <mergeCell ref="W68:W69"/>
    <mergeCell ref="H68:H71"/>
    <mergeCell ref="I68:I71"/>
    <mergeCell ref="K68:K71"/>
    <mergeCell ref="L68:L70"/>
    <mergeCell ref="M68:M70"/>
    <mergeCell ref="N68:N70"/>
    <mergeCell ref="O68:O70"/>
    <mergeCell ref="P68:P69"/>
    <mergeCell ref="Q68:Q69"/>
    <mergeCell ref="R68:R69"/>
    <mergeCell ref="S68:S69"/>
    <mergeCell ref="J68:J71"/>
    <mergeCell ref="H64:H67"/>
    <mergeCell ref="I64:I67"/>
    <mergeCell ref="J64:J67"/>
    <mergeCell ref="K64:K67"/>
    <mergeCell ref="L64:L66"/>
    <mergeCell ref="M64:M66"/>
    <mergeCell ref="N64:N66"/>
    <mergeCell ref="O64:O66"/>
    <mergeCell ref="P64:P65"/>
    <mergeCell ref="S171:S172"/>
    <mergeCell ref="D176:D180"/>
    <mergeCell ref="E176:E180"/>
    <mergeCell ref="F176:F180"/>
    <mergeCell ref="G176:G180"/>
    <mergeCell ref="H176:H179"/>
    <mergeCell ref="I176:I179"/>
    <mergeCell ref="J176:J179"/>
    <mergeCell ref="K176:K179"/>
    <mergeCell ref="L176:L178"/>
    <mergeCell ref="M176:M178"/>
    <mergeCell ref="N176:N178"/>
    <mergeCell ref="O176:O178"/>
    <mergeCell ref="P176:P177"/>
    <mergeCell ref="Q176:Q177"/>
    <mergeCell ref="R176:R177"/>
    <mergeCell ref="S176:S177"/>
    <mergeCell ref="D171:D175"/>
    <mergeCell ref="E171:E175"/>
    <mergeCell ref="F171:F175"/>
    <mergeCell ref="G171:G175"/>
    <mergeCell ref="H171:H174"/>
    <mergeCell ref="I171:I174"/>
    <mergeCell ref="J171:J174"/>
    <mergeCell ref="K171:K174"/>
    <mergeCell ref="L171:L173"/>
    <mergeCell ref="H166:H169"/>
    <mergeCell ref="I166:I169"/>
    <mergeCell ref="J166:J169"/>
    <mergeCell ref="K166:K169"/>
    <mergeCell ref="L166:L168"/>
    <mergeCell ref="M166:M168"/>
    <mergeCell ref="N166:N168"/>
    <mergeCell ref="O166:O168"/>
    <mergeCell ref="M171:M173"/>
    <mergeCell ref="N171:N173"/>
    <mergeCell ref="O171:O173"/>
    <mergeCell ref="P166:P167"/>
    <mergeCell ref="Q166:Q167"/>
    <mergeCell ref="R166:R167"/>
    <mergeCell ref="P171:P172"/>
    <mergeCell ref="Q171:Q172"/>
    <mergeCell ref="R171:R172"/>
    <mergeCell ref="S166:S167"/>
    <mergeCell ref="D166:D170"/>
    <mergeCell ref="E166:E170"/>
    <mergeCell ref="F166:F170"/>
    <mergeCell ref="G166:G170"/>
    <mergeCell ref="M155:M157"/>
    <mergeCell ref="N155:N157"/>
    <mergeCell ref="O155:O157"/>
    <mergeCell ref="P155:P156"/>
    <mergeCell ref="Q155:Q156"/>
    <mergeCell ref="R155:R156"/>
    <mergeCell ref="S155:S156"/>
    <mergeCell ref="D160:D164"/>
    <mergeCell ref="E160:E164"/>
    <mergeCell ref="F160:F164"/>
    <mergeCell ref="G160:G164"/>
    <mergeCell ref="H160:H163"/>
    <mergeCell ref="I160:I163"/>
    <mergeCell ref="J160:J163"/>
    <mergeCell ref="K160:K163"/>
    <mergeCell ref="L160:L162"/>
    <mergeCell ref="M160:M162"/>
    <mergeCell ref="N160:N162"/>
    <mergeCell ref="O160:O162"/>
    <mergeCell ref="P160:P161"/>
    <mergeCell ref="Q160:Q161"/>
    <mergeCell ref="R160:R161"/>
    <mergeCell ref="S160:S161"/>
    <mergeCell ref="D155:D159"/>
    <mergeCell ref="E155:E159"/>
    <mergeCell ref="F155:F159"/>
    <mergeCell ref="G155:G159"/>
    <mergeCell ref="H155:H158"/>
    <mergeCell ref="I155:I158"/>
    <mergeCell ref="J155:J158"/>
    <mergeCell ref="K155:K158"/>
    <mergeCell ref="L155:L157"/>
    <mergeCell ref="R13:R14"/>
    <mergeCell ref="S13:S14"/>
    <mergeCell ref="M43:M45"/>
    <mergeCell ref="N43:N45"/>
    <mergeCell ref="O43:O45"/>
    <mergeCell ref="N33:N35"/>
    <mergeCell ref="D150:D154"/>
    <mergeCell ref="E150:E154"/>
    <mergeCell ref="F150:F154"/>
    <mergeCell ref="G150:G154"/>
    <mergeCell ref="H150:H153"/>
    <mergeCell ref="I150:I153"/>
    <mergeCell ref="J150:J153"/>
    <mergeCell ref="K150:K153"/>
    <mergeCell ref="L150:L152"/>
    <mergeCell ref="P48:P49"/>
    <mergeCell ref="Q48:Q49"/>
    <mergeCell ref="R48:R49"/>
    <mergeCell ref="S48:S49"/>
    <mergeCell ref="P43:P44"/>
    <mergeCell ref="Q43:Q44"/>
    <mergeCell ref="R43:R44"/>
    <mergeCell ref="S43:S44"/>
    <mergeCell ref="S23:S24"/>
    <mergeCell ref="S18:S19"/>
    <mergeCell ref="M150:M152"/>
    <mergeCell ref="N150:N152"/>
    <mergeCell ref="O150:O152"/>
    <mergeCell ref="P150:P151"/>
    <mergeCell ref="Q150:Q151"/>
    <mergeCell ref="R150:R151"/>
    <mergeCell ref="S150:S151"/>
    <mergeCell ref="O48:O50"/>
    <mergeCell ref="E62:W62"/>
    <mergeCell ref="E54:W54"/>
    <mergeCell ref="E55:W55"/>
    <mergeCell ref="E56:W56"/>
    <mergeCell ref="E57:W57"/>
    <mergeCell ref="E58:W58"/>
    <mergeCell ref="E60:W60"/>
    <mergeCell ref="E61:W61"/>
    <mergeCell ref="K134:K137"/>
    <mergeCell ref="E38:E42"/>
    <mergeCell ref="F38:F42"/>
    <mergeCell ref="H38:H41"/>
    <mergeCell ref="G38:G42"/>
    <mergeCell ref="S64:S65"/>
    <mergeCell ref="W64:W65"/>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128"/>
    <mergeCell ref="E64:E128"/>
    <mergeCell ref="D129:D133"/>
    <mergeCell ref="E129:E133"/>
    <mergeCell ref="F129:F133"/>
    <mergeCell ref="G129:G133"/>
    <mergeCell ref="H129:H132"/>
    <mergeCell ref="I129:I132"/>
    <mergeCell ref="J129:J132"/>
    <mergeCell ref="F64:F128"/>
    <mergeCell ref="G64:G128"/>
    <mergeCell ref="K13:K16"/>
    <mergeCell ref="G18:G22"/>
    <mergeCell ref="K18:K21"/>
    <mergeCell ref="N23:N25"/>
    <mergeCell ref="L10:M10"/>
    <mergeCell ref="P10:Q10"/>
    <mergeCell ref="L11:M11"/>
    <mergeCell ref="L134:L136"/>
    <mergeCell ref="Q129:Q130"/>
    <mergeCell ref="R129:R130"/>
    <mergeCell ref="S129:S130"/>
    <mergeCell ref="K129:K132"/>
    <mergeCell ref="N129:N131"/>
    <mergeCell ref="O129:O131"/>
    <mergeCell ref="P129:P130"/>
    <mergeCell ref="S134:S135"/>
    <mergeCell ref="N134:N136"/>
    <mergeCell ref="O134:O136"/>
    <mergeCell ref="P134:P135"/>
    <mergeCell ref="Q134:Q135"/>
    <mergeCell ref="R134:R135"/>
    <mergeCell ref="L129:L131"/>
    <mergeCell ref="M129:M131"/>
    <mergeCell ref="M139:M141"/>
    <mergeCell ref="N139:N141"/>
    <mergeCell ref="O139:O141"/>
    <mergeCell ref="P139:P140"/>
    <mergeCell ref="Q139:Q140"/>
    <mergeCell ref="R139:R140"/>
    <mergeCell ref="S139:S140"/>
    <mergeCell ref="D134:D138"/>
    <mergeCell ref="E134:E138"/>
    <mergeCell ref="M134:M136"/>
    <mergeCell ref="D139:D143"/>
    <mergeCell ref="E139:E143"/>
    <mergeCell ref="F139:F143"/>
    <mergeCell ref="G139:G143"/>
    <mergeCell ref="H139:H142"/>
    <mergeCell ref="I139:I142"/>
    <mergeCell ref="J139:J142"/>
    <mergeCell ref="K139:K142"/>
    <mergeCell ref="L139:L141"/>
    <mergeCell ref="F134:F138"/>
    <mergeCell ref="G134:G138"/>
    <mergeCell ref="H134:H137"/>
    <mergeCell ref="I134:I137"/>
    <mergeCell ref="J134:J137"/>
    <mergeCell ref="M144:M146"/>
    <mergeCell ref="N144:N146"/>
    <mergeCell ref="O144:O146"/>
    <mergeCell ref="P144:P145"/>
    <mergeCell ref="Q144:Q145"/>
    <mergeCell ref="R144:R145"/>
    <mergeCell ref="S144:S145"/>
    <mergeCell ref="D144:D148"/>
    <mergeCell ref="E144:E148"/>
    <mergeCell ref="F144:F148"/>
    <mergeCell ref="G144:G148"/>
    <mergeCell ref="H144:H147"/>
    <mergeCell ref="I144:I147"/>
    <mergeCell ref="J144:J147"/>
    <mergeCell ref="K144:K147"/>
    <mergeCell ref="L144:L146"/>
  </mergeCells>
  <dataValidations count="332">
    <dataValidation allowBlank="1" showInputMessage="1" showErrorMessage="1" prompt="Выберите виды деятельности, выполнив двойной щелчок левой кнопки мыши по ячейке." sqref="G13:G52 G64:G67 G128:G148 G150:G164 G166:G18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139:N141 N144:N146 N129:N131 N134:N136 N48:N50 N150:N152 N155:N157 N160:N162 N171:N173 N166:N168 N176:N17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129:J130 R129:R130 V129:W129 J139:J140 R139:R140 V139:W139 J134:J135 R134:R135 V134:W134 J144:J145 R144:R145 V144:W144 J48:J49 R48:R49 V48:W48 J150:J151 R150:R151 V150:W150 J155:J156 R155:R156 V155:W155 J160:J161 R160:R161 V160:W160 J171:J172 R171:R172 V171:W171 J166:J167 R166:R167 V166:W166 J176:J177 R176:R177 V176:W17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129:K130 O129:O130 S129:S130 K139:K140 O139:O140 S139:S140 K134:K135 O134:O135 K144:K145 O144:O145 S48:S49 S134:S135 S144:S145 K48:K49 O48:O49 F64:F67 F128:F148 O150:O151 S150:S151 O155:O156 S155:S156 S160:S161 K150:K151 K155:K156 K160:K161 O160:O161 F150:F164 K171:K172 O171:O172 K166:K167 O166:O167 S171:S172 F166:F180 S166:S167 K176:K177 O176:O177 S176:S177"/>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Для выбора выполните двойной щелчок левой клавиши мыши по соответствующей ячейке." sqref="K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O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V64">
      <formula1>900</formula1>
    </dataValidation>
    <dataValidation type="textLength" operator="lessThanOrEqual" allowBlank="1" showInputMessage="1" showErrorMessage="1" errorTitle="Ошибка" error="Допускается ввод не более 900 символов!" sqref="W64">
      <formula1>900</formula1>
    </dataValidation>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Выберите виды деятельности, выполнив двойной щелчок левой кнопки мыши по ячейке." sqref="G68"/>
    <dataValidation type="textLength" operator="lessThanOrEqual" allowBlank="1" showInputMessage="1" showErrorMessage="1" errorTitle="Ошибка" error="Допускается ввод не более 900 символов!" sqref="J68">
      <formula1>900</formula1>
    </dataValidation>
    <dataValidation allowBlank="1" showInputMessage="1" showErrorMessage="1" prompt="Для выбора выполните двойной щелчок левой клавиши мыши по соответствующей ячейке." sqref="K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8"/>
    <dataValidation allowBlank="1" showInputMessage="1" showErrorMessage="1" prompt="Для выбора выполните двойной щелчок левой клавиши мыши по соответствующей ячейке." sqref="O68"/>
    <dataValidation type="textLength" operator="lessThanOrEqual" allowBlank="1" showInputMessage="1" showErrorMessage="1" errorTitle="Ошибка" error="Допускается ввод не более 900 символов!" sqref="R68">
      <formula1>900</formula1>
    </dataValidation>
    <dataValidation allowBlank="1" showInputMessage="1" showErrorMessage="1" prompt="Для выбора выполните двойной щелчок левой клавиши мыши по соответствующей ячейке." sqref="S68"/>
    <dataValidation type="textLength" operator="lessThanOrEqual" allowBlank="1" showInputMessage="1" showErrorMessage="1" errorTitle="Ошибка" error="Допускается ввод не более 900 символов!" sqref="V68">
      <formula1>900</formula1>
    </dataValidation>
    <dataValidation type="textLength" operator="lessThanOrEqual" allowBlank="1" showInputMessage="1" showErrorMessage="1" errorTitle="Ошибка" error="Допускается ввод не более 900 символов!" sqref="W68">
      <formula1>900</formula1>
    </dataValidation>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Выберите виды деятельности, выполнив двойной щелчок левой кнопки мыши по ячейке." sqref="G7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Выберите виды деятельности, выполнив двойной щелчок левой кнопки мыши по ячейке." sqref="G71"/>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Выберите виды деятельности, выполнив двойной щелчок левой кнопки мыши по ячейке." sqref="G72"/>
    <dataValidation type="textLength" operator="lessThanOrEqual" allowBlank="1" showInputMessage="1" showErrorMessage="1" errorTitle="Ошибка" error="Допускается ввод не более 900 символов!" sqref="J72">
      <formula1>900</formula1>
    </dataValidation>
    <dataValidation allowBlank="1" showInputMessage="1" showErrorMessage="1" prompt="Для выбора выполните двойной щелчок левой клавиши мыши по соответствующей ячейке." sqref="K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2"/>
    <dataValidation allowBlank="1" showInputMessage="1" showErrorMessage="1" prompt="Для выбора выполните двойной щелчок левой клавиши мыши по соответствующей ячейке." sqref="O72"/>
    <dataValidation type="textLength" operator="lessThanOrEqual" allowBlank="1" showInputMessage="1" showErrorMessage="1" errorTitle="Ошибка" error="Допускается ввод не более 900 символов!" sqref="R72">
      <formula1>900</formula1>
    </dataValidation>
    <dataValidation allowBlank="1" showInputMessage="1" showErrorMessage="1" prompt="Для выбора выполните двойной щелчок левой клавиши мыши по соответствующей ячейке." sqref="S72"/>
    <dataValidation type="textLength" operator="lessThanOrEqual" allowBlank="1" showInputMessage="1" showErrorMessage="1" errorTitle="Ошибка" error="Допускается ввод не более 900 символов!" sqref="V72">
      <formula1>900</formula1>
    </dataValidation>
    <dataValidation type="textLength" operator="lessThanOrEqual" allowBlank="1" showInputMessage="1" showErrorMessage="1" errorTitle="Ошибка" error="Допускается ввод не более 900 символов!" sqref="W72">
      <formula1>900</formula1>
    </dataValidation>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Выберите виды деятельности, выполнив двойной щелчок левой кнопки мыши по ячейке." sqref="G73"/>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type="textLength" operator="lessThanOrEqual" allowBlank="1" showInputMessage="1" showErrorMessage="1" errorTitle="Ошибка" error="Допускается ввод не более 900 символов!" sqref="R73">
      <formula1>900</formula1>
    </dataValidation>
    <dataValidation allowBlank="1" showInputMessage="1" showErrorMessage="1" prompt="Для выбора выполните двойной щелчок левой клавиши мыши по соответствующей ячейке." sqref="S73"/>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Выберите виды деятельности, выполнив двойной щелчок левой кнопки мыши по ячейке." sqref="G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Выберите виды деятельности, выполнив двойной щелчок левой кнопки мыши по ячейке." sqref="G75"/>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Выберите виды деятельности, выполнив двойной щелчок левой кнопки мыши по ячейке." sqref="G76"/>
    <dataValidation type="textLength" operator="lessThanOrEqual" allowBlank="1" showInputMessage="1" showErrorMessage="1" errorTitle="Ошибка" error="Допускается ввод не более 900 символов!" sqref="J76">
      <formula1>900</formula1>
    </dataValidation>
    <dataValidation allowBlank="1" showInputMessage="1" showErrorMessage="1" prompt="Для выбора выполните двойной щелчок левой клавиши мыши по соответствующей ячейке." sqref="K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allowBlank="1" showInputMessage="1" showErrorMessage="1" prompt="Для выбора выполните двойной щелчок левой клавиши мыши по соответствующей ячейке." sqref="O76"/>
    <dataValidation type="textLength" operator="lessThanOrEqual" allowBlank="1" showInputMessage="1" showErrorMessage="1" errorTitle="Ошибка" error="Допускается ввод не более 900 символов!" sqref="R76">
      <formula1>900</formula1>
    </dataValidation>
    <dataValidation allowBlank="1" showInputMessage="1" showErrorMessage="1" prompt="Для выбора выполните двойной щелчок левой клавиши мыши по соответствующей ячейке." sqref="S76"/>
    <dataValidation type="textLength" operator="lessThanOrEqual" allowBlank="1" showInputMessage="1" showErrorMessage="1" errorTitle="Ошибка" error="Допускается ввод не более 900 символов!" sqref="V76">
      <formula1>900</formula1>
    </dataValidation>
    <dataValidation type="textLength" operator="lessThanOrEqual" allowBlank="1" showInputMessage="1" showErrorMessage="1" errorTitle="Ошибка" error="Допускается ввод не более 900 символов!" sqref="W76">
      <formula1>900</formula1>
    </dataValidation>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Выберите виды деятельности, выполнив двойной щелчок левой кнопки мыши по ячейке." sqref="G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Выберите виды деятельности, выполнив двойной щелчок левой кнопки мыши по ячейке." sqref="G80"/>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Для выбора выполните двойной щелчок левой клавиши мыши по соответствующей ячейке." sqref="K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allowBlank="1" showInputMessage="1" showErrorMessage="1" prompt="Для выбора выполните двойной щелчок левой клавиши мыши по соответствующей ячейке." sqref="O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V80">
      <formula1>900</formula1>
    </dataValidation>
    <dataValidation type="textLength" operator="lessThanOrEqual" allowBlank="1" showInputMessage="1" showErrorMessage="1" errorTitle="Ошибка" error="Допускается ввод не более 900 символов!" sqref="W80">
      <formula1>900</formula1>
    </dataValidation>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Выберите виды деятельности, выполнив двойной щелчок левой кнопки мыши по ячейке." sqref="G81"/>
    <dataValidation type="textLength" operator="lessThanOrEqual" allowBlank="1" showInputMessage="1" showErrorMessage="1" errorTitle="Ошибка" error="Допускается ввод не более 900 символов!" sqref="J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type="textLength" operator="lessThanOrEqual" allowBlank="1" showInputMessage="1" showErrorMessage="1" errorTitle="Ошибка" error="Допускается ввод не более 900 символов!" sqref="R81">
      <formula1>900</formula1>
    </dataValidation>
    <dataValidation allowBlank="1" showInputMessage="1" showErrorMessage="1" prompt="Для выбора выполните двойной щелчок левой клавиши мыши по соответствующей ячейке." sqref="S81"/>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Для выбора выполните двойной щелчок левой клавиши мыши по соответствующей ячейке." sqref="K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O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V84">
      <formula1>900</formula1>
    </dataValidation>
    <dataValidation type="textLength" operator="lessThanOrEqual" allowBlank="1" showInputMessage="1" showErrorMessage="1" errorTitle="Ошибка" error="Допускается ввод не более 900 символов!" sqref="W84">
      <formula1>900</formula1>
    </dataValidation>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Для выбора выполните двойной щелчок левой клавиши мыши по соответствующей ячейке." sqref="K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Для выбора выполните двойной щелчок левой клавиши мыши по соответствующей ячейке." sqref="O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type="textLength" operator="lessThanOrEqual" allowBlank="1" showInputMessage="1" showErrorMessage="1" errorTitle="Ошибка" error="Допускается ввод не более 900 символов!" sqref="V88">
      <formula1>900</formula1>
    </dataValidation>
    <dataValidation type="textLength" operator="lessThanOrEqual" allowBlank="1" showInputMessage="1" showErrorMessage="1" errorTitle="Ошибка" error="Допускается ввод не более 900 символов!" sqref="W88">
      <formula1>900</formula1>
    </dataValidation>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Выберите виды деятельности, выполнив двойной щелчок левой кнопки мыши по ячейке." sqref="G89"/>
    <dataValidation type="textLength" operator="lessThanOrEqual" allowBlank="1" showInputMessage="1" showErrorMessage="1" errorTitle="Ошибка" error="Допускается ввод не более 900 символов!" sqref="J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type="textLength" operator="lessThanOrEqual" allowBlank="1" showInputMessage="1" showErrorMessage="1" errorTitle="Ошибка" error="Допускается ввод не более 900 символов!" sqref="R89">
      <formula1>900</formula1>
    </dataValidation>
    <dataValidation allowBlank="1" showInputMessage="1" showErrorMessage="1" prompt="Для выбора выполните двойной щелчок левой клавиши мыши по соответствующей ячейке." sqref="S89"/>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Для выбора выполните двойной щелчок левой клавиши мыши по соответствующей ячейке." sqref="K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allowBlank="1" showInputMessage="1" showErrorMessage="1" prompt="Для выбора выполните двойной щелчок левой клавиши мыши по соответствующей ячейке." sqref="O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Для выбора выполните двойной щелчок левой клавиши мыши по соответствующей ячейке." sqref="S92"/>
    <dataValidation type="textLength" operator="lessThanOrEqual" allowBlank="1" showInputMessage="1" showErrorMessage="1" errorTitle="Ошибка" error="Допускается ввод не более 900 символов!" sqref="V92">
      <formula1>900</formula1>
    </dataValidation>
    <dataValidation type="textLength" operator="lessThanOrEqual" allowBlank="1" showInputMessage="1" showErrorMessage="1" errorTitle="Ошибка" error="Допускается ввод не более 900 символов!" sqref="W92">
      <formula1>900</formula1>
    </dataValidation>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type="textLength" operator="lessThanOrEqual" allowBlank="1" showInputMessage="1" showErrorMessage="1" errorTitle="Ошибка" error="Допускается ввод не более 900 символов!" sqref="J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Для выбора выполните двойной щелчок левой клавиши мыши по соответствующей ячейке." sqref="S93"/>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Для выбора выполните двойной щелчок левой клавиши мыши по соответствующей ячейке." sqref="K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allowBlank="1" showInputMessage="1" showErrorMessage="1" prompt="Для выбора выполните двойной щелчок левой клавиши мыши по соответствующей ячейке." sqref="O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Для выбора выполните двойной щелчок левой клавиши мыши по соответствующей ячейке." sqref="S96"/>
    <dataValidation type="textLength" operator="lessThanOrEqual" allowBlank="1" showInputMessage="1" showErrorMessage="1" errorTitle="Ошибка" error="Допускается ввод не более 900 символов!" sqref="V96">
      <formula1>900</formula1>
    </dataValidation>
    <dataValidation type="textLength" operator="lessThanOrEqual" allowBlank="1" showInputMessage="1" showErrorMessage="1" errorTitle="Ошибка" error="Допускается ввод не более 900 символов!" sqref="W96">
      <formula1>900</formula1>
    </dataValidation>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Для выбора выполните двойной щелчок левой клавиши мыши по соответствующей ячейке." sqref="K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O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V100">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Для выбора выполните двойной щелчок левой клавиши мыши по соответствующей ячейке." sqref="K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O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V104">
      <formula1>900</formula1>
    </dataValidation>
    <dataValidation type="textLength" operator="lessThanOrEqual" allowBlank="1" showInputMessage="1" showErrorMessage="1" errorTitle="Ошибка" error="Допускается ввод не более 900 символов!" sqref="W104">
      <formula1>900</formula1>
    </dataValidation>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Для выбора выполните двойной щелчок левой клавиши мыши по соответствующей ячейке." sqref="K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O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V108">
      <formula1>900</formula1>
    </dataValidation>
    <dataValidation type="textLength" operator="lessThanOrEqual" allowBlank="1" showInputMessage="1" showErrorMessage="1" errorTitle="Ошибка" error="Допускается ввод не более 900 символов!" sqref="W108">
      <formula1>900</formula1>
    </dataValidation>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Для выбора выполните двойной щелчок левой клавиши мыши по соответствующей ячейке." sqref="K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O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type="textLength" operator="lessThanOrEqual" allowBlank="1" showInputMessage="1" showErrorMessage="1" errorTitle="Ошибка" error="Допускается ввод не более 900 символов!" sqref="V112">
      <formula1>900</formula1>
    </dataValidation>
    <dataValidation type="textLength" operator="lessThanOrEqual" allowBlank="1" showInputMessage="1" showErrorMessage="1" errorTitle="Ошибка" error="Допускается ввод не более 900 символов!" sqref="W112">
      <formula1>900</formula1>
    </dataValidation>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Для выбора выполните двойной щелчок левой клавиши мыши по соответствующей ячейке." sqref="K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Для выбора выполните двойной щелчок левой клавиши мыши по соответствующей ячейке." sqref="O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V116">
      <formula1>900</formula1>
    </dataValidation>
    <dataValidation type="textLength" operator="lessThanOrEqual" allowBlank="1" showInputMessage="1" showErrorMessage="1" errorTitle="Ошибка" error="Допускается ввод не более 900 символов!" sqref="W116">
      <formula1>900</formula1>
    </dataValidation>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Для выбора выполните двойной щелчок левой клавиши мыши по соответствующей ячейке." sqref="K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O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V120">
      <formula1>900</formula1>
    </dataValidation>
    <dataValidation type="textLength" operator="lessThanOrEqual" allowBlank="1" showInputMessage="1" showErrorMessage="1" errorTitle="Ошибка" error="Допускается ввод не более 900 символов!" sqref="W120">
      <formula1>900</formula1>
    </dataValidation>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Для выбора выполните двойной щелчок левой клавиши мыши по соответствующей ячейке." sqref="K1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O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V124">
      <formula1>900</formula1>
    </dataValidation>
    <dataValidation type="textLength" operator="lessThanOrEqual" allowBlank="1" showInputMessage="1" showErrorMessage="1" errorTitle="Ошибка" error="Допускается ввод не более 900 символов!" sqref="W124">
      <formula1>900</formula1>
    </dataValidation>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6.28515625" style="1555" customWidth="1"/>
    <col min="6" max="6" width="27.28515625" style="1555" customWidth="1"/>
    <col min="7" max="7" width="16.7109375" style="1555" customWidth="1"/>
    <col min="8" max="8" width="12.7109375" style="1555" customWidth="1"/>
    <col min="9" max="9" width="32.140625" style="1555" customWidth="1"/>
    <col min="10" max="11" width="41.85546875" style="1555" customWidth="1"/>
    <col min="12" max="12" width="89.5703125" style="1555" customWidth="1"/>
    <col min="13" max="13" width="3.7109375" style="1544" customWidth="1"/>
    <col min="14" max="16" width="9.140625" style="1544"/>
    <col min="17" max="17" width="25.7109375" style="1544" customWidth="1"/>
    <col min="18" max="18" width="14.42578125" style="1544" customWidth="1"/>
    <col min="19" max="22" width="9.140625" style="142"/>
    <col min="23" max="256" width="9.140625" style="1555"/>
  </cols>
  <sheetData>
    <row r="1" spans="1:256" ht="14.25" hidden="1" customHeight="1"/>
    <row r="2" spans="1:256" s="1827" customFormat="1" ht="22.5" hidden="1" customHeight="1">
      <c r="A2" s="745"/>
      <c r="B2" s="1065">
        <v>1</v>
      </c>
      <c r="C2" s="1065"/>
      <c r="D2" s="715"/>
      <c r="E2" s="1399"/>
      <c r="F2" s="1454" t="str">
        <f>IF(ROIV_INFO_NAME="","",ROIV_INFO_NAME)</f>
        <v>ГУП СК "Ставрополькрайводоканал"</v>
      </c>
      <c r="G2" s="1651" t="s">
        <v>24</v>
      </c>
      <c r="H2" s="1453"/>
      <c r="I2" s="1453"/>
      <c r="J2" s="1069"/>
      <c r="K2" s="1069"/>
      <c r="L2" s="145"/>
      <c r="M2" s="1450" t="e">
        <f ca="1">MERGEVALUE(F2)</f>
        <v>#NAME?</v>
      </c>
      <c r="N2" s="435"/>
      <c r="O2" s="435"/>
      <c r="P2" s="424" t="str">
        <f t="array" ref="P2">IF(ISERROR(MATCH(MID(Q2,1,250),MID(note_ter,1,250),0)),"n","y")</f>
        <v>n</v>
      </c>
      <c r="Q2" s="435"/>
      <c r="R2" s="424" t="str">
        <f>G2&amp;"("&amp;L2&amp;")"</f>
        <v>()</v>
      </c>
      <c r="S2" s="1065"/>
      <c r="T2" s="1065"/>
      <c r="U2" s="348"/>
      <c r="V2" s="1065"/>
      <c r="W2" s="1065"/>
      <c r="X2" s="1065"/>
      <c r="Y2" s="350"/>
      <c r="Z2" s="350"/>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50"/>
      <c r="BW2" s="350"/>
      <c r="BX2" s="350"/>
      <c r="BY2" s="350"/>
      <c r="BZ2" s="350"/>
      <c r="CA2" s="350"/>
      <c r="CB2" s="350"/>
      <c r="CC2" s="350"/>
      <c r="CD2" s="350"/>
      <c r="CE2" s="350"/>
    </row>
    <row r="3" spans="1:256" s="1562" customFormat="1" ht="5.25" hidden="1" customHeight="1">
      <c r="A3" s="420"/>
      <c r="D3" s="418"/>
      <c r="F3" s="162" t="s">
        <v>81</v>
      </c>
      <c r="G3" s="1654" t="s">
        <v>82</v>
      </c>
      <c r="H3" s="418"/>
      <c r="I3" s="418"/>
      <c r="J3" s="418"/>
      <c r="K3" s="418"/>
      <c r="L3" s="144" t="s">
        <v>83</v>
      </c>
      <c r="M3" s="162" t="s">
        <v>81</v>
      </c>
      <c r="N3" s="162"/>
      <c r="O3" s="162"/>
      <c r="P3" s="162"/>
      <c r="Q3" s="163"/>
      <c r="R3" s="162"/>
      <c r="S3" s="162"/>
      <c r="T3" s="162"/>
      <c r="U3" s="162"/>
      <c r="V3" s="162"/>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s="1739" customFormat="1" ht="14.25" customHeight="1">
      <c r="A4" s="1060"/>
      <c r="B4" s="1065"/>
      <c r="C4" s="1060"/>
      <c r="D4" s="1410"/>
      <c r="E4" s="433"/>
      <c r="F4" s="433"/>
      <c r="G4" s="433"/>
      <c r="H4" s="433"/>
      <c r="I4" s="433"/>
      <c r="J4" s="433"/>
      <c r="K4" s="433"/>
      <c r="L4" s="84"/>
      <c r="M4" s="162"/>
      <c r="N4" s="424"/>
      <c r="O4" s="424"/>
      <c r="P4" s="424"/>
      <c r="Q4" s="143"/>
      <c r="R4" s="424"/>
      <c r="S4" s="142"/>
      <c r="T4" s="142"/>
      <c r="U4" s="142"/>
      <c r="V4" s="142"/>
    </row>
    <row r="5" spans="1:256" s="1739" customFormat="1" ht="25.5" customHeight="1">
      <c r="A5" s="1060"/>
      <c r="B5" s="1065"/>
      <c r="C5" s="1060"/>
      <c r="D5" s="1410"/>
      <c r="E5" s="7535"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холодного водоснабжения</v>
      </c>
      <c r="F5" s="7535"/>
      <c r="G5" s="7535"/>
      <c r="H5" s="7535"/>
      <c r="I5" s="7535"/>
      <c r="J5" s="7535"/>
      <c r="K5" s="7535"/>
      <c r="L5" s="509"/>
      <c r="M5" s="162"/>
      <c r="N5" s="424"/>
      <c r="O5" s="424"/>
      <c r="P5" s="424"/>
      <c r="Q5" s="143"/>
      <c r="R5" s="424"/>
      <c r="S5" s="142"/>
      <c r="T5" s="142"/>
      <c r="U5" s="142"/>
      <c r="V5" s="142"/>
    </row>
    <row r="6" spans="1:256" s="1739" customFormat="1" ht="14.25" customHeight="1">
      <c r="A6" s="1060"/>
      <c r="B6" s="1065"/>
      <c r="C6" s="1060"/>
      <c r="D6" s="1410"/>
      <c r="E6" s="433"/>
      <c r="F6" s="85"/>
      <c r="G6" s="85"/>
      <c r="H6" s="85"/>
      <c r="I6" s="85"/>
      <c r="J6" s="85"/>
      <c r="K6" s="85"/>
      <c r="L6" s="86"/>
      <c r="M6" s="424"/>
      <c r="N6" s="424"/>
      <c r="O6" s="424"/>
      <c r="P6" s="424"/>
      <c r="Q6" s="143"/>
      <c r="R6" s="424"/>
      <c r="S6" s="142"/>
      <c r="T6" s="142"/>
      <c r="U6" s="142"/>
      <c r="V6" s="142"/>
    </row>
    <row r="7" spans="1:256" s="1739" customFormat="1" ht="14.25" customHeight="1">
      <c r="A7" s="1060"/>
      <c r="B7" s="1065"/>
      <c r="C7" s="1060"/>
      <c r="D7" s="1410"/>
      <c r="E7" s="7530" t="s">
        <v>474</v>
      </c>
      <c r="F7" s="7536"/>
      <c r="G7" s="7536"/>
      <c r="H7" s="7536"/>
      <c r="I7" s="7536"/>
      <c r="J7" s="7536"/>
      <c r="K7" s="7536"/>
      <c r="L7" s="7851" t="s">
        <v>475</v>
      </c>
      <c r="M7" s="424"/>
      <c r="N7" s="424"/>
      <c r="O7" s="424"/>
      <c r="P7" s="424"/>
      <c r="Q7" s="143"/>
      <c r="R7" s="424"/>
      <c r="S7" s="142"/>
      <c r="T7" s="142"/>
      <c r="U7" s="142"/>
      <c r="V7" s="142"/>
    </row>
    <row r="8" spans="1:256" s="1739" customFormat="1" ht="47.25" customHeight="1">
      <c r="A8" s="1060"/>
      <c r="B8" s="1065"/>
      <c r="C8" s="1060"/>
      <c r="D8" s="1410"/>
      <c r="E8" s="7856" t="s">
        <v>86</v>
      </c>
      <c r="F8" s="7856" t="s">
        <v>1402</v>
      </c>
      <c r="G8" s="7858"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холодного водоснабжения</v>
      </c>
      <c r="H8" s="7859"/>
      <c r="I8" s="7860"/>
      <c r="J8" s="7856"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холодного водоснабжения</v>
      </c>
      <c r="K8" s="7856"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7855"/>
      <c r="M8" s="424"/>
      <c r="N8" s="424"/>
      <c r="O8" s="424"/>
      <c r="P8" s="424"/>
      <c r="Q8" s="143"/>
      <c r="R8" s="424"/>
      <c r="S8" s="142"/>
      <c r="T8" s="142"/>
      <c r="U8" s="142"/>
      <c r="V8" s="142"/>
    </row>
    <row r="9" spans="1:256" s="1739" customFormat="1" ht="56.25" customHeight="1">
      <c r="A9" s="1060"/>
      <c r="B9" s="1065"/>
      <c r="C9" s="1060"/>
      <c r="D9" s="1410"/>
      <c r="E9" s="7857"/>
      <c r="F9" s="7857"/>
      <c r="G9" s="1452" t="s">
        <v>1424</v>
      </c>
      <c r="H9" s="1452" t="s">
        <v>1425</v>
      </c>
      <c r="I9" s="1452" t="s">
        <v>1426</v>
      </c>
      <c r="J9" s="7857"/>
      <c r="K9" s="7857"/>
      <c r="L9" s="7852"/>
      <c r="M9" s="424"/>
      <c r="N9" s="424"/>
      <c r="O9" s="424"/>
      <c r="P9" s="424"/>
      <c r="Q9" s="143"/>
      <c r="R9" s="424"/>
      <c r="S9" s="142"/>
      <c r="T9" s="142"/>
      <c r="U9" s="142"/>
      <c r="V9" s="142"/>
    </row>
    <row r="10" spans="1:256" s="1827" customFormat="1" ht="22.5" customHeight="1">
      <c r="A10" s="7533"/>
      <c r="B10" s="1065">
        <v>1</v>
      </c>
      <c r="C10" s="1065"/>
      <c r="D10" s="714"/>
      <c r="E10" s="712">
        <v>1</v>
      </c>
      <c r="F10" s="1454" t="str">
        <f>IF(ROIV_INFO_NAME="","",ROIV_INFO_NAME)</f>
        <v>ГУП СК "Ставрополькрайводоканал"</v>
      </c>
      <c r="G10" s="1651" t="s">
        <v>24</v>
      </c>
      <c r="H10" s="1449"/>
      <c r="I10" s="1449"/>
      <c r="J10" s="1069"/>
      <c r="K10" s="1069"/>
      <c r="L10" s="7853" t="s">
        <v>1427</v>
      </c>
      <c r="M10" s="1450" t="e">
        <f ca="1">MERGEVALUE(F10)</f>
        <v>#NAME?</v>
      </c>
      <c r="N10" s="435"/>
      <c r="O10" s="435"/>
      <c r="P10" s="424" t="str">
        <f t="array" ref="P10">IF(ISERROR(MATCH(MID(Q10,1,250),MID(note_ter,1,250),0)),"n","y")</f>
        <v>n</v>
      </c>
      <c r="Q10" s="435"/>
      <c r="R10" s="42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5"/>
      <c r="T10" s="1065"/>
      <c r="U10" s="348"/>
      <c r="V10" s="1065"/>
      <c r="W10" s="1065"/>
      <c r="X10" s="1065"/>
      <c r="Y10" s="350"/>
      <c r="Z10" s="350"/>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50"/>
      <c r="BW10" s="350"/>
      <c r="BX10" s="350"/>
      <c r="BY10" s="350"/>
      <c r="BZ10" s="350"/>
      <c r="CA10" s="350"/>
      <c r="CB10" s="350"/>
      <c r="CC10" s="350"/>
      <c r="CD10" s="350"/>
      <c r="CE10" s="350"/>
    </row>
    <row r="11" spans="1:256" s="1827" customFormat="1" ht="15" customHeight="1">
      <c r="A11" s="7533"/>
      <c r="B11" s="1065"/>
      <c r="C11" s="341"/>
      <c r="D11" s="715"/>
      <c r="E11" s="349"/>
      <c r="F11" s="345" t="s">
        <v>1428</v>
      </c>
      <c r="G11" s="105"/>
      <c r="H11" s="105"/>
      <c r="I11" s="105"/>
      <c r="J11" s="105"/>
      <c r="K11" s="105"/>
      <c r="L11" s="7854"/>
      <c r="M11" s="1451"/>
      <c r="N11" s="435"/>
      <c r="O11" s="435"/>
      <c r="P11" s="435"/>
      <c r="Q11" s="424"/>
      <c r="R11" s="435"/>
      <c r="S11" s="1065"/>
      <c r="T11" s="1065"/>
      <c r="U11" s="348"/>
      <c r="V11" s="1065"/>
      <c r="W11" s="1065"/>
      <c r="X11" s="1065"/>
      <c r="Y11" s="350"/>
      <c r="Z11" s="350"/>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50"/>
      <c r="BW11" s="350"/>
      <c r="BX11" s="350"/>
      <c r="BY11" s="350"/>
      <c r="BZ11" s="350"/>
      <c r="CA11" s="350"/>
      <c r="CB11" s="350"/>
      <c r="CC11" s="350"/>
      <c r="CD11" s="350"/>
      <c r="CE11" s="350"/>
    </row>
    <row r="12" spans="1:256" s="1739" customFormat="1" ht="21" customHeight="1">
      <c r="A12" s="1060"/>
      <c r="B12" s="1065"/>
      <c r="C12" s="1060"/>
      <c r="D12" s="376"/>
      <c r="E12" s="98"/>
      <c r="F12" s="98"/>
      <c r="G12" s="98"/>
      <c r="H12" s="98"/>
      <c r="I12" s="98"/>
      <c r="J12" s="98"/>
      <c r="K12" s="98"/>
      <c r="L12" s="98"/>
      <c r="M12" s="424"/>
      <c r="N12" s="424"/>
      <c r="O12" s="424"/>
      <c r="P12" s="424"/>
      <c r="Q12" s="143"/>
      <c r="R12" s="424"/>
      <c r="S12" s="142"/>
      <c r="T12" s="142"/>
      <c r="U12" s="142"/>
      <c r="V12" s="142"/>
    </row>
    <row r="13" spans="1:256" s="1739" customFormat="1" ht="14.25" customHeight="1">
      <c r="A13" s="1060"/>
      <c r="B13" s="1065"/>
      <c r="C13" s="1060"/>
      <c r="D13" s="376"/>
      <c r="E13" s="1060"/>
      <c r="F13" s="1060"/>
      <c r="G13" s="1060"/>
      <c r="H13" s="1060"/>
      <c r="I13" s="1060"/>
      <c r="J13" s="1060"/>
      <c r="K13" s="1060"/>
      <c r="L13" s="1060"/>
      <c r="M13" s="424"/>
      <c r="N13" s="424"/>
      <c r="O13" s="424"/>
      <c r="P13" s="424"/>
      <c r="Q13" s="143"/>
      <c r="R13" s="424"/>
      <c r="S13" s="142"/>
      <c r="T13" s="142"/>
      <c r="U13" s="142"/>
      <c r="V13" s="142"/>
    </row>
    <row r="14" spans="1:256" s="1739" customFormat="1" ht="0.75" customHeight="1">
      <c r="A14" s="1060"/>
      <c r="B14" s="1065"/>
      <c r="C14" s="1060"/>
      <c r="D14" s="376"/>
      <c r="E14" s="1060"/>
      <c r="F14" s="1060"/>
      <c r="G14" s="1060"/>
      <c r="H14" s="1060"/>
      <c r="I14" s="1060"/>
      <c r="J14" s="1060"/>
      <c r="K14" s="1060"/>
      <c r="L14" s="1060"/>
      <c r="M14" s="424"/>
      <c r="N14" s="424"/>
      <c r="O14" s="424"/>
      <c r="P14" s="424"/>
      <c r="Q14" s="143"/>
      <c r="R14" s="424"/>
      <c r="S14" s="142"/>
      <c r="T14" s="142"/>
      <c r="U14" s="142"/>
      <c r="V14" s="142"/>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10.140625" style="1555" customWidth="1"/>
    <col min="6" max="6" width="6.28515625" style="1555" customWidth="1"/>
    <col min="7" max="7" width="27.28515625" style="1555" customWidth="1"/>
    <col min="8" max="8" width="29.28515625" style="1555" customWidth="1"/>
    <col min="9" max="9" width="25.42578125" style="1555" customWidth="1"/>
    <col min="10" max="10" width="5.5703125" style="1555" customWidth="1"/>
    <col min="11" max="11" width="6.5703125" style="1555" customWidth="1"/>
    <col min="12" max="12" width="41.85546875" style="1555" customWidth="1"/>
    <col min="13" max="13" width="42.42578125" style="1555" customWidth="1"/>
    <col min="14" max="14" width="41.5703125" style="1555" customWidth="1"/>
    <col min="15" max="15" width="64.140625" style="1555" customWidth="1"/>
    <col min="16" max="16" width="3.7109375" style="1544" customWidth="1"/>
    <col min="17" max="19" width="9.140625" style="1544"/>
    <col min="20" max="20" width="25.7109375" style="1544" customWidth="1"/>
    <col min="21" max="21" width="14.42578125" style="1544" customWidth="1"/>
    <col min="22" max="25" width="9.140625" style="142"/>
    <col min="26" max="259" width="9.140625" style="1555"/>
  </cols>
  <sheetData>
    <row r="1" spans="1:259" ht="14.25" hidden="1" customHeight="1"/>
    <row r="2" spans="1:259" s="1827" customFormat="1" ht="22.5" hidden="1" customHeight="1">
      <c r="A2" s="420"/>
      <c r="B2" s="1065">
        <v>1</v>
      </c>
      <c r="C2" s="1065"/>
      <c r="D2" s="715"/>
      <c r="E2" s="7559"/>
      <c r="F2" s="7559">
        <v>1</v>
      </c>
      <c r="G2" s="7869" t="str">
        <f>IF(region_name="","",region_name)</f>
        <v>Ставропольский край</v>
      </c>
      <c r="H2" s="7870"/>
      <c r="I2" s="7871"/>
      <c r="J2" s="398"/>
      <c r="K2" s="1399">
        <v>1</v>
      </c>
      <c r="L2" s="1069"/>
      <c r="M2" s="1069"/>
      <c r="N2" s="1069"/>
      <c r="O2" s="1069"/>
      <c r="P2" s="1450" t="e">
        <f ca="1">MERGEVALUE(G2)</f>
        <v>#NAME?</v>
      </c>
      <c r="Q2" s="435"/>
      <c r="R2" s="435"/>
      <c r="S2" s="424" t="str">
        <f t="array" ref="S2">IF(ISERROR(MATCH(MID(T2,1,250),MID(note_ter,1,250),0)),"n","y")</f>
        <v>n</v>
      </c>
      <c r="T2" s="435"/>
      <c r="U2" s="424"/>
      <c r="V2" s="1065"/>
      <c r="W2" s="1065"/>
      <c r="X2" s="348"/>
      <c r="Y2" s="1065"/>
      <c r="Z2" s="1065"/>
      <c r="AA2" s="1065"/>
      <c r="AB2" s="350"/>
      <c r="AC2" s="350"/>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50"/>
      <c r="BZ2" s="350"/>
      <c r="CA2" s="350"/>
      <c r="CB2" s="350"/>
      <c r="CC2" s="350"/>
      <c r="CD2" s="350"/>
      <c r="CE2" s="350"/>
      <c r="CF2" s="350"/>
      <c r="CG2" s="350"/>
      <c r="CH2" s="350"/>
    </row>
    <row r="3" spans="1:259" s="1827" customFormat="1" ht="22.5" hidden="1" customHeight="1">
      <c r="A3" s="745"/>
      <c r="B3" s="1065"/>
      <c r="C3" s="1065"/>
      <c r="D3" s="715"/>
      <c r="E3" s="7559"/>
      <c r="F3" s="7559"/>
      <c r="G3" s="7869"/>
      <c r="H3" s="7870"/>
      <c r="I3" s="7872"/>
      <c r="J3" s="1459"/>
      <c r="K3" s="1415"/>
      <c r="L3" s="1415" t="s">
        <v>1429</v>
      </c>
      <c r="M3" s="1462"/>
      <c r="N3" s="1462"/>
      <c r="O3" s="1463"/>
      <c r="P3" s="1450"/>
      <c r="Q3" s="435"/>
      <c r="R3" s="435"/>
      <c r="S3" s="424"/>
      <c r="T3" s="435"/>
      <c r="U3" s="424"/>
      <c r="V3" s="1065"/>
      <c r="W3" s="1065"/>
      <c r="X3" s="348"/>
      <c r="Y3" s="1065"/>
      <c r="Z3" s="1065"/>
      <c r="AA3" s="1065"/>
      <c r="AB3" s="350"/>
      <c r="AC3" s="350"/>
      <c r="AD3" s="347"/>
      <c r="AE3" s="347"/>
      <c r="AF3" s="347"/>
      <c r="AG3" s="347"/>
      <c r="AH3" s="347"/>
      <c r="AI3" s="347"/>
      <c r="AJ3" s="347"/>
      <c r="AK3" s="347"/>
      <c r="AL3" s="347"/>
      <c r="AM3" s="347"/>
      <c r="AN3" s="347"/>
      <c r="AO3" s="347"/>
      <c r="AP3" s="347"/>
      <c r="AQ3" s="347"/>
      <c r="AR3" s="347"/>
      <c r="AS3" s="347"/>
      <c r="AT3" s="347"/>
      <c r="AU3" s="347"/>
      <c r="AV3" s="347"/>
      <c r="AW3" s="347"/>
      <c r="AX3" s="347"/>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350"/>
      <c r="BZ3" s="350"/>
      <c r="CA3" s="350"/>
      <c r="CB3" s="350"/>
      <c r="CC3" s="350"/>
      <c r="CD3" s="350"/>
      <c r="CE3" s="350"/>
      <c r="CF3" s="350"/>
      <c r="CG3" s="350"/>
      <c r="CH3" s="350"/>
    </row>
    <row r="4" spans="1:259" s="1562" customFormat="1" ht="5.25" hidden="1" customHeight="1">
      <c r="A4" s="420"/>
      <c r="D4" s="418"/>
      <c r="G4" s="162" t="s">
        <v>81</v>
      </c>
      <c r="H4" s="418" t="s">
        <v>82</v>
      </c>
      <c r="I4" s="418"/>
      <c r="J4" s="1464"/>
      <c r="K4" s="1464"/>
      <c r="L4" s="1464"/>
      <c r="M4" s="1464"/>
      <c r="N4" s="1464"/>
      <c r="O4" s="1464"/>
      <c r="P4" s="162" t="s">
        <v>81</v>
      </c>
      <c r="Q4" s="162"/>
      <c r="R4" s="162"/>
      <c r="S4" s="162"/>
      <c r="T4" s="163"/>
      <c r="U4" s="162"/>
      <c r="V4" s="162"/>
      <c r="W4" s="162"/>
      <c r="X4" s="162"/>
      <c r="Y4" s="162"/>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row>
    <row r="5" spans="1:259" s="1739" customFormat="1" ht="14.25" customHeight="1">
      <c r="A5" s="1060"/>
      <c r="B5" s="1065"/>
      <c r="C5" s="1060"/>
      <c r="D5" s="1410"/>
      <c r="E5" s="433"/>
      <c r="F5" s="433"/>
      <c r="G5" s="433"/>
      <c r="H5" s="433"/>
      <c r="I5" s="433"/>
      <c r="J5" s="433"/>
      <c r="K5" s="433"/>
      <c r="L5" s="433"/>
      <c r="M5" s="433"/>
      <c r="N5" s="433"/>
      <c r="O5" s="433"/>
      <c r="P5" s="162"/>
      <c r="Q5" s="424"/>
      <c r="R5" s="424"/>
      <c r="S5" s="424"/>
      <c r="T5" s="143"/>
      <c r="U5" s="424"/>
      <c r="V5" s="142"/>
      <c r="W5" s="142"/>
      <c r="X5" s="142"/>
      <c r="Y5" s="142"/>
    </row>
    <row r="6" spans="1:259" s="1739" customFormat="1" ht="25.5" customHeight="1">
      <c r="A6" s="1060"/>
      <c r="B6" s="1065"/>
      <c r="C6" s="1060"/>
      <c r="D6" s="1410"/>
      <c r="E6" s="7535" t="s">
        <v>1430</v>
      </c>
      <c r="F6" s="7535"/>
      <c r="G6" s="7535"/>
      <c r="H6" s="7535"/>
      <c r="I6" s="7535"/>
      <c r="J6" s="7535"/>
      <c r="K6" s="7535"/>
      <c r="L6" s="7535"/>
      <c r="M6" s="7535"/>
      <c r="N6" s="7535"/>
      <c r="O6" s="7535"/>
      <c r="P6" s="162"/>
      <c r="Q6" s="424"/>
      <c r="R6" s="424"/>
      <c r="S6" s="424"/>
      <c r="T6" s="143"/>
      <c r="U6" s="424"/>
      <c r="V6" s="142"/>
      <c r="W6" s="142"/>
      <c r="X6" s="142"/>
      <c r="Y6" s="142"/>
    </row>
    <row r="7" spans="1:259" s="1739" customFormat="1" ht="14.25" customHeight="1">
      <c r="A7" s="1060"/>
      <c r="B7" s="1065"/>
      <c r="C7" s="1060"/>
      <c r="D7" s="1410"/>
      <c r="E7" s="433"/>
      <c r="F7" s="433"/>
      <c r="G7" s="85"/>
      <c r="H7" s="85"/>
      <c r="I7" s="85"/>
      <c r="J7" s="85"/>
      <c r="K7" s="85"/>
      <c r="L7" s="85"/>
      <c r="M7" s="85"/>
      <c r="N7" s="85"/>
      <c r="O7" s="85"/>
      <c r="P7" s="424"/>
      <c r="Q7" s="424"/>
      <c r="R7" s="424"/>
      <c r="S7" s="424"/>
      <c r="T7" s="143"/>
      <c r="U7" s="424"/>
      <c r="V7" s="142"/>
      <c r="W7" s="142"/>
      <c r="X7" s="142"/>
      <c r="Y7" s="142"/>
    </row>
    <row r="8" spans="1:259" s="1468" customFormat="1" ht="42.75" customHeight="1">
      <c r="A8" s="1384"/>
      <c r="B8" s="1393"/>
      <c r="C8" s="1384"/>
      <c r="D8" s="1410"/>
      <c r="E8" s="1473" t="s">
        <v>475</v>
      </c>
      <c r="F8" s="1473"/>
      <c r="G8" s="1474" t="s">
        <v>479</v>
      </c>
      <c r="H8" s="1474" t="s">
        <v>1431</v>
      </c>
      <c r="I8" s="1474" t="s">
        <v>483</v>
      </c>
      <c r="J8" s="7864"/>
      <c r="K8" s="7865"/>
      <c r="L8" s="7866"/>
      <c r="M8" s="1474" t="s">
        <v>1432</v>
      </c>
      <c r="N8" s="1474" t="s">
        <v>1433</v>
      </c>
      <c r="O8" s="1474" t="s">
        <v>1434</v>
      </c>
      <c r="P8" s="1465"/>
      <c r="Q8" s="1465"/>
      <c r="R8" s="1465"/>
      <c r="S8" s="1465"/>
      <c r="T8" s="1466"/>
      <c r="U8" s="1465"/>
      <c r="V8" s="1467"/>
      <c r="W8" s="1467"/>
      <c r="X8" s="1467"/>
      <c r="Y8" s="1467"/>
    </row>
    <row r="9" spans="1:259" s="1739" customFormat="1" ht="47.25" customHeight="1">
      <c r="A9" s="1060"/>
      <c r="B9" s="1065"/>
      <c r="C9" s="1060"/>
      <c r="D9" s="1410"/>
      <c r="E9" s="7668" t="s">
        <v>474</v>
      </c>
      <c r="F9" s="7857" t="s">
        <v>86</v>
      </c>
      <c r="G9" s="7857" t="s">
        <v>478</v>
      </c>
      <c r="H9" s="7857" t="s">
        <v>1435</v>
      </c>
      <c r="I9" s="7857"/>
      <c r="J9" s="7857" t="s">
        <v>1436</v>
      </c>
      <c r="K9" s="7857"/>
      <c r="L9" s="7857"/>
      <c r="M9" s="7857" t="s">
        <v>1437</v>
      </c>
      <c r="N9" s="7857" t="s">
        <v>1438</v>
      </c>
      <c r="O9" s="7857"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холодного водоснабжения в случае, если региональный государственный контроль (надзор) в области регулирования тарифов в сфере холодного водоснабжения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4"/>
      <c r="Q9" s="424"/>
      <c r="R9" s="424"/>
      <c r="S9" s="424"/>
      <c r="T9" s="143"/>
      <c r="U9" s="424"/>
      <c r="V9" s="142"/>
      <c r="W9" s="142"/>
      <c r="X9" s="142"/>
      <c r="Y9" s="142"/>
    </row>
    <row r="10" spans="1:259" s="1739" customFormat="1" ht="63.75" customHeight="1">
      <c r="A10" s="1060"/>
      <c r="B10" s="1065"/>
      <c r="C10" s="1060"/>
      <c r="D10" s="1410"/>
      <c r="E10" s="7559"/>
      <c r="F10" s="7863"/>
      <c r="G10" s="7863"/>
      <c r="H10" s="90" t="s">
        <v>1439</v>
      </c>
      <c r="I10" s="90" t="s">
        <v>482</v>
      </c>
      <c r="J10" s="7856"/>
      <c r="K10" s="7856"/>
      <c r="L10" s="7863"/>
      <c r="M10" s="7863"/>
      <c r="N10" s="7863"/>
      <c r="O10" s="7863"/>
      <c r="P10" s="424"/>
      <c r="Q10" s="424"/>
      <c r="R10" s="424"/>
      <c r="S10" s="424"/>
      <c r="T10" s="143"/>
      <c r="U10" s="424"/>
      <c r="V10" s="142"/>
      <c r="W10" s="142"/>
      <c r="X10" s="142"/>
      <c r="Y10" s="142"/>
    </row>
    <row r="11" spans="1:259" s="1827" customFormat="1" ht="22.5" customHeight="1">
      <c r="A11" s="7533">
        <v>26379339</v>
      </c>
      <c r="B11" s="1065">
        <v>1</v>
      </c>
      <c r="C11" s="1065"/>
      <c r="D11" s="715"/>
      <c r="E11" s="7668"/>
      <c r="F11" s="7668">
        <v>1</v>
      </c>
      <c r="G11" s="7861" t="str">
        <f>IF(region_name="","",region_name)</f>
        <v>Ставропольский край</v>
      </c>
      <c r="H11" s="7862"/>
      <c r="I11" s="7867"/>
      <c r="J11" s="398"/>
      <c r="K11" s="1399">
        <v>1</v>
      </c>
      <c r="L11" s="1475"/>
      <c r="M11" s="1461"/>
      <c r="N11" s="1461"/>
      <c r="O11" s="1460"/>
      <c r="P11" s="1450" t="e">
        <f ca="1">MERGEVALUE(G11)</f>
        <v>#NAME?</v>
      </c>
      <c r="Q11" s="435"/>
      <c r="R11" s="435"/>
      <c r="S11" s="424" t="str">
        <f t="array" ref="S11">IF(ISERROR(MATCH(MID(T11,1,250),MID(note_ter,1,250),0)),"n","y")</f>
        <v>n</v>
      </c>
      <c r="T11" s="435"/>
      <c r="U11" s="424"/>
      <c r="V11" s="1065"/>
      <c r="W11" s="1065"/>
      <c r="X11" s="348"/>
      <c r="Y11" s="1065"/>
      <c r="Z11" s="1065"/>
      <c r="AA11" s="1065"/>
      <c r="AB11" s="350"/>
      <c r="AC11" s="350"/>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50"/>
      <c r="BZ11" s="350"/>
      <c r="CA11" s="350"/>
      <c r="CB11" s="350"/>
      <c r="CC11" s="350"/>
      <c r="CD11" s="350"/>
      <c r="CE11" s="350"/>
      <c r="CF11" s="350"/>
      <c r="CG11" s="350"/>
      <c r="CH11" s="350"/>
    </row>
    <row r="12" spans="1:259" s="1827" customFormat="1" ht="22.5" customHeight="1">
      <c r="A12" s="7533"/>
      <c r="B12" s="1065"/>
      <c r="C12" s="1065"/>
      <c r="D12" s="715"/>
      <c r="E12" s="7668"/>
      <c r="F12" s="7668"/>
      <c r="G12" s="7861"/>
      <c r="H12" s="7862"/>
      <c r="I12" s="7868"/>
      <c r="J12" s="1459"/>
      <c r="K12" s="1415"/>
      <c r="L12" s="1415" t="s">
        <v>1429</v>
      </c>
      <c r="M12" s="1462"/>
      <c r="N12" s="1462"/>
      <c r="O12" s="1463"/>
      <c r="P12" s="1450"/>
      <c r="Q12" s="435"/>
      <c r="R12" s="435"/>
      <c r="S12" s="424"/>
      <c r="T12" s="435"/>
      <c r="U12" s="424"/>
      <c r="V12" s="1065"/>
      <c r="W12" s="1065"/>
      <c r="X12" s="348"/>
      <c r="Y12" s="1065"/>
      <c r="Z12" s="1065"/>
      <c r="AA12" s="1065"/>
      <c r="AB12" s="350"/>
      <c r="AC12" s="350"/>
      <c r="AD12" s="347"/>
      <c r="AE12" s="347"/>
      <c r="AF12" s="347"/>
      <c r="AG12" s="347"/>
      <c r="AH12" s="347"/>
      <c r="AI12" s="347"/>
      <c r="AJ12" s="347"/>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7"/>
      <c r="BR12" s="347"/>
      <c r="BS12" s="347"/>
      <c r="BT12" s="347"/>
      <c r="BU12" s="347"/>
      <c r="BV12" s="347"/>
      <c r="BW12" s="347"/>
      <c r="BX12" s="347"/>
      <c r="BY12" s="350"/>
      <c r="BZ12" s="350"/>
      <c r="CA12" s="350"/>
      <c r="CB12" s="350"/>
      <c r="CC12" s="350"/>
      <c r="CD12" s="350"/>
      <c r="CE12" s="350"/>
      <c r="CF12" s="350"/>
      <c r="CG12" s="350"/>
      <c r="CH12" s="350"/>
    </row>
    <row r="13" spans="1:259" s="1827" customFormat="1" ht="22.5" customHeight="1">
      <c r="A13" s="7533"/>
      <c r="B13" s="1065"/>
      <c r="C13" s="341"/>
      <c r="D13" s="715"/>
      <c r="E13" s="1456"/>
      <c r="F13" s="1459"/>
      <c r="G13" s="1415" t="s">
        <v>1423</v>
      </c>
      <c r="H13" s="1457"/>
      <c r="I13" s="1457"/>
      <c r="J13" s="105"/>
      <c r="K13" s="105"/>
      <c r="L13" s="105"/>
      <c r="M13" s="105"/>
      <c r="N13" s="105"/>
      <c r="O13" s="1458"/>
      <c r="P13" s="1451"/>
      <c r="Q13" s="435"/>
      <c r="R13" s="435"/>
      <c r="S13" s="435"/>
      <c r="T13" s="424"/>
      <c r="U13" s="435"/>
      <c r="V13" s="1065"/>
      <c r="W13" s="1065"/>
      <c r="X13" s="348"/>
      <c r="Y13" s="1065"/>
      <c r="Z13" s="1065"/>
      <c r="AA13" s="1065"/>
      <c r="AB13" s="350"/>
      <c r="AC13" s="350"/>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50"/>
      <c r="BZ13" s="350"/>
      <c r="CA13" s="350"/>
      <c r="CB13" s="350"/>
      <c r="CC13" s="350"/>
      <c r="CD13" s="350"/>
      <c r="CE13" s="350"/>
      <c r="CF13" s="350"/>
      <c r="CG13" s="350"/>
      <c r="CH13" s="350"/>
    </row>
    <row r="14" spans="1:259" s="1739" customFormat="1" ht="21" customHeight="1">
      <c r="A14" s="1060"/>
      <c r="B14" s="1065"/>
      <c r="C14" s="1060"/>
      <c r="D14" s="376"/>
      <c r="E14" s="98"/>
      <c r="F14" s="98"/>
      <c r="G14" s="98"/>
      <c r="H14" s="98"/>
      <c r="I14" s="98"/>
      <c r="J14" s="98"/>
      <c r="K14" s="98"/>
      <c r="L14" s="98"/>
      <c r="M14" s="98"/>
      <c r="N14" s="433"/>
      <c r="O14" s="433"/>
      <c r="P14" s="424"/>
      <c r="Q14" s="424"/>
      <c r="R14" s="424"/>
      <c r="S14" s="424"/>
      <c r="T14" s="143"/>
      <c r="U14" s="424"/>
      <c r="V14" s="142"/>
      <c r="W14" s="142"/>
      <c r="X14" s="142"/>
      <c r="Y14" s="142"/>
    </row>
    <row r="15" spans="1:259" s="1739" customFormat="1" ht="14.25" customHeight="1">
      <c r="A15" s="1060"/>
      <c r="B15" s="1065"/>
      <c r="C15" s="1060"/>
      <c r="D15" s="376"/>
      <c r="E15" s="1060"/>
      <c r="F15" s="1060"/>
      <c r="G15" s="1060"/>
      <c r="H15" s="1060"/>
      <c r="I15" s="1060"/>
      <c r="J15" s="1060"/>
      <c r="K15" s="1060"/>
      <c r="L15" s="1060"/>
      <c r="M15" s="1060"/>
      <c r="N15" s="1060"/>
      <c r="O15" s="1060"/>
      <c r="P15" s="424"/>
      <c r="Q15" s="424"/>
      <c r="R15" s="424"/>
      <c r="S15" s="424"/>
      <c r="T15" s="143"/>
      <c r="U15" s="424"/>
      <c r="V15" s="142"/>
      <c r="W15" s="142"/>
      <c r="X15" s="142"/>
      <c r="Y15" s="142"/>
    </row>
    <row r="16" spans="1:259" s="1739" customFormat="1" ht="0.75" customHeight="1">
      <c r="A16" s="1060"/>
      <c r="B16" s="1065"/>
      <c r="C16" s="1060"/>
      <c r="D16" s="376"/>
      <c r="E16" s="1060"/>
      <c r="F16" s="1060"/>
      <c r="G16" s="1060"/>
      <c r="H16" s="1060"/>
      <c r="I16" s="1060"/>
      <c r="J16" s="1060"/>
      <c r="K16" s="1060"/>
      <c r="L16" s="1060"/>
      <c r="M16" s="1060"/>
      <c r="N16" s="1060"/>
      <c r="O16" s="1060"/>
      <c r="P16" s="424"/>
      <c r="Q16" s="424"/>
      <c r="R16" s="424"/>
      <c r="S16" s="424"/>
      <c r="T16" s="143"/>
      <c r="U16" s="424"/>
      <c r="V16" s="142"/>
      <c r="W16" s="142"/>
      <c r="X16" s="142"/>
      <c r="Y16" s="142"/>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12" width="9.140625" style="179"/>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7535" t="s">
        <v>1440</v>
      </c>
      <c r="E7" s="7535"/>
      <c r="F7" s="182"/>
    </row>
    <row r="8" spans="3:6" ht="3" customHeight="1">
      <c r="C8" s="21"/>
      <c r="D8" s="3"/>
      <c r="E8" s="3"/>
    </row>
    <row r="9" spans="3:6" ht="15.75" customHeight="1">
      <c r="C9" s="21"/>
      <c r="D9" s="32" t="s">
        <v>86</v>
      </c>
      <c r="E9" s="35" t="s">
        <v>461</v>
      </c>
    </row>
    <row r="10" spans="3:6" ht="12" customHeight="1">
      <c r="C10" s="21"/>
      <c r="D10" s="18" t="s">
        <v>97</v>
      </c>
      <c r="E10" s="18" t="s">
        <v>100</v>
      </c>
    </row>
    <row r="11" spans="3:6" ht="15" hidden="1" customHeight="1">
      <c r="C11" s="21"/>
      <c r="D11" s="39">
        <v>0</v>
      </c>
      <c r="E11" s="69"/>
    </row>
    <row r="12" spans="3:6" ht="14.25" customHeight="1">
      <c r="C12" s="21"/>
      <c r="D12" s="36"/>
      <c r="E12" s="34" t="s">
        <v>1400</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27" customWidth="1"/>
    <col min="2" max="2" width="34.5703125" style="1827" customWidth="1"/>
    <col min="3" max="3" width="85.5703125" style="1827" customWidth="1"/>
    <col min="4" max="4" width="17.7109375" style="1827" customWidth="1"/>
    <col min="5" max="5" width="9.140625" style="1827"/>
  </cols>
  <sheetData>
    <row r="1" spans="2:5" ht="3" customHeight="1"/>
    <row r="2" spans="2:5" ht="22.5" customHeight="1">
      <c r="B2" s="7873" t="s">
        <v>1441</v>
      </c>
      <c r="C2" s="7873"/>
      <c r="D2" s="7873"/>
      <c r="E2" s="183"/>
    </row>
    <row r="3" spans="2:5" ht="3" customHeight="1"/>
    <row r="4" spans="2:5" ht="21.75" customHeight="1">
      <c r="B4" s="7510" t="s">
        <v>1442</v>
      </c>
      <c r="C4" s="312" t="s">
        <v>1443</v>
      </c>
      <c r="D4" s="312" t="s">
        <v>1444</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27" customWidth="1"/>
    <col min="2" max="2" width="10" style="1827" customWidth="1"/>
    <col min="3" max="3" width="9.140625" style="1827"/>
    <col min="4" max="4" width="11.140625" style="1827" customWidth="1"/>
    <col min="5" max="5" width="16.5703125" style="1827" customWidth="1"/>
    <col min="6" max="6" width="16.28515625" style="1827" customWidth="1"/>
    <col min="7" max="7" width="19.140625" style="1827" customWidth="1"/>
    <col min="8" max="11" width="10" style="1827" customWidth="1"/>
    <col min="12" max="12" width="12.7109375" style="1827" customWidth="1"/>
    <col min="13" max="13" width="61.28515625" style="1827" customWidth="1"/>
    <col min="14" max="14" width="10" style="1827" customWidth="1"/>
    <col min="15" max="17" width="23.7109375" style="1827" customWidth="1"/>
    <col min="18" max="18" width="11.7109375" style="1827" customWidth="1"/>
    <col min="19" max="19" width="8.5703125" style="1827" customWidth="1"/>
    <col min="20" max="20" width="11.7109375" style="1827" customWidth="1"/>
    <col min="21" max="21" width="8.5703125" style="1827" customWidth="1"/>
    <col min="22" max="22" width="4.7109375" style="1827" customWidth="1"/>
    <col min="23" max="23" width="115.7109375" style="1827" customWidth="1"/>
    <col min="24" max="24" width="115.28515625" style="1827" customWidth="1"/>
    <col min="25" max="27" width="9.140625" style="1827"/>
    <col min="28" max="28" width="115.7109375" style="1827" customWidth="1"/>
    <col min="29" max="29" width="9.140625" style="1827"/>
    <col min="30" max="90" width="115.7109375" style="1827" customWidth="1"/>
    <col min="91" max="184" width="9.140625" style="1827"/>
  </cols>
  <sheetData>
    <row r="2" spans="1:80" s="1735" customFormat="1" ht="17.25" customHeight="1">
      <c r="A2" s="1735" t="s">
        <v>1445</v>
      </c>
    </row>
    <row r="4" spans="1:80" s="179" customFormat="1" ht="15" customHeight="1">
      <c r="C4" s="1736"/>
      <c r="D4" s="39"/>
      <c r="E4" s="303"/>
    </row>
    <row r="6" spans="1:80" s="1735" customFormat="1" ht="17.25" customHeight="1">
      <c r="A6" s="1735" t="s">
        <v>1446</v>
      </c>
    </row>
    <row r="8" spans="1:80" s="179" customFormat="1" ht="17.25" customHeight="1">
      <c r="C8" s="1737"/>
      <c r="D8" s="39"/>
      <c r="E8" s="40"/>
    </row>
    <row r="11" spans="1:80" s="1735" customFormat="1" ht="17.25" customHeight="1">
      <c r="A11" s="1735" t="s">
        <v>1447</v>
      </c>
    </row>
    <row r="13" spans="1:80" s="1739" customFormat="1" ht="15" customHeight="1">
      <c r="A13" s="7534">
        <v>1</v>
      </c>
      <c r="B13" s="1065"/>
      <c r="C13" s="715" t="s">
        <v>101</v>
      </c>
      <c r="D13" s="1738"/>
      <c r="E13" s="1725">
        <f>A13</f>
        <v>1</v>
      </c>
      <c r="F13" s="718"/>
      <c r="G13" s="463" t="str">
        <f>"Территория "&amp;E13</f>
        <v>Территория 1</v>
      </c>
      <c r="H13" s="706"/>
      <c r="I13" s="706"/>
      <c r="J13" s="703"/>
      <c r="K13" s="1544"/>
      <c r="L13" s="1544"/>
      <c r="M13" s="1544"/>
      <c r="N13" s="143"/>
      <c r="O13" s="1544"/>
      <c r="P13" s="142"/>
      <c r="Q13" s="142"/>
      <c r="R13" s="142"/>
      <c r="S13" s="142"/>
    </row>
    <row r="14" spans="1:80" s="1827" customFormat="1" ht="15" customHeight="1">
      <c r="A14" s="7534"/>
      <c r="B14" s="1065">
        <v>1</v>
      </c>
      <c r="C14" s="1065"/>
      <c r="D14" s="714"/>
      <c r="E14" s="1733" t="str">
        <f>A13&amp;"."&amp;B14</f>
        <v>1.1</v>
      </c>
      <c r="F14" s="717">
        <f>$F$20</f>
        <v>0</v>
      </c>
      <c r="G14" s="707"/>
      <c r="H14" s="707"/>
      <c r="I14" s="705"/>
      <c r="J14" s="1544"/>
      <c r="K14" s="1556"/>
      <c r="L14" s="1556"/>
      <c r="M14" s="1544" t="str">
        <f t="array" ref="M14">IF(ISERROR(MATCH(MID(N14,1,250),MID(note_ter,1,250),0)),"n","y")</f>
        <v>n</v>
      </c>
      <c r="N14" s="1556"/>
      <c r="O14" s="1544" t="str">
        <f>H14&amp;"("&amp;I14&amp;")"</f>
        <v>()</v>
      </c>
      <c r="P14" s="1065"/>
      <c r="Q14" s="1065"/>
      <c r="R14" s="348"/>
      <c r="S14" s="1065"/>
      <c r="T14" s="1065"/>
      <c r="U14" s="1065"/>
      <c r="V14" s="350"/>
      <c r="W14" s="350"/>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50"/>
      <c r="BT14" s="350"/>
      <c r="BU14" s="350"/>
      <c r="BV14" s="350"/>
      <c r="BW14" s="350"/>
      <c r="BX14" s="350"/>
      <c r="BY14" s="350"/>
      <c r="BZ14" s="350"/>
      <c r="CA14" s="350"/>
      <c r="CB14" s="350"/>
    </row>
    <row r="15" spans="1:80" s="1827" customFormat="1" ht="15" customHeight="1">
      <c r="A15" s="7534"/>
      <c r="B15" s="1065"/>
      <c r="C15" s="341"/>
      <c r="D15" s="715"/>
      <c r="E15" s="349"/>
      <c r="F15" s="95"/>
      <c r="G15" s="344" t="s">
        <v>207</v>
      </c>
      <c r="H15" s="105"/>
      <c r="I15" s="351"/>
      <c r="J15" s="1556"/>
      <c r="K15" s="1556"/>
      <c r="L15" s="1556"/>
      <c r="M15" s="1556"/>
      <c r="N15" s="1544"/>
      <c r="O15" s="1556"/>
      <c r="P15" s="1065"/>
      <c r="Q15" s="1065"/>
      <c r="R15" s="348"/>
      <c r="S15" s="1065"/>
      <c r="T15" s="1065"/>
      <c r="U15" s="1065"/>
      <c r="V15" s="350"/>
      <c r="W15" s="350"/>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50"/>
      <c r="BT15" s="350"/>
      <c r="BU15" s="350"/>
      <c r="BV15" s="350"/>
      <c r="BW15" s="350"/>
      <c r="BX15" s="350"/>
      <c r="BY15" s="350"/>
      <c r="BZ15" s="350"/>
      <c r="CA15" s="350"/>
      <c r="CB15" s="350"/>
    </row>
    <row r="17" spans="1:80" s="1735" customFormat="1" ht="17.25" customHeight="1">
      <c r="A17" s="1735" t="s">
        <v>1448</v>
      </c>
    </row>
    <row r="19" spans="1:80" s="1827" customFormat="1" ht="15" customHeight="1">
      <c r="A19" s="1801"/>
      <c r="B19" s="1287">
        <v>1</v>
      </c>
      <c r="C19" s="1287"/>
      <c r="D19" s="714" t="s">
        <v>101</v>
      </c>
      <c r="E19" s="1797"/>
      <c r="F19" s="1802">
        <f>$F$20</f>
        <v>0</v>
      </c>
      <c r="G19" s="1806"/>
      <c r="H19" s="1806"/>
      <c r="I19" s="1804"/>
      <c r="J19" s="1544"/>
      <c r="K19" s="1556"/>
      <c r="L19" s="1556"/>
      <c r="M19" s="1544" t="str">
        <f t="array" ref="M19">IF(ISERROR(MATCH(MID(N19,1,250),MID(note_ter,1,250),0)),"n","y")</f>
        <v>n</v>
      </c>
      <c r="N19" s="1556"/>
      <c r="O19" s="1544" t="str">
        <f>H19&amp;"("&amp;I19&amp;")"</f>
        <v>()</v>
      </c>
      <c r="P19" s="1287"/>
      <c r="Q19" s="1287"/>
      <c r="R19" s="348"/>
      <c r="S19" s="1287"/>
      <c r="T19" s="1287"/>
      <c r="U19" s="1287"/>
      <c r="V19" s="747"/>
      <c r="W19" s="747"/>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747"/>
      <c r="BT19" s="747"/>
      <c r="BU19" s="747"/>
      <c r="BV19" s="747"/>
      <c r="BW19" s="747"/>
      <c r="BX19" s="747"/>
      <c r="BY19" s="747"/>
      <c r="BZ19" s="747"/>
      <c r="CA19" s="747"/>
      <c r="CB19" s="747"/>
    </row>
    <row r="21" spans="1:80" s="1827" customFormat="1" ht="15" customHeight="1">
      <c r="A21" s="1735" t="s">
        <v>1449</v>
      </c>
      <c r="B21" s="1735"/>
      <c r="C21" s="1735"/>
      <c r="D21" s="1735"/>
      <c r="E21" s="1735"/>
      <c r="F21" s="1735"/>
      <c r="G21" s="1735"/>
      <c r="H21" s="1735"/>
      <c r="I21" s="1735"/>
      <c r="J21" s="1735"/>
      <c r="K21" s="1735"/>
      <c r="L21" s="1735"/>
      <c r="M21" s="1735"/>
      <c r="N21" s="1735"/>
      <c r="O21" s="1735"/>
      <c r="P21" s="1735"/>
      <c r="Q21" s="1735"/>
      <c r="R21" s="1735"/>
      <c r="S21" s="1735"/>
      <c r="T21" s="1735"/>
      <c r="U21" s="102"/>
      <c r="V21" s="1735"/>
      <c r="W21" s="1735"/>
    </row>
    <row r="22" spans="1:80" s="1827" customFormat="1" ht="15" customHeight="1">
      <c r="U22" s="103"/>
    </row>
    <row r="23" spans="1:80" s="1771" customFormat="1" ht="15" customHeight="1">
      <c r="A23"/>
      <c r="B23"/>
      <c r="C23" s="1647" t="s">
        <v>101</v>
      </c>
      <c r="D23" s="7541" t="s">
        <v>97</v>
      </c>
      <c r="E23" s="7542"/>
      <c r="F23" s="7540" t="s">
        <v>55</v>
      </c>
      <c r="G23" s="7907"/>
      <c r="H23" s="7559">
        <v>1</v>
      </c>
      <c r="I23" s="7909" t="str">
        <f>IF(U23="","",INDEX(TERRITORY_MR_LIST,MATCH(U23,TERRITORY_LIST_ID,0)))</f>
        <v/>
      </c>
      <c r="J23" s="7540" t="s">
        <v>55</v>
      </c>
      <c r="K23" s="746"/>
      <c r="L23" s="1702" t="s">
        <v>97</v>
      </c>
      <c r="M23" s="523"/>
      <c r="N23" s="524"/>
      <c r="O23" s="524"/>
      <c r="P23" s="524"/>
      <c r="Q23" s="524"/>
      <c r="R23" s="524"/>
      <c r="S23" s="524"/>
      <c r="T23" s="524"/>
      <c r="U23" s="525"/>
      <c r="V23" s="524"/>
      <c r="W23" s="524"/>
      <c r="X23" s="516"/>
      <c r="Y23" s="516" t="s">
        <v>232</v>
      </c>
      <c r="Z23" s="516">
        <v>1705000</v>
      </c>
      <c r="AA23" s="516"/>
      <c r="AB23" s="516"/>
      <c r="AC23" s="516"/>
      <c r="AD23" s="516"/>
      <c r="AE23" s="516"/>
      <c r="AF23" s="516"/>
      <c r="AG23" s="516"/>
      <c r="AH23" s="516"/>
      <c r="AI23" s="516"/>
      <c r="AJ23" s="516"/>
      <c r="AK23" s="516"/>
      <c r="AL23" s="516"/>
    </row>
    <row r="24" spans="1:80" s="1771" customFormat="1" ht="15" customHeight="1">
      <c r="A24"/>
      <c r="B24"/>
      <c r="C24" s="94"/>
      <c r="D24" s="7541"/>
      <c r="E24" s="7543"/>
      <c r="F24" s="7540"/>
      <c r="G24" s="7908"/>
      <c r="H24" s="7559"/>
      <c r="I24" s="7910"/>
      <c r="J24" s="7540"/>
      <c r="K24" s="349"/>
      <c r="L24" s="95"/>
      <c r="M24" s="526" t="s">
        <v>233</v>
      </c>
      <c r="N24" s="524"/>
      <c r="O24" s="524"/>
      <c r="P24" s="524"/>
      <c r="Q24" s="524"/>
      <c r="R24" s="524"/>
      <c r="S24" s="524"/>
      <c r="T24" s="524"/>
      <c r="U24" s="525"/>
      <c r="V24" s="524"/>
      <c r="W24" s="524"/>
      <c r="X24" s="516"/>
      <c r="Y24" s="516"/>
      <c r="Z24" s="516"/>
      <c r="AA24" s="516"/>
      <c r="AB24" s="516"/>
      <c r="AC24" s="516"/>
      <c r="AD24" s="516"/>
      <c r="AE24" s="516"/>
      <c r="AF24" s="516"/>
      <c r="AG24" s="516"/>
      <c r="AH24" s="516"/>
      <c r="AI24" s="516"/>
      <c r="AJ24" s="516"/>
      <c r="AK24" s="516"/>
      <c r="AL24" s="516"/>
    </row>
    <row r="25" spans="1:80" s="1771" customFormat="1" ht="15" customHeight="1">
      <c r="A25"/>
      <c r="B25"/>
      <c r="C25" s="94"/>
      <c r="D25" s="7541"/>
      <c r="E25" s="7544"/>
      <c r="F25" s="7540"/>
      <c r="G25" s="349"/>
      <c r="H25" s="95"/>
      <c r="I25" s="503" t="s">
        <v>234</v>
      </c>
      <c r="J25" s="95"/>
      <c r="K25" s="95"/>
      <c r="L25" s="95"/>
      <c r="M25" s="527"/>
      <c r="N25" s="524"/>
      <c r="O25" s="524"/>
      <c r="P25" s="524"/>
      <c r="Q25" s="524"/>
      <c r="R25" s="524"/>
      <c r="S25" s="524"/>
      <c r="T25" s="524"/>
      <c r="U25" s="525"/>
      <c r="V25" s="524"/>
      <c r="W25" s="524"/>
      <c r="X25" s="516"/>
      <c r="Y25" s="516"/>
      <c r="Z25" s="516"/>
      <c r="AA25" s="516"/>
      <c r="AB25" s="516"/>
      <c r="AC25" s="516"/>
      <c r="AD25" s="516"/>
      <c r="AE25" s="516"/>
      <c r="AF25" s="516"/>
      <c r="AG25" s="516"/>
      <c r="AH25" s="516"/>
      <c r="AI25" s="516"/>
      <c r="AJ25" s="516"/>
      <c r="AK25" s="516"/>
      <c r="AL25" s="516"/>
    </row>
    <row r="26" spans="1:80" s="1827" customFormat="1" ht="15" customHeight="1">
      <c r="U26" s="103"/>
    </row>
    <row r="27" spans="1:80" s="1827" customFormat="1" ht="15" customHeight="1">
      <c r="A27" s="1735" t="s">
        <v>1450</v>
      </c>
      <c r="B27" s="1735"/>
      <c r="C27" s="1735"/>
      <c r="D27" s="1735"/>
      <c r="E27" s="1735"/>
      <c r="F27" s="1735"/>
      <c r="G27" s="1735"/>
      <c r="H27" s="1735"/>
      <c r="I27" s="1735"/>
      <c r="J27" s="1735"/>
      <c r="K27" s="1735"/>
      <c r="L27" s="1735"/>
      <c r="M27" s="1735"/>
      <c r="N27" s="1735"/>
      <c r="O27" s="1735"/>
      <c r="P27" s="1735"/>
      <c r="Q27" s="1735"/>
      <c r="R27" s="1735"/>
      <c r="S27" s="1735"/>
      <c r="T27" s="1735"/>
      <c r="U27" s="102"/>
      <c r="V27" s="1735"/>
      <c r="W27" s="1735"/>
    </row>
    <row r="28" spans="1:80" s="1827" customFormat="1" ht="15" customHeight="1">
      <c r="U28" s="103"/>
    </row>
    <row r="29" spans="1:80" s="1771" customFormat="1" ht="15" customHeight="1">
      <c r="A29"/>
      <c r="B29"/>
      <c r="C29" s="94"/>
      <c r="D29" s="1740"/>
      <c r="E29" s="1740"/>
      <c r="F29" s="1740"/>
      <c r="G29" s="7911" t="s">
        <v>101</v>
      </c>
      <c r="H29" s="7529">
        <v>1</v>
      </c>
      <c r="I29" s="7912" t="str">
        <f>IF(U29="","",INDEX(TERRITORY_MR_LIST,MATCH(U29,TERRITORY_LIST_ID,0)))</f>
        <v/>
      </c>
      <c r="J29" s="7540" t="s">
        <v>55</v>
      </c>
      <c r="K29" s="746"/>
      <c r="L29" s="1702" t="s">
        <v>97</v>
      </c>
      <c r="M29" s="523"/>
      <c r="N29" s="524"/>
      <c r="O29" s="524"/>
      <c r="P29" s="524"/>
      <c r="Q29" s="524"/>
      <c r="R29" s="524"/>
      <c r="S29" s="524"/>
      <c r="T29" s="524"/>
      <c r="U29" s="525"/>
      <c r="V29" s="524"/>
      <c r="W29" s="524"/>
      <c r="X29" s="516"/>
      <c r="Y29" s="516" t="s">
        <v>232</v>
      </c>
      <c r="Z29" s="516">
        <v>1705000</v>
      </c>
      <c r="AA29" s="516"/>
      <c r="AB29" s="516"/>
      <c r="AC29" s="516"/>
      <c r="AD29" s="516"/>
      <c r="AE29" s="516"/>
      <c r="AF29" s="516"/>
      <c r="AG29" s="516"/>
      <c r="AH29" s="516"/>
      <c r="AI29" s="516"/>
      <c r="AJ29" s="516"/>
      <c r="AK29" s="516"/>
      <c r="AL29" s="516"/>
    </row>
    <row r="30" spans="1:80" s="1771" customFormat="1" ht="15" customHeight="1">
      <c r="A30"/>
      <c r="B30"/>
      <c r="C30" s="94"/>
      <c r="D30" s="1740"/>
      <c r="E30" s="1740"/>
      <c r="F30" s="1740"/>
      <c r="G30" s="7911"/>
      <c r="H30" s="7529"/>
      <c r="I30" s="7912"/>
      <c r="J30" s="7540"/>
      <c r="K30" s="349"/>
      <c r="L30" s="95"/>
      <c r="M30" s="526" t="s">
        <v>233</v>
      </c>
      <c r="N30" s="524"/>
      <c r="O30" s="524"/>
      <c r="P30" s="524"/>
      <c r="Q30" s="524"/>
      <c r="R30" s="524"/>
      <c r="S30" s="524"/>
      <c r="T30" s="524"/>
      <c r="U30" s="525"/>
      <c r="V30" s="524"/>
      <c r="W30" s="524"/>
      <c r="X30" s="516"/>
      <c r="Y30" s="516"/>
      <c r="Z30" s="516"/>
      <c r="AA30" s="516"/>
      <c r="AB30" s="516"/>
      <c r="AC30" s="516"/>
      <c r="AD30" s="516"/>
      <c r="AE30" s="516"/>
      <c r="AF30" s="516"/>
      <c r="AG30" s="516"/>
      <c r="AH30" s="516"/>
      <c r="AI30" s="516"/>
      <c r="AJ30" s="516"/>
      <c r="AK30" s="516"/>
      <c r="AL30" s="516"/>
    </row>
    <row r="31" spans="1:80" s="1827" customFormat="1" ht="15" customHeight="1">
      <c r="U31" s="103"/>
    </row>
    <row r="32" spans="1:80" s="1827" customFormat="1" ht="15" customHeight="1">
      <c r="A32" s="1735" t="s">
        <v>1451</v>
      </c>
      <c r="B32" s="1735"/>
      <c r="C32" s="1735"/>
      <c r="D32" s="1735"/>
      <c r="E32" s="1735"/>
      <c r="F32" s="1735"/>
      <c r="G32" s="1735"/>
      <c r="H32" s="1735"/>
      <c r="I32" s="1735"/>
      <c r="J32" s="1735"/>
      <c r="K32" s="1735"/>
      <c r="L32" s="1735"/>
      <c r="M32" s="1735"/>
      <c r="N32" s="1735"/>
      <c r="O32" s="1735"/>
      <c r="P32" s="1735"/>
      <c r="Q32" s="1735"/>
      <c r="R32" s="1735"/>
      <c r="S32" s="1735"/>
      <c r="T32" s="1735"/>
      <c r="U32" s="102"/>
      <c r="V32" s="1735"/>
      <c r="W32" s="1735"/>
    </row>
    <row r="33" spans="1:38" s="1827" customFormat="1" ht="15" customHeight="1">
      <c r="U33" s="103"/>
    </row>
    <row r="34" spans="1:38" s="1771" customFormat="1" ht="15" customHeight="1">
      <c r="A34"/>
      <c r="B34"/>
      <c r="C34" s="94"/>
      <c r="D34" s="1740"/>
      <c r="E34" s="1740"/>
      <c r="F34" s="1740"/>
      <c r="G34" s="1740"/>
      <c r="H34" s="1740"/>
      <c r="I34" s="1740"/>
      <c r="J34" s="1740"/>
      <c r="K34" s="1719" t="s">
        <v>101</v>
      </c>
      <c r="L34" s="1648" t="s">
        <v>97</v>
      </c>
      <c r="M34" s="725"/>
      <c r="N34" s="726"/>
      <c r="O34" s="524"/>
      <c r="P34" s="524"/>
      <c r="Q34" s="524"/>
      <c r="R34" s="524"/>
      <c r="S34" s="524"/>
      <c r="T34" s="524"/>
      <c r="U34" s="525"/>
      <c r="V34" s="524"/>
      <c r="W34" s="524"/>
      <c r="X34" s="516"/>
      <c r="Y34" s="516" t="s">
        <v>232</v>
      </c>
      <c r="Z34" s="516">
        <v>1705000</v>
      </c>
      <c r="AA34" s="516"/>
      <c r="AB34" s="516"/>
      <c r="AC34" s="516"/>
      <c r="AD34" s="516"/>
      <c r="AE34" s="516"/>
      <c r="AF34" s="516"/>
      <c r="AG34" s="516"/>
      <c r="AH34" s="516"/>
      <c r="AI34" s="516"/>
      <c r="AJ34" s="516"/>
      <c r="AK34" s="516"/>
      <c r="AL34" s="516"/>
    </row>
    <row r="35" spans="1:38" s="1827" customFormat="1" ht="15" customHeight="1">
      <c r="U35" s="103"/>
    </row>
    <row r="36" spans="1:38" s="1827" customFormat="1" ht="15" customHeight="1">
      <c r="U36" s="103"/>
    </row>
    <row r="37" spans="1:38" s="1735" customFormat="1" ht="11.25" customHeight="1">
      <c r="A37" s="1735" t="s">
        <v>1452</v>
      </c>
    </row>
    <row r="38" spans="1:38" ht="11.25" customHeight="1"/>
    <row r="39" spans="1:38" s="379" customFormat="1" ht="22.5" customHeight="1">
      <c r="A39" s="1711"/>
      <c r="B39" s="381"/>
      <c r="C39" s="773"/>
      <c r="D39" s="366"/>
      <c r="E39" s="774"/>
      <c r="F39" s="1732"/>
      <c r="G39" s="1741"/>
      <c r="H39" s="399"/>
    </row>
    <row r="40" spans="1:38" ht="11.25" customHeight="1"/>
    <row r="41" spans="1:38" s="1735" customFormat="1" ht="11.25" customHeight="1">
      <c r="A41" s="1735" t="s">
        <v>1453</v>
      </c>
    </row>
    <row r="42" spans="1:38" ht="11.25" customHeight="1"/>
    <row r="43" spans="1:38" s="379" customFormat="1" ht="22.5" customHeight="1">
      <c r="A43" s="381"/>
      <c r="B43" s="381"/>
      <c r="C43" s="381"/>
      <c r="D43" s="366"/>
      <c r="E43" s="774"/>
      <c r="F43" s="775"/>
      <c r="G43" s="1741"/>
      <c r="H43" s="399"/>
    </row>
    <row r="46" spans="1:38" s="1735" customFormat="1" ht="17.25" customHeight="1">
      <c r="A46" s="1735" t="s">
        <v>1454</v>
      </c>
    </row>
    <row r="48" spans="1:38" s="1533" customFormat="1" ht="18.75" customHeight="1">
      <c r="A48"/>
      <c r="B48" s="1742"/>
      <c r="C48" s="1742"/>
      <c r="D48" s="1743"/>
      <c r="E48" s="1729"/>
      <c r="F48" s="782">
        <v>13</v>
      </c>
      <c r="G48" s="781"/>
      <c r="H48" s="707"/>
      <c r="I48" s="705"/>
      <c r="J48" s="444" t="s">
        <v>60</v>
      </c>
      <c r="K48" s="1744" t="s">
        <v>24</v>
      </c>
      <c r="L48"/>
      <c r="M48" s="1556"/>
      <c r="N48" s="1556"/>
      <c r="O48" s="1556"/>
      <c r="P48" s="440" t="s">
        <v>568</v>
      </c>
      <c r="Q48" s="440" t="s">
        <v>569</v>
      </c>
      <c r="R48" s="441" t="s">
        <v>570</v>
      </c>
      <c r="S48" s="1556" t="s">
        <v>571</v>
      </c>
      <c r="T48" s="1556"/>
      <c r="U48" s="1556"/>
      <c r="V48" s="1556"/>
    </row>
    <row r="50" spans="1:45" s="1735" customFormat="1" ht="11.25" customHeight="1">
      <c r="A50" s="1735" t="s">
        <v>1455</v>
      </c>
    </row>
    <row r="52" spans="1:45" s="1555" customFormat="1" ht="14.25" customHeight="1">
      <c r="C52" s="1608"/>
      <c r="D52" s="1788"/>
      <c r="E52" s="1697" t="s">
        <v>24</v>
      </c>
      <c r="F52" s="1787"/>
      <c r="G52" s="770"/>
      <c r="H52" s="1698"/>
      <c r="I52" s="1698"/>
      <c r="J52" s="359"/>
      <c r="K52" s="1782"/>
      <c r="L52" s="358"/>
      <c r="M52" s="1782"/>
      <c r="N52" s="359"/>
      <c r="O52" s="1782"/>
      <c r="P52" s="359"/>
      <c r="Q52" s="1782"/>
      <c r="R52" s="359"/>
      <c r="S52" s="768"/>
      <c r="T52" s="1698"/>
      <c r="U52" s="359"/>
      <c r="V52" s="359"/>
      <c r="W52" s="1786"/>
      <c r="X52" s="1698"/>
      <c r="Y52" s="359"/>
      <c r="Z52" s="359"/>
      <c r="AA52" s="1786"/>
      <c r="AB52" s="1698"/>
      <c r="AC52" s="359"/>
      <c r="AD52" s="1786"/>
      <c r="AE52"/>
      <c r="AF52"/>
      <c r="AG52"/>
      <c r="AH52"/>
      <c r="AJ52" s="1556"/>
      <c r="AK52" s="1556"/>
      <c r="AL52" s="1556"/>
      <c r="AM52" s="1556"/>
      <c r="AN52" s="1556"/>
      <c r="AO52" s="1556"/>
      <c r="AP52" s="1544" t="s">
        <v>557</v>
      </c>
      <c r="AQ52" s="1544" t="s">
        <v>557</v>
      </c>
      <c r="AR52" s="1556"/>
      <c r="AS52" s="1556"/>
    </row>
    <row r="54" spans="1:45" s="1735" customFormat="1" ht="11.25" customHeight="1">
      <c r="A54" s="1735" t="s">
        <v>1456</v>
      </c>
    </row>
    <row r="56" spans="1:45" s="1742" customFormat="1" ht="15" customHeight="1">
      <c r="A56" s="65" t="s">
        <v>88</v>
      </c>
      <c r="B56" s="48" t="s">
        <v>24</v>
      </c>
      <c r="C56" s="1745"/>
      <c r="D56" s="51"/>
      <c r="E56" s="310"/>
      <c r="F56" s="310"/>
      <c r="G56" s="1723"/>
      <c r="H56" s="1744"/>
      <c r="I56" s="1724"/>
      <c r="K56" s="187"/>
      <c r="L56" s="188"/>
    </row>
    <row r="58" spans="1:45" s="1735" customFormat="1" ht="11.25" customHeight="1">
      <c r="A58" s="1735" t="s">
        <v>1457</v>
      </c>
    </row>
    <row r="60" spans="1:45" s="1555" customFormat="1" ht="14.25" customHeight="1">
      <c r="A60" s="264"/>
      <c r="B60" s="1065"/>
      <c r="C60" s="300"/>
      <c r="D60" s="1730"/>
      <c r="E60" s="800"/>
      <c r="F60" s="1744"/>
      <c r="G60"/>
      <c r="I60" s="1544"/>
      <c r="J60" s="1544"/>
    </row>
    <row r="62" spans="1:45" s="1735" customFormat="1" ht="11.25" customHeight="1">
      <c r="A62" s="1735" t="s">
        <v>1458</v>
      </c>
    </row>
    <row r="64" spans="1:45" s="1555" customFormat="1" ht="27" customHeight="1">
      <c r="A64" s="1071"/>
      <c r="B64" s="1071"/>
      <c r="C64" s="1071"/>
      <c r="D64" s="1065"/>
      <c r="E64" s="1746"/>
      <c r="F64" s="7924"/>
      <c r="G64" s="7925"/>
      <c r="H64" s="7926" t="s">
        <v>60</v>
      </c>
      <c r="I64" s="7928"/>
      <c r="J64" s="7902"/>
      <c r="K64" s="7930"/>
      <c r="L64" s="7904"/>
      <c r="M64" s="7904"/>
      <c r="N64" s="7905"/>
      <c r="O64" s="7905"/>
      <c r="P64" s="7906" t="e">
        <f>DATEDIF(DATEVALUE(N64),DATEVALUE(O64),"y")&amp;"г. "&amp;DATEDIF(DATEVALUE(N64),DATEVALUE(O64),"ym")&amp;"мес. "&amp;DATEVALUE(O64)-DATE(YEAR(DATEVALUE(O64)),MONTH(DATEVALUE(O64)),1)&amp;"дн. "</f>
        <v>#VALUE!</v>
      </c>
      <c r="Q64" s="7901"/>
      <c r="R64" s="7901"/>
      <c r="S64" s="7901"/>
      <c r="T64" s="7902"/>
      <c r="U64" s="7901"/>
      <c r="V64" s="7901"/>
      <c r="W64" s="7901"/>
      <c r="X64" s="7902"/>
      <c r="Y64" s="7899" t="s">
        <v>60</v>
      </c>
      <c r="Z64" s="1728"/>
      <c r="AA64" s="1712">
        <v>1</v>
      </c>
      <c r="AB64" s="1156"/>
      <c r="AD64" s="1556" t="s">
        <v>1459</v>
      </c>
    </row>
    <row r="65" spans="1:58" s="1555" customFormat="1" ht="10.5" customHeight="1">
      <c r="A65" s="1071"/>
      <c r="B65" s="1071"/>
      <c r="C65" s="1071"/>
      <c r="D65" s="1065"/>
      <c r="E65" s="858"/>
      <c r="F65" s="7924"/>
      <c r="G65" s="7925"/>
      <c r="H65" s="7927"/>
      <c r="I65" s="7929"/>
      <c r="J65" s="7903"/>
      <c r="K65" s="7930"/>
      <c r="L65" s="7904"/>
      <c r="M65" s="7904"/>
      <c r="N65" s="7905"/>
      <c r="O65" s="7905"/>
      <c r="P65" s="7906"/>
      <c r="Q65" s="7901"/>
      <c r="R65" s="7901"/>
      <c r="S65" s="7901"/>
      <c r="T65" s="7903"/>
      <c r="U65" s="7901"/>
      <c r="V65" s="7901"/>
      <c r="W65" s="7901"/>
      <c r="X65" s="7903"/>
      <c r="Y65" s="7900"/>
      <c r="Z65" s="268"/>
      <c r="AA65" s="495"/>
      <c r="AB65" s="570" t="s">
        <v>1460</v>
      </c>
    </row>
    <row r="67" spans="1:58" s="1735" customFormat="1" ht="11.25" customHeight="1">
      <c r="A67" s="1735" t="s">
        <v>1461</v>
      </c>
    </row>
    <row r="69" spans="1:58" s="1555" customFormat="1" ht="27" customHeight="1">
      <c r="A69" s="1071"/>
      <c r="B69" s="1071"/>
      <c r="C69" s="1071"/>
      <c r="D69" s="1065"/>
      <c r="E69" s="1746"/>
      <c r="F69" s="1717"/>
      <c r="G69" s="1666"/>
      <c r="H69" s="1667"/>
      <c r="I69" s="1668"/>
      <c r="J69" s="1669"/>
      <c r="K69" s="1670"/>
      <c r="L69" s="1671"/>
      <c r="M69" s="1671"/>
      <c r="N69" s="1672"/>
      <c r="O69" s="1672"/>
      <c r="P69" s="1673"/>
      <c r="Q69" s="1674"/>
      <c r="R69" s="1674"/>
      <c r="S69" s="1674"/>
      <c r="T69" s="1669"/>
      <c r="U69" s="1674"/>
      <c r="V69" s="1674"/>
      <c r="W69" s="1674"/>
      <c r="X69" s="1669"/>
      <c r="Y69" s="1667"/>
      <c r="Z69" s="1728"/>
      <c r="AA69" s="1712">
        <v>1</v>
      </c>
      <c r="AB69" s="1156"/>
      <c r="AD69" s="1556" t="s">
        <v>1459</v>
      </c>
    </row>
    <row r="71" spans="1:58" s="1735" customFormat="1" ht="11.25" customHeight="1">
      <c r="A71" s="1735" t="s">
        <v>1462</v>
      </c>
    </row>
    <row r="72" spans="1:58" ht="17.25" customHeight="1"/>
    <row r="73" spans="1:58" s="1555" customFormat="1" ht="21" customHeight="1">
      <c r="A73" s="1072"/>
      <c r="B73" s="1071"/>
      <c r="C73" s="1071"/>
      <c r="D73" s="1065"/>
      <c r="E73" s="1075"/>
      <c r="F73" s="1030" t="e">
        <f>INDEX(IP_MAIN_LIST_NAME_IP,MATCH(A73,IP_MAIN_LIST_IP_ID,0))&amp;" ("&amp;INDEX(IP_MAIN_START_DATE,MATCH(A73,IP_MAIN_LIST_IP_ID,0))&amp;"-"&amp;INDEX(IP_MAIN_END_DATE,MATCH(A73,IP_MAIN_LIST_IP_ID,0))&amp;")"</f>
        <v>#N/A</v>
      </c>
      <c r="G73" s="1031"/>
      <c r="H73" s="1031"/>
      <c r="I73" s="1092"/>
      <c r="J73" s="1092"/>
      <c r="K73" s="1093"/>
      <c r="L73" s="1093"/>
      <c r="M73" s="1093"/>
      <c r="N73" s="1094"/>
      <c r="O73" s="1094"/>
      <c r="P73" s="1094"/>
      <c r="Q73" s="1094"/>
      <c r="R73" s="1094"/>
      <c r="S73" s="1094"/>
      <c r="T73" s="1094"/>
      <c r="U73" s="1094"/>
      <c r="V73" s="1094"/>
      <c r="W73" s="1094"/>
      <c r="X73" s="1094"/>
      <c r="Y73" s="1094"/>
      <c r="Z73" s="1094"/>
      <c r="AA73" s="1094"/>
      <c r="AB73" s="1094"/>
      <c r="AC73" s="1094"/>
      <c r="AD73" s="1094"/>
      <c r="AE73" s="1095"/>
      <c r="AF73" s="1093"/>
      <c r="AG73" s="1093"/>
      <c r="AH73" s="1093"/>
      <c r="AI73" s="1093"/>
      <c r="AJ73" s="1093"/>
      <c r="AK73" s="1093"/>
      <c r="AL73" s="1076"/>
      <c r="AM73" s="1742"/>
      <c r="AN73" s="1742"/>
      <c r="AO73" s="1742"/>
      <c r="AP73" s="1742"/>
      <c r="AQ73" s="1742"/>
      <c r="AR73" s="1742"/>
      <c r="AS73" s="1742"/>
      <c r="AT73" s="1742"/>
      <c r="AU73" s="1742"/>
      <c r="AV73" s="1742"/>
      <c r="AW73" s="1742"/>
      <c r="AX73" s="1742"/>
      <c r="AY73" s="1742"/>
      <c r="AZ73" s="1742"/>
      <c r="BA73" s="1742"/>
      <c r="BB73" s="1742"/>
      <c r="BC73" s="1742"/>
      <c r="BD73" s="1742"/>
      <c r="BE73" s="1742"/>
      <c r="BF73" s="1742"/>
    </row>
    <row r="74" spans="1:58" s="1555" customFormat="1" ht="11.25" customHeight="1">
      <c r="A74" s="1071"/>
      <c r="B74" s="1071"/>
      <c r="C74" s="1071"/>
      <c r="D74" s="1065"/>
      <c r="E74" s="1075"/>
      <c r="F74" s="7897"/>
      <c r="G74" s="7809"/>
      <c r="H74" s="7809" t="s">
        <v>97</v>
      </c>
      <c r="I74" s="7883"/>
      <c r="J74" s="7872"/>
      <c r="K74" s="7884"/>
      <c r="L74" s="7876" t="s">
        <v>55</v>
      </c>
      <c r="M74" s="7541"/>
      <c r="N74" s="1084"/>
      <c r="O74" s="1083" t="s">
        <v>552</v>
      </c>
      <c r="P74" s="1084"/>
      <c r="Q74" s="1084"/>
      <c r="R74" s="1084"/>
      <c r="S74" s="1084"/>
      <c r="T74" s="1084"/>
      <c r="U74" s="1084"/>
      <c r="V74" s="1084"/>
      <c r="W74" s="1084"/>
      <c r="X74" s="1084"/>
      <c r="Y74" s="1084"/>
      <c r="Z74" s="1084"/>
      <c r="AA74" s="1084"/>
      <c r="AB74" s="1084"/>
      <c r="AC74" s="1084"/>
      <c r="AD74" s="1084"/>
      <c r="AE74" s="1084"/>
      <c r="AF74" s="7875"/>
      <c r="AG74" s="7876"/>
      <c r="AH74" s="7876"/>
      <c r="AI74" s="7875"/>
      <c r="AJ74" s="7876"/>
      <c r="AK74" s="7876"/>
      <c r="AL74" s="1078"/>
      <c r="AM74" s="1742"/>
      <c r="AN74" s="1742"/>
      <c r="AO74" s="1742"/>
      <c r="AP74" s="1742"/>
      <c r="AQ74" s="1742"/>
      <c r="AR74" s="1742"/>
      <c r="AS74" s="1742"/>
      <c r="AT74" s="1742"/>
      <c r="AU74" s="1742"/>
      <c r="AV74" s="1742"/>
      <c r="AW74" s="1742"/>
      <c r="AX74" s="1742"/>
      <c r="AY74" s="1742"/>
      <c r="AZ74" s="1742"/>
      <c r="BA74" s="1742"/>
      <c r="BB74" s="1742"/>
      <c r="BC74" s="1742"/>
      <c r="BD74" s="1742"/>
      <c r="BE74" s="1742"/>
      <c r="BF74" s="1742"/>
    </row>
    <row r="75" spans="1:58" s="1555" customFormat="1" ht="11.25" customHeight="1">
      <c r="A75" s="1071"/>
      <c r="B75" s="1071"/>
      <c r="C75" s="1071"/>
      <c r="D75" s="1065"/>
      <c r="E75" s="1075"/>
      <c r="F75" s="7897"/>
      <c r="G75" s="7809"/>
      <c r="H75" s="7809"/>
      <c r="I75" s="7883"/>
      <c r="J75" s="7872"/>
      <c r="K75" s="7884"/>
      <c r="L75" s="7876"/>
      <c r="M75" s="7541"/>
      <c r="N75" s="7877"/>
      <c r="O75" s="7878">
        <v>1</v>
      </c>
      <c r="P75" s="7879" t="s">
        <v>55</v>
      </c>
      <c r="Q75" s="7791" t="s">
        <v>24</v>
      </c>
      <c r="R75" s="7791" t="s">
        <v>24</v>
      </c>
      <c r="S75" s="7791" t="s">
        <v>24</v>
      </c>
      <c r="T75" s="7791" t="s">
        <v>24</v>
      </c>
      <c r="U75" s="7791" t="s">
        <v>24</v>
      </c>
      <c r="V75" s="7791" t="s">
        <v>24</v>
      </c>
      <c r="W75" s="7791" t="s">
        <v>24</v>
      </c>
      <c r="X75" s="7791" t="s">
        <v>24</v>
      </c>
      <c r="Y75" s="7791"/>
      <c r="Z75" s="1081"/>
      <c r="AA75" s="1082"/>
      <c r="AB75" s="1082"/>
      <c r="AC75" s="1086"/>
      <c r="AD75" s="1086"/>
      <c r="AE75" s="1087"/>
      <c r="AF75" s="7875"/>
      <c r="AG75" s="7876"/>
      <c r="AH75" s="7876"/>
      <c r="AI75" s="7875"/>
      <c r="AJ75" s="7876"/>
      <c r="AK75" s="7876"/>
      <c r="AL75" s="1078"/>
      <c r="AM75" s="1742"/>
      <c r="AN75" s="1742"/>
      <c r="AO75" s="1742"/>
      <c r="AP75" s="1742"/>
      <c r="AQ75" s="1742"/>
      <c r="AR75" s="1742"/>
      <c r="AS75" s="1742"/>
      <c r="AT75" s="1742"/>
      <c r="AU75" s="1742"/>
      <c r="AV75" s="1742"/>
      <c r="AW75" s="1742"/>
      <c r="AX75" s="1742"/>
      <c r="AY75" s="1742"/>
      <c r="AZ75" s="1742"/>
      <c r="BA75" s="1742"/>
      <c r="BB75" s="1742"/>
      <c r="BC75" s="1742"/>
      <c r="BD75" s="1742"/>
      <c r="BE75" s="1742"/>
      <c r="BF75" s="1742"/>
    </row>
    <row r="76" spans="1:58" s="1555" customFormat="1" ht="11.25" customHeight="1">
      <c r="A76" s="1071"/>
      <c r="B76" s="1071"/>
      <c r="C76" s="1071"/>
      <c r="D76" s="1065"/>
      <c r="E76" s="1075"/>
      <c r="F76" s="7897"/>
      <c r="G76" s="7809"/>
      <c r="H76" s="7809"/>
      <c r="I76" s="7883"/>
      <c r="J76" s="7872"/>
      <c r="K76" s="7884"/>
      <c r="L76" s="7876"/>
      <c r="M76" s="7541"/>
      <c r="N76" s="7877"/>
      <c r="O76" s="7878"/>
      <c r="P76" s="7880"/>
      <c r="Q76" s="7791"/>
      <c r="R76" s="7791"/>
      <c r="S76" s="7882"/>
      <c r="T76" s="7791"/>
      <c r="U76" s="7791"/>
      <c r="V76" s="7791"/>
      <c r="W76" s="7791"/>
      <c r="X76" s="7791"/>
      <c r="Y76" s="7791"/>
      <c r="Z76" s="1747"/>
      <c r="AA76" s="1714">
        <v>1</v>
      </c>
      <c r="AB76" s="1085"/>
      <c r="AC76" s="1074"/>
      <c r="AD76" s="1085">
        <f>AB76</f>
        <v>0</v>
      </c>
      <c r="AE76" s="1074"/>
      <c r="AF76" s="7875"/>
      <c r="AG76" s="7876"/>
      <c r="AH76" s="7876"/>
      <c r="AI76" s="7875"/>
      <c r="AJ76" s="7876"/>
      <c r="AK76" s="7876"/>
      <c r="AL76" s="1078"/>
      <c r="AM76" s="1742"/>
      <c r="AN76" s="1742"/>
      <c r="AO76" s="1742"/>
      <c r="AP76" s="1742"/>
      <c r="AQ76" s="1742"/>
      <c r="AR76" s="1742"/>
      <c r="AS76" s="1742"/>
      <c r="AT76" s="1742"/>
      <c r="AU76" s="1742"/>
      <c r="AV76" s="1742"/>
      <c r="AW76" s="1742"/>
      <c r="AX76" s="1742"/>
      <c r="AY76" s="1742"/>
      <c r="AZ76" s="1742"/>
      <c r="BA76" s="1742"/>
      <c r="BB76" s="1742"/>
      <c r="BC76" s="1742"/>
      <c r="BD76" s="1742"/>
      <c r="BE76" s="1742"/>
      <c r="BF76" s="1742"/>
    </row>
    <row r="77" spans="1:58" s="1555" customFormat="1" ht="11.25" customHeight="1">
      <c r="A77" s="1071"/>
      <c r="B77" s="1071"/>
      <c r="C77" s="1071"/>
      <c r="D77" s="1065"/>
      <c r="E77" s="1075"/>
      <c r="F77" s="7897"/>
      <c r="G77" s="7809"/>
      <c r="H77" s="7809"/>
      <c r="I77" s="7883"/>
      <c r="J77" s="7872"/>
      <c r="K77" s="7884"/>
      <c r="L77" s="7876"/>
      <c r="M77" s="7541"/>
      <c r="N77" s="7877"/>
      <c r="O77" s="7878"/>
      <c r="P77" s="7881"/>
      <c r="Q77" s="7791"/>
      <c r="R77" s="7791"/>
      <c r="S77" s="7882"/>
      <c r="T77" s="7791"/>
      <c r="U77" s="7791"/>
      <c r="V77" s="7791"/>
      <c r="W77" s="7791"/>
      <c r="X77" s="7791"/>
      <c r="Y77" s="7791"/>
      <c r="Z77" s="1081"/>
      <c r="AA77" s="1082"/>
      <c r="AB77" s="1155" t="s">
        <v>1463</v>
      </c>
      <c r="AC77" s="1086"/>
      <c r="AD77" s="1086"/>
      <c r="AE77" s="1088"/>
      <c r="AF77" s="7875"/>
      <c r="AG77" s="7876"/>
      <c r="AH77" s="7876"/>
      <c r="AI77" s="7875"/>
      <c r="AJ77" s="7876"/>
      <c r="AK77" s="7876"/>
      <c r="AL77" s="1078"/>
      <c r="AM77" s="1742"/>
      <c r="AN77" s="1742"/>
      <c r="AO77" s="1742"/>
      <c r="AP77" s="1742"/>
      <c r="AQ77" s="1742"/>
      <c r="AR77" s="1742"/>
      <c r="AS77" s="1742"/>
      <c r="AT77" s="1742"/>
      <c r="AU77" s="1742"/>
      <c r="AV77" s="1742"/>
      <c r="AW77" s="1742"/>
      <c r="AX77" s="1742"/>
      <c r="AY77" s="1742"/>
      <c r="AZ77" s="1742"/>
      <c r="BA77" s="1742"/>
      <c r="BB77" s="1742"/>
      <c r="BC77" s="1742"/>
      <c r="BD77" s="1742"/>
      <c r="BE77" s="1742"/>
      <c r="BF77" s="1742"/>
    </row>
    <row r="78" spans="1:58" s="1555" customFormat="1" ht="11.25" customHeight="1">
      <c r="A78" s="1071"/>
      <c r="B78" s="1071"/>
      <c r="C78" s="1071"/>
      <c r="D78" s="1065"/>
      <c r="E78" s="1075"/>
      <c r="F78" s="7897"/>
      <c r="G78" s="7809"/>
      <c r="H78" s="7809"/>
      <c r="I78" s="7883"/>
      <c r="J78" s="7872"/>
      <c r="K78" s="7884"/>
      <c r="L78" s="7876"/>
      <c r="M78" s="7541"/>
      <c r="N78" s="1082"/>
      <c r="O78" s="1082"/>
      <c r="P78" s="1073" t="s">
        <v>1464</v>
      </c>
      <c r="Q78" s="1082"/>
      <c r="R78" s="1082"/>
      <c r="S78" s="1082"/>
      <c r="T78" s="1082"/>
      <c r="U78" s="1082"/>
      <c r="V78" s="1082"/>
      <c r="W78" s="1082"/>
      <c r="X78" s="1082"/>
      <c r="Y78" s="1082"/>
      <c r="Z78" s="1082"/>
      <c r="AA78" s="1082"/>
      <c r="AB78" s="1082"/>
      <c r="AC78" s="1082"/>
      <c r="AD78" s="1082"/>
      <c r="AE78" s="1089"/>
      <c r="AF78" s="7875"/>
      <c r="AG78" s="7876"/>
      <c r="AH78" s="7876"/>
      <c r="AI78" s="7875"/>
      <c r="AJ78" s="7876"/>
      <c r="AK78" s="7876"/>
      <c r="AL78" s="1078"/>
      <c r="AM78" s="1742"/>
      <c r="AN78" s="1742"/>
      <c r="AO78" s="1742"/>
      <c r="AP78" s="1742"/>
      <c r="AQ78" s="1742"/>
      <c r="AR78" s="1742"/>
      <c r="AS78" s="1742"/>
      <c r="AT78" s="1742"/>
      <c r="AU78" s="1742"/>
      <c r="AV78" s="1742"/>
      <c r="AW78" s="1742"/>
      <c r="AX78" s="1742"/>
      <c r="AY78" s="1742"/>
      <c r="AZ78" s="1742"/>
      <c r="BA78" s="1742"/>
      <c r="BB78" s="1742"/>
      <c r="BC78" s="1742"/>
      <c r="BD78" s="1742"/>
      <c r="BE78" s="1742"/>
      <c r="BF78" s="1742"/>
    </row>
    <row r="79" spans="1:58" s="1555" customFormat="1" ht="12" customHeight="1">
      <c r="A79" s="1071"/>
      <c r="B79" s="1071"/>
      <c r="C79" s="1071"/>
      <c r="D79" s="1065"/>
      <c r="E79" s="1075"/>
      <c r="F79" s="7898"/>
      <c r="G79" s="1097"/>
      <c r="H79" s="1097"/>
      <c r="I79" s="7896" t="s">
        <v>1465</v>
      </c>
      <c r="J79" s="7896"/>
      <c r="K79" s="7896"/>
      <c r="L79" s="1079"/>
      <c r="M79" s="1079"/>
      <c r="N79" s="1080"/>
      <c r="O79" s="1080"/>
      <c r="P79" s="1080"/>
      <c r="Q79" s="1080"/>
      <c r="R79" s="1080"/>
      <c r="S79" s="1080"/>
      <c r="T79" s="1080"/>
      <c r="U79" s="1080"/>
      <c r="V79" s="1080"/>
      <c r="W79" s="1080"/>
      <c r="X79" s="1080"/>
      <c r="Y79" s="1080"/>
      <c r="Z79" s="1080"/>
      <c r="AA79" s="1080"/>
      <c r="AB79" s="1080"/>
      <c r="AC79" s="1080"/>
      <c r="AD79" s="1080"/>
      <c r="AE79" s="1080"/>
      <c r="AF79" s="1080"/>
      <c r="AG79" s="1079"/>
      <c r="AH79" s="1079"/>
      <c r="AI79" s="1080"/>
      <c r="AJ79" s="1079"/>
      <c r="AK79" s="1090"/>
      <c r="AL79" s="1078"/>
      <c r="AM79" s="1742"/>
      <c r="AN79" s="1742"/>
      <c r="AO79" s="1742"/>
      <c r="AP79" s="1742"/>
      <c r="AQ79" s="1742"/>
      <c r="AR79" s="1742"/>
      <c r="AS79" s="1742"/>
      <c r="AT79" s="1742"/>
      <c r="AU79" s="1742"/>
      <c r="AV79" s="1742"/>
      <c r="AW79" s="1742"/>
      <c r="AX79" s="1742"/>
      <c r="AY79" s="1742"/>
      <c r="AZ79" s="1742"/>
      <c r="BA79" s="1742"/>
      <c r="BB79" s="1742"/>
      <c r="BC79" s="1742"/>
      <c r="BD79" s="1742"/>
      <c r="BE79" s="1742"/>
      <c r="BF79" s="1742"/>
    </row>
    <row r="81" spans="1:58" s="1735" customFormat="1" ht="11.25" customHeight="1">
      <c r="A81" s="1735" t="s">
        <v>1466</v>
      </c>
    </row>
    <row r="83" spans="1:58" s="1555" customFormat="1" ht="11.25" customHeight="1">
      <c r="A83" s="1071"/>
      <c r="B83" s="1071"/>
      <c r="C83" s="1071"/>
      <c r="D83" s="1065"/>
      <c r="E83" s="1075"/>
      <c r="F83" s="1748"/>
      <c r="G83" s="1749"/>
      <c r="H83" s="1749"/>
      <c r="I83" s="1683"/>
      <c r="J83" s="1683"/>
      <c r="K83" s="1750"/>
      <c r="L83" s="1683"/>
      <c r="M83" s="1749"/>
      <c r="N83" s="7923"/>
      <c r="O83" s="7878">
        <v>1</v>
      </c>
      <c r="P83" s="7879" t="s">
        <v>55</v>
      </c>
      <c r="Q83" s="7791" t="s">
        <v>24</v>
      </c>
      <c r="R83" s="7791" t="s">
        <v>24</v>
      </c>
      <c r="S83" s="7791" t="s">
        <v>24</v>
      </c>
      <c r="T83" s="7791" t="s">
        <v>24</v>
      </c>
      <c r="U83" s="7791" t="s">
        <v>24</v>
      </c>
      <c r="V83" s="7791" t="s">
        <v>24</v>
      </c>
      <c r="W83" s="7791" t="s">
        <v>24</v>
      </c>
      <c r="X83" s="7791" t="s">
        <v>24</v>
      </c>
      <c r="Y83" s="7791"/>
      <c r="Z83" s="1081"/>
      <c r="AA83" s="1082"/>
      <c r="AB83" s="1082"/>
      <c r="AC83" s="1086"/>
      <c r="AD83" s="1086"/>
      <c r="AE83" s="1086"/>
      <c r="AF83" s="1751"/>
      <c r="AG83" s="1678"/>
      <c r="AH83" s="1678"/>
      <c r="AI83" s="1751"/>
      <c r="AJ83" s="1678"/>
      <c r="AK83" s="1678"/>
      <c r="AL83" s="1078"/>
      <c r="AM83" s="1742"/>
      <c r="AN83" s="1742"/>
      <c r="AO83" s="1742"/>
      <c r="AP83" s="1742"/>
      <c r="AQ83" s="1742"/>
      <c r="AR83" s="1742"/>
      <c r="AS83" s="1742"/>
      <c r="AT83" s="1742"/>
      <c r="AU83" s="1742"/>
      <c r="AV83" s="1742"/>
      <c r="AW83" s="1742"/>
      <c r="AX83" s="1742"/>
      <c r="AY83" s="1742"/>
      <c r="AZ83" s="1742"/>
      <c r="BA83" s="1742"/>
      <c r="BB83" s="1742"/>
      <c r="BC83" s="1742"/>
      <c r="BD83" s="1742"/>
      <c r="BE83" s="1742"/>
      <c r="BF83" s="1742"/>
    </row>
    <row r="84" spans="1:58" s="1555" customFormat="1" ht="11.25" customHeight="1">
      <c r="A84" s="1071"/>
      <c r="B84" s="1071"/>
      <c r="C84" s="1071"/>
      <c r="D84" s="1065"/>
      <c r="E84" s="1075"/>
      <c r="F84" s="1748"/>
      <c r="G84" s="1749"/>
      <c r="H84" s="1749"/>
      <c r="I84" s="1684"/>
      <c r="J84" s="1684"/>
      <c r="K84" s="1750"/>
      <c r="L84" s="1684"/>
      <c r="M84" s="1749"/>
      <c r="N84" s="7923"/>
      <c r="O84" s="7878"/>
      <c r="P84" s="7880"/>
      <c r="Q84" s="7791"/>
      <c r="R84" s="7791"/>
      <c r="S84" s="7882"/>
      <c r="T84" s="7791"/>
      <c r="U84" s="7791"/>
      <c r="V84" s="7791"/>
      <c r="W84" s="7791"/>
      <c r="X84" s="7791"/>
      <c r="Y84" s="7791"/>
      <c r="Z84" s="1747"/>
      <c r="AA84" s="1714">
        <v>1</v>
      </c>
      <c r="AB84" s="1085"/>
      <c r="AC84" s="1074"/>
      <c r="AD84" s="1085">
        <f>AB84</f>
        <v>0</v>
      </c>
      <c r="AE84" s="641"/>
      <c r="AF84" s="1750"/>
      <c r="AG84" s="1678"/>
      <c r="AH84" s="1678"/>
      <c r="AI84" s="1750"/>
      <c r="AJ84" s="1678"/>
      <c r="AK84" s="1678"/>
      <c r="AL84" s="1078"/>
      <c r="AM84" s="1742"/>
      <c r="AN84" s="1742"/>
      <c r="AO84" s="1742"/>
      <c r="AP84" s="1742"/>
      <c r="AQ84" s="1742"/>
      <c r="AR84" s="1742"/>
      <c r="AS84" s="1742"/>
      <c r="AT84" s="1742"/>
      <c r="AU84" s="1742"/>
      <c r="AV84" s="1742"/>
      <c r="AW84" s="1742"/>
      <c r="AX84" s="1742"/>
      <c r="AY84" s="1742"/>
      <c r="AZ84" s="1742"/>
      <c r="BA84" s="1742"/>
      <c r="BB84" s="1742"/>
      <c r="BC84" s="1742"/>
      <c r="BD84" s="1742"/>
      <c r="BE84" s="1742"/>
      <c r="BF84" s="1742"/>
    </row>
    <row r="85" spans="1:58" s="1555" customFormat="1" ht="11.25" customHeight="1">
      <c r="A85" s="1071"/>
      <c r="B85" s="1071"/>
      <c r="C85" s="1071"/>
      <c r="D85" s="1065"/>
      <c r="E85" s="1075"/>
      <c r="F85" s="1748"/>
      <c r="G85" s="1749"/>
      <c r="H85" s="1749"/>
      <c r="I85" s="1685"/>
      <c r="J85" s="1685"/>
      <c r="K85" s="1750"/>
      <c r="L85" s="1685"/>
      <c r="M85" s="1749"/>
      <c r="N85" s="7923"/>
      <c r="O85" s="7878"/>
      <c r="P85" s="7881"/>
      <c r="Q85" s="7791"/>
      <c r="R85" s="7791"/>
      <c r="S85" s="7882"/>
      <c r="T85" s="7791"/>
      <c r="U85" s="7791"/>
      <c r="V85" s="7791"/>
      <c r="W85" s="7791"/>
      <c r="X85" s="7791"/>
      <c r="Y85" s="7791"/>
      <c r="Z85" s="1081"/>
      <c r="AA85" s="1082"/>
      <c r="AB85" s="1155" t="s">
        <v>1463</v>
      </c>
      <c r="AC85" s="1086"/>
      <c r="AD85" s="1086"/>
      <c r="AE85" s="1086"/>
      <c r="AF85" s="1752"/>
      <c r="AG85" s="1678"/>
      <c r="AH85" s="1678"/>
      <c r="AI85" s="1752"/>
      <c r="AJ85" s="1678"/>
      <c r="AK85" s="1678"/>
      <c r="AL85" s="1078"/>
      <c r="AM85" s="1742"/>
      <c r="AN85" s="1742"/>
      <c r="AO85" s="1742"/>
      <c r="AP85" s="1742"/>
      <c r="AQ85" s="1742"/>
      <c r="AR85" s="1742"/>
      <c r="AS85" s="1742"/>
      <c r="AT85" s="1742"/>
      <c r="AU85" s="1742"/>
      <c r="AV85" s="1742"/>
      <c r="AW85" s="1742"/>
      <c r="AX85" s="1742"/>
      <c r="AY85" s="1742"/>
      <c r="AZ85" s="1742"/>
      <c r="BA85" s="1742"/>
      <c r="BB85" s="1742"/>
      <c r="BC85" s="1742"/>
      <c r="BD85" s="1742"/>
      <c r="BE85" s="1742"/>
      <c r="BF85" s="1742"/>
    </row>
    <row r="87" spans="1:58" s="1735" customFormat="1" ht="11.25" customHeight="1">
      <c r="A87" s="1735" t="s">
        <v>1467</v>
      </c>
    </row>
    <row r="89" spans="1:58" s="1555" customFormat="1" ht="11.25" customHeight="1">
      <c r="A89" s="1071"/>
      <c r="B89" s="1071"/>
      <c r="C89" s="1071"/>
      <c r="D89" s="1065"/>
      <c r="E89" s="1075"/>
      <c r="F89" s="1749"/>
      <c r="G89" s="1749"/>
      <c r="H89" s="1749"/>
      <c r="I89" s="1749"/>
      <c r="J89" s="1749"/>
      <c r="K89" s="1749"/>
      <c r="L89" s="1749"/>
      <c r="M89" s="1749"/>
      <c r="N89" s="1749"/>
      <c r="O89" s="1749"/>
      <c r="P89" s="1749"/>
      <c r="Q89" s="1749"/>
      <c r="R89" s="1749"/>
      <c r="S89" s="1749"/>
      <c r="T89" s="1749"/>
      <c r="U89" s="1749"/>
      <c r="V89" s="1749"/>
      <c r="W89" s="1749"/>
      <c r="X89" s="1749"/>
      <c r="Y89" s="1749"/>
      <c r="Z89" s="1753"/>
      <c r="AA89" s="1734">
        <v>1</v>
      </c>
      <c r="AB89" s="1085"/>
      <c r="AC89" s="1074"/>
      <c r="AD89" s="1085">
        <f>AB89</f>
        <v>0</v>
      </c>
      <c r="AE89" s="1074"/>
      <c r="AF89" s="1750"/>
      <c r="AG89" s="1678"/>
      <c r="AH89" s="1678"/>
      <c r="AI89" s="1750"/>
      <c r="AJ89" s="1678"/>
      <c r="AK89" s="1678"/>
      <c r="AL89" s="1078"/>
      <c r="AM89" s="1742"/>
      <c r="AN89" s="1742"/>
      <c r="AO89" s="1742"/>
      <c r="AP89" s="1742"/>
      <c r="AQ89" s="1742"/>
      <c r="AR89" s="1742"/>
      <c r="AS89" s="1742"/>
      <c r="AT89" s="1742"/>
      <c r="AU89" s="1742"/>
      <c r="AV89" s="1742"/>
      <c r="AW89" s="1742"/>
      <c r="AX89" s="1742"/>
      <c r="AY89" s="1742"/>
      <c r="AZ89" s="1742"/>
      <c r="BA89" s="1742"/>
      <c r="BB89" s="1742"/>
      <c r="BC89" s="1742"/>
      <c r="BD89" s="1742"/>
      <c r="BE89" s="1742"/>
      <c r="BF89" s="1742"/>
    </row>
    <row r="91" spans="1:58" s="1735" customFormat="1" ht="11.25" customHeight="1">
      <c r="A91" s="1735" t="s">
        <v>1468</v>
      </c>
    </row>
    <row r="93" spans="1:58" s="1555" customFormat="1" ht="11.25" customHeight="1">
      <c r="A93" s="1071"/>
      <c r="B93" s="1071"/>
      <c r="C93" s="1071"/>
      <c r="D93" s="1065"/>
      <c r="E93" s="1075"/>
      <c r="F93" s="1748"/>
      <c r="G93" s="1749"/>
      <c r="H93" s="7809" t="s">
        <v>97</v>
      </c>
      <c r="I93" s="7883"/>
      <c r="J93" s="7872"/>
      <c r="K93" s="7884"/>
      <c r="L93" s="7876" t="s">
        <v>55</v>
      </c>
      <c r="M93" s="7541"/>
      <c r="N93" s="1084"/>
      <c r="O93" s="1083" t="s">
        <v>552</v>
      </c>
      <c r="P93" s="1084"/>
      <c r="Q93" s="1084"/>
      <c r="R93" s="1084"/>
      <c r="S93" s="1084"/>
      <c r="T93" s="1084"/>
      <c r="U93" s="1084"/>
      <c r="V93" s="1084"/>
      <c r="W93" s="1084"/>
      <c r="X93" s="1084"/>
      <c r="Y93" s="1084"/>
      <c r="Z93" s="1084"/>
      <c r="AA93" s="1084"/>
      <c r="AB93" s="1084"/>
      <c r="AC93" s="1084"/>
      <c r="AD93" s="1084"/>
      <c r="AE93" s="1084"/>
      <c r="AF93" s="7875"/>
      <c r="AG93" s="7876"/>
      <c r="AH93" s="7876"/>
      <c r="AI93" s="7875"/>
      <c r="AJ93" s="7876"/>
      <c r="AK93" s="7876"/>
      <c r="AL93" s="1078"/>
      <c r="AM93" s="1742"/>
      <c r="AN93" s="1742"/>
      <c r="AO93" s="1742"/>
      <c r="AP93" s="1742"/>
      <c r="AQ93" s="1742"/>
      <c r="AR93" s="1742"/>
      <c r="AS93" s="1742"/>
      <c r="AT93" s="1742"/>
      <c r="AU93" s="1742"/>
      <c r="AV93" s="1742"/>
      <c r="AW93" s="1742"/>
      <c r="AX93" s="1742"/>
      <c r="AY93" s="1742"/>
      <c r="AZ93" s="1742"/>
      <c r="BA93" s="1742"/>
      <c r="BB93" s="1742"/>
      <c r="BC93" s="1742"/>
      <c r="BD93" s="1742"/>
      <c r="BE93" s="1742"/>
      <c r="BF93" s="1742"/>
    </row>
    <row r="94" spans="1:58" s="1555" customFormat="1" ht="11.25" customHeight="1">
      <c r="A94" s="1071"/>
      <c r="B94" s="1071"/>
      <c r="C94" s="1071"/>
      <c r="D94" s="1065"/>
      <c r="E94" s="1075"/>
      <c r="F94" s="1748"/>
      <c r="G94" s="1749"/>
      <c r="H94" s="7809"/>
      <c r="I94" s="7883"/>
      <c r="J94" s="7872"/>
      <c r="K94" s="7884"/>
      <c r="L94" s="7876"/>
      <c r="M94" s="7541"/>
      <c r="N94" s="7877"/>
      <c r="O94" s="7878">
        <v>1</v>
      </c>
      <c r="P94" s="7879" t="s">
        <v>55</v>
      </c>
      <c r="Q94" s="7791" t="s">
        <v>24</v>
      </c>
      <c r="R94" s="7791" t="s">
        <v>24</v>
      </c>
      <c r="S94" s="7791" t="s">
        <v>24</v>
      </c>
      <c r="T94" s="7791" t="s">
        <v>24</v>
      </c>
      <c r="U94" s="7791" t="s">
        <v>24</v>
      </c>
      <c r="V94" s="7791" t="s">
        <v>24</v>
      </c>
      <c r="W94" s="7791" t="s">
        <v>24</v>
      </c>
      <c r="X94" s="7791" t="s">
        <v>24</v>
      </c>
      <c r="Y94" s="7791"/>
      <c r="Z94" s="1081"/>
      <c r="AA94" s="1082"/>
      <c r="AB94" s="1082"/>
      <c r="AC94" s="1086"/>
      <c r="AD94" s="1086"/>
      <c r="AE94" s="1087"/>
      <c r="AF94" s="7875"/>
      <c r="AG94" s="7876"/>
      <c r="AH94" s="7876"/>
      <c r="AI94" s="7875"/>
      <c r="AJ94" s="7876"/>
      <c r="AK94" s="7876"/>
      <c r="AL94" s="1078"/>
      <c r="AM94" s="1742"/>
      <c r="AN94" s="1742"/>
      <c r="AO94" s="1742"/>
      <c r="AP94" s="1742"/>
      <c r="AQ94" s="1742"/>
      <c r="AR94" s="1742"/>
      <c r="AS94" s="1742"/>
      <c r="AT94" s="1742"/>
      <c r="AU94" s="1742"/>
      <c r="AV94" s="1742"/>
      <c r="AW94" s="1742"/>
      <c r="AX94" s="1742"/>
      <c r="AY94" s="1742"/>
      <c r="AZ94" s="1742"/>
      <c r="BA94" s="1742"/>
      <c r="BB94" s="1742"/>
      <c r="BC94" s="1742"/>
      <c r="BD94" s="1742"/>
      <c r="BE94" s="1742"/>
      <c r="BF94" s="1742"/>
    </row>
    <row r="95" spans="1:58" s="1555" customFormat="1" ht="11.25" customHeight="1">
      <c r="A95" s="1071"/>
      <c r="B95" s="1071"/>
      <c r="C95" s="1071"/>
      <c r="D95" s="1065"/>
      <c r="E95" s="1075"/>
      <c r="F95" s="1748"/>
      <c r="G95" s="1749"/>
      <c r="H95" s="7809"/>
      <c r="I95" s="7883"/>
      <c r="J95" s="7872"/>
      <c r="K95" s="7884"/>
      <c r="L95" s="7876"/>
      <c r="M95" s="7541"/>
      <c r="N95" s="7877"/>
      <c r="O95" s="7878"/>
      <c r="P95" s="7880"/>
      <c r="Q95" s="7791"/>
      <c r="R95" s="7791"/>
      <c r="S95" s="7882"/>
      <c r="T95" s="7791"/>
      <c r="U95" s="7791"/>
      <c r="V95" s="7791"/>
      <c r="W95" s="7791"/>
      <c r="X95" s="7791"/>
      <c r="Y95" s="7791"/>
      <c r="Z95" s="1747"/>
      <c r="AA95" s="1714">
        <v>1</v>
      </c>
      <c r="AB95" s="1085"/>
      <c r="AC95" s="1074"/>
      <c r="AD95" s="1085">
        <f>AB95</f>
        <v>0</v>
      </c>
      <c r="AE95" s="1074"/>
      <c r="AF95" s="7875"/>
      <c r="AG95" s="7876"/>
      <c r="AH95" s="7876"/>
      <c r="AI95" s="7875"/>
      <c r="AJ95" s="7876"/>
      <c r="AK95" s="7876"/>
      <c r="AL95" s="1078"/>
      <c r="AM95" s="1742"/>
      <c r="AN95" s="1742"/>
      <c r="AO95" s="1742"/>
      <c r="AP95" s="1742"/>
      <c r="AQ95" s="1742"/>
      <c r="AR95" s="1742"/>
      <c r="AS95" s="1742"/>
      <c r="AT95" s="1742"/>
      <c r="AU95" s="1742"/>
      <c r="AV95" s="1742"/>
      <c r="AW95" s="1742"/>
      <c r="AX95" s="1742"/>
      <c r="AY95" s="1742"/>
      <c r="AZ95" s="1742"/>
      <c r="BA95" s="1742"/>
      <c r="BB95" s="1742"/>
      <c r="BC95" s="1742"/>
      <c r="BD95" s="1742"/>
      <c r="BE95" s="1742"/>
      <c r="BF95" s="1742"/>
    </row>
    <row r="96" spans="1:58" s="1555" customFormat="1" ht="11.25" customHeight="1">
      <c r="A96" s="1071"/>
      <c r="B96" s="1071"/>
      <c r="C96" s="1071"/>
      <c r="D96" s="1065"/>
      <c r="E96" s="1075"/>
      <c r="F96" s="1748"/>
      <c r="G96" s="1749"/>
      <c r="H96" s="7809"/>
      <c r="I96" s="7883"/>
      <c r="J96" s="7872"/>
      <c r="K96" s="7884"/>
      <c r="L96" s="7876"/>
      <c r="M96" s="7541"/>
      <c r="N96" s="7877"/>
      <c r="O96" s="7878"/>
      <c r="P96" s="7881"/>
      <c r="Q96" s="7791"/>
      <c r="R96" s="7791"/>
      <c r="S96" s="7882"/>
      <c r="T96" s="7791"/>
      <c r="U96" s="7791"/>
      <c r="V96" s="7791"/>
      <c r="W96" s="7791"/>
      <c r="X96" s="7791"/>
      <c r="Y96" s="7791"/>
      <c r="Z96" s="1081"/>
      <c r="AA96" s="1082"/>
      <c r="AB96" s="1155" t="s">
        <v>1463</v>
      </c>
      <c r="AC96" s="1086"/>
      <c r="AD96" s="1086"/>
      <c r="AE96" s="1088"/>
      <c r="AF96" s="7875"/>
      <c r="AG96" s="7876"/>
      <c r="AH96" s="7876"/>
      <c r="AI96" s="7875"/>
      <c r="AJ96" s="7876"/>
      <c r="AK96" s="7876"/>
      <c r="AL96" s="1078"/>
      <c r="AM96" s="1742"/>
      <c r="AN96" s="1742"/>
      <c r="AO96" s="1742"/>
      <c r="AP96" s="1742"/>
      <c r="AQ96" s="1742"/>
      <c r="AR96" s="1742"/>
      <c r="AS96" s="1742"/>
      <c r="AT96" s="1742"/>
      <c r="AU96" s="1742"/>
      <c r="AV96" s="1742"/>
      <c r="AW96" s="1742"/>
      <c r="AX96" s="1742"/>
      <c r="AY96" s="1742"/>
      <c r="AZ96" s="1742"/>
      <c r="BA96" s="1742"/>
      <c r="BB96" s="1742"/>
      <c r="BC96" s="1742"/>
      <c r="BD96" s="1742"/>
      <c r="BE96" s="1742"/>
      <c r="BF96" s="1742"/>
    </row>
    <row r="97" spans="1:184" s="1555" customFormat="1" ht="11.25" customHeight="1">
      <c r="A97" s="1071"/>
      <c r="B97" s="1071"/>
      <c r="C97" s="1071"/>
      <c r="D97" s="1065"/>
      <c r="E97" s="1075"/>
      <c r="F97" s="1748"/>
      <c r="G97" s="1749"/>
      <c r="H97" s="7809"/>
      <c r="I97" s="7883"/>
      <c r="J97" s="7872"/>
      <c r="K97" s="7884"/>
      <c r="L97" s="7876"/>
      <c r="M97" s="7541"/>
      <c r="N97" s="1082"/>
      <c r="O97" s="1082"/>
      <c r="P97" s="1073" t="s">
        <v>1464</v>
      </c>
      <c r="Q97" s="1082"/>
      <c r="R97" s="1082"/>
      <c r="S97" s="1082"/>
      <c r="T97" s="1082"/>
      <c r="U97" s="1082"/>
      <c r="V97" s="1082"/>
      <c r="W97" s="1082"/>
      <c r="X97" s="1082"/>
      <c r="Y97" s="1082"/>
      <c r="Z97" s="1082"/>
      <c r="AA97" s="1082"/>
      <c r="AB97" s="1082"/>
      <c r="AC97" s="1082"/>
      <c r="AD97" s="1082"/>
      <c r="AE97" s="1089"/>
      <c r="AF97" s="7875"/>
      <c r="AG97" s="7876"/>
      <c r="AH97" s="7876"/>
      <c r="AI97" s="7875"/>
      <c r="AJ97" s="7876"/>
      <c r="AK97" s="7876"/>
      <c r="AL97" s="1078"/>
      <c r="AM97" s="1742"/>
      <c r="AN97" s="1742"/>
      <c r="AO97" s="1742"/>
      <c r="AP97" s="1742"/>
      <c r="AQ97" s="1742"/>
      <c r="AR97" s="1742"/>
      <c r="AS97" s="1742"/>
      <c r="AT97" s="1742"/>
      <c r="AU97" s="1742"/>
      <c r="AV97" s="1742"/>
      <c r="AW97" s="1742"/>
      <c r="AX97" s="1742"/>
      <c r="AY97" s="1742"/>
      <c r="AZ97" s="1742"/>
      <c r="BA97" s="1742"/>
      <c r="BB97" s="1742"/>
      <c r="BC97" s="1742"/>
      <c r="BD97" s="1742"/>
      <c r="BE97" s="1742"/>
      <c r="BF97" s="1742"/>
    </row>
    <row r="99" spans="1:184" s="1735" customFormat="1" ht="11.25" customHeight="1">
      <c r="A99" s="1735" t="s">
        <v>1469</v>
      </c>
    </row>
    <row r="100" spans="1:184" ht="17.25" customHeight="1"/>
    <row r="101" spans="1:184" s="838" customFormat="1" ht="21" customHeight="1">
      <c r="A101" s="1072"/>
      <c r="B101" s="851"/>
      <c r="D101" s="837"/>
      <c r="E101" s="850" t="s">
        <v>24</v>
      </c>
      <c r="F101" s="1029" t="e">
        <f>INDEX(IP_MAIN_LIST_NAME_IP,MATCH(A101,IP_MAIN_LIST_IP_ID,0))&amp;" ("&amp;INDEX(IP_MAIN_START_DATE,MATCH(A101,IP_MAIN_LIST_IP_ID,0))&amp;"-"&amp;INDEX(IP_MAIN_END_DATE,MATCH(A101,IP_MAIN_LIST_IP_ID,0))&amp;")"</f>
        <v>#N/A</v>
      </c>
      <c r="G101" s="1110"/>
      <c r="H101" s="1111"/>
      <c r="I101" s="1111"/>
      <c r="J101" s="1111"/>
      <c r="K101" s="1111"/>
      <c r="L101" s="1111"/>
      <c r="M101" s="1111"/>
      <c r="N101" s="1111"/>
      <c r="O101" s="1110"/>
      <c r="P101" s="1110"/>
      <c r="Q101" s="1110"/>
      <c r="R101" s="1110"/>
      <c r="S101" s="1110"/>
      <c r="T101" s="1110"/>
      <c r="U101" s="1112"/>
      <c r="V101" s="1112"/>
      <c r="W101" s="1112"/>
      <c r="X101" s="1112"/>
      <c r="Y101" s="1112"/>
      <c r="Z101" s="1112"/>
      <c r="AA101" s="1112"/>
      <c r="AB101" s="1110"/>
      <c r="AC101" s="1111"/>
      <c r="AD101" s="1111"/>
      <c r="AE101" s="1111"/>
      <c r="AF101" s="1111"/>
      <c r="AG101" s="1111"/>
      <c r="AH101" s="1111"/>
      <c r="AI101" s="1111"/>
      <c r="AJ101" s="1111"/>
      <c r="AK101" s="1111"/>
      <c r="AL101" s="1111"/>
      <c r="AM101" s="1111"/>
      <c r="AN101" s="1111"/>
      <c r="AO101" s="1111"/>
      <c r="AP101" s="1111"/>
      <c r="AQ101" s="1111"/>
      <c r="AR101" s="1111"/>
      <c r="AS101" s="1111"/>
      <c r="AT101" s="1111"/>
      <c r="AU101" s="1111"/>
      <c r="AV101" s="1111"/>
      <c r="AW101" s="1111"/>
      <c r="AX101" s="1111"/>
      <c r="AY101" s="1111"/>
      <c r="AZ101" s="1111"/>
      <c r="BA101" s="1111"/>
      <c r="BB101" s="1111"/>
      <c r="BC101" s="1111"/>
      <c r="BD101" s="1111"/>
      <c r="BE101" s="1111"/>
      <c r="BF101" s="1111"/>
      <c r="BG101" s="1111"/>
      <c r="BH101" s="1111"/>
      <c r="BI101" s="1111"/>
      <c r="BJ101" s="1111"/>
      <c r="BK101" s="1111"/>
      <c r="BL101" s="1111"/>
      <c r="BM101" s="1111"/>
      <c r="BN101" s="1111"/>
      <c r="BO101" s="1111"/>
      <c r="BP101" s="1111"/>
      <c r="BQ101" s="1111"/>
      <c r="BR101" s="1111"/>
      <c r="BS101" s="1111"/>
      <c r="BT101" s="1111"/>
      <c r="BU101" s="1111"/>
      <c r="BV101" s="1111"/>
      <c r="BW101" s="1111"/>
      <c r="BX101" s="1111"/>
      <c r="BY101" s="1111"/>
      <c r="BZ101" s="1111"/>
      <c r="CA101" s="1111"/>
      <c r="CB101" s="1111"/>
      <c r="CC101" s="1111"/>
      <c r="CD101" s="1111"/>
      <c r="CE101" s="1111"/>
      <c r="CF101" s="1111"/>
      <c r="CG101" s="1111"/>
      <c r="CH101" s="1111"/>
      <c r="CI101" s="1111"/>
      <c r="CJ101" s="1111"/>
      <c r="CK101" s="1111"/>
      <c r="CL101" s="1113"/>
      <c r="CM101" s="1113"/>
      <c r="CN101" s="1113"/>
      <c r="CO101" s="1113"/>
      <c r="CP101" s="1113"/>
      <c r="CQ101" s="1113"/>
      <c r="CR101" s="1113"/>
      <c r="CS101" s="1113"/>
      <c r="CT101" s="1113"/>
      <c r="CU101" s="1113"/>
      <c r="CV101" s="1113"/>
      <c r="CW101" s="1113"/>
      <c r="CX101" s="1113"/>
      <c r="CY101" s="1113"/>
      <c r="CZ101" s="1113"/>
      <c r="DA101" s="1113"/>
      <c r="DB101" s="1113"/>
      <c r="DC101" s="1113"/>
      <c r="DD101" s="1113"/>
      <c r="DE101" s="1113"/>
      <c r="DF101" s="1113"/>
      <c r="DG101" s="1113"/>
      <c r="DH101" s="1113"/>
      <c r="DI101" s="1113"/>
      <c r="DJ101" s="1113"/>
      <c r="DK101" s="1113"/>
      <c r="DL101" s="1113"/>
      <c r="DM101" s="1113"/>
      <c r="DN101" s="1113"/>
      <c r="DO101" s="1113"/>
      <c r="DP101" s="1113"/>
      <c r="DQ101" s="1113"/>
      <c r="DR101" s="1113"/>
      <c r="DS101" s="1113"/>
      <c r="DT101" s="1113"/>
      <c r="DU101" s="1113"/>
      <c r="DV101" s="1113"/>
      <c r="DW101" s="1113"/>
      <c r="DX101" s="1113"/>
      <c r="DY101" s="1113"/>
      <c r="DZ101" s="1113"/>
      <c r="EA101" s="1113"/>
      <c r="EB101" s="1113"/>
      <c r="EC101" s="1113"/>
      <c r="ED101" s="1113"/>
      <c r="EE101" s="1113"/>
      <c r="EF101" s="1113"/>
      <c r="EG101" s="1113"/>
      <c r="EH101" s="1113"/>
      <c r="EI101" s="1113"/>
      <c r="EJ101" s="1113"/>
      <c r="EK101" s="1113"/>
      <c r="EL101" s="1113"/>
      <c r="EM101" s="1113"/>
      <c r="EN101" s="1113"/>
      <c r="EO101" s="1113"/>
      <c r="EP101" s="1113"/>
      <c r="EQ101" s="1113"/>
      <c r="ER101" s="1113"/>
      <c r="ES101" s="1113"/>
      <c r="ET101" s="1113"/>
      <c r="EU101" s="1113"/>
      <c r="EV101" s="1113"/>
      <c r="EW101" s="1113"/>
      <c r="EX101" s="1113"/>
      <c r="EY101" s="1113"/>
      <c r="EZ101" s="1113"/>
      <c r="FA101" s="1113"/>
      <c r="FB101" s="1113"/>
      <c r="FC101" s="1113"/>
      <c r="FD101" s="1113"/>
      <c r="FE101" s="1113"/>
      <c r="FF101" s="1113"/>
      <c r="FG101" s="1113"/>
      <c r="FH101" s="1113"/>
      <c r="FI101" s="1113"/>
      <c r="FJ101" s="1113"/>
      <c r="FK101" s="1113"/>
      <c r="FL101" s="1113"/>
      <c r="FM101" s="1113"/>
      <c r="FN101" s="1113"/>
      <c r="FO101" s="1113"/>
      <c r="FP101" s="1113"/>
      <c r="FQ101" s="1113"/>
      <c r="FR101" s="1113"/>
      <c r="FS101" s="1113"/>
      <c r="FT101" s="1113"/>
      <c r="FU101" s="1113"/>
      <c r="FV101" s="1114"/>
      <c r="FW101" s="1108"/>
      <c r="FX101" s="1109"/>
    </row>
    <row r="102" spans="1:184" s="838" customFormat="1" ht="24.75" customHeight="1">
      <c r="B102" s="836"/>
      <c r="C102" s="837"/>
      <c r="D102" s="837"/>
      <c r="E102"/>
      <c r="F102" s="1115">
        <v>1</v>
      </c>
      <c r="G102" s="1116"/>
      <c r="H102" s="1117"/>
      <c r="I102" s="1125"/>
      <c r="J102" s="1118"/>
      <c r="K102" s="1118"/>
      <c r="L102" s="1118"/>
      <c r="M102" s="1118"/>
      <c r="N102" s="1118"/>
      <c r="O102" s="1119"/>
      <c r="P102" s="1119"/>
      <c r="Q102" s="1119"/>
      <c r="R102" s="1119"/>
      <c r="S102" s="1119"/>
      <c r="T102" s="1119"/>
      <c r="U102" s="1119"/>
      <c r="V102" s="1119"/>
      <c r="W102" s="1119"/>
      <c r="X102" s="1119"/>
      <c r="Y102" s="1119"/>
      <c r="Z102" s="1119"/>
      <c r="AA102" s="1119"/>
      <c r="AB102" s="1119"/>
      <c r="AC102" s="1118"/>
      <c r="AD102" s="1118"/>
      <c r="AE102" s="1118"/>
      <c r="AF102" s="1118"/>
      <c r="AG102" s="1118"/>
      <c r="AH102" s="1118"/>
      <c r="AI102" s="1118"/>
      <c r="AJ102" s="1118"/>
      <c r="AK102" s="1118"/>
      <c r="AL102" s="1118"/>
      <c r="AM102" s="1118"/>
      <c r="AN102" s="1118"/>
      <c r="AO102" s="1118"/>
      <c r="AP102" s="1118"/>
      <c r="AQ102" s="1118"/>
      <c r="AR102" s="1118"/>
      <c r="AS102" s="1118"/>
      <c r="AT102" s="1118"/>
      <c r="AU102" s="1118"/>
      <c r="AV102" s="1118"/>
      <c r="AW102" s="1118"/>
      <c r="AX102" s="1118"/>
      <c r="AY102" s="1118"/>
      <c r="AZ102" s="1118"/>
      <c r="BA102" s="1118"/>
      <c r="BB102" s="1118"/>
      <c r="BC102" s="1118"/>
      <c r="BD102" s="1118"/>
      <c r="BE102" s="1118"/>
      <c r="BF102" s="1118"/>
      <c r="BG102" s="1118"/>
      <c r="BH102" s="1118"/>
      <c r="BI102" s="1118"/>
      <c r="BJ102" s="1118"/>
      <c r="BK102" s="1118"/>
      <c r="BL102" s="1118"/>
      <c r="BM102" s="1118"/>
      <c r="BN102" s="1118"/>
      <c r="BO102" s="1118"/>
      <c r="BP102" s="1118"/>
      <c r="BQ102" s="1118"/>
      <c r="BR102" s="1118"/>
      <c r="BS102" s="1118"/>
      <c r="BT102" s="1120"/>
      <c r="BU102" s="1120"/>
      <c r="BV102" s="1120"/>
      <c r="BW102" s="1120"/>
      <c r="BX102" s="1120"/>
      <c r="BY102" s="1120"/>
      <c r="BZ102" s="1120"/>
      <c r="CA102" s="1120"/>
      <c r="CB102" s="1120"/>
      <c r="CC102" s="1120"/>
      <c r="CD102" s="1120"/>
      <c r="CE102" s="1120"/>
      <c r="CF102" s="1120"/>
      <c r="CG102" s="1120"/>
      <c r="CH102" s="1120"/>
      <c r="CI102" s="1120"/>
      <c r="CJ102" s="1120"/>
      <c r="CK102" s="1120"/>
      <c r="CL102" s="1118"/>
      <c r="CM102" s="1118"/>
      <c r="CN102" s="1118"/>
      <c r="CO102" s="1118"/>
      <c r="CP102" s="1118"/>
      <c r="CQ102" s="1118"/>
      <c r="CR102" s="1118"/>
      <c r="CS102" s="1118"/>
      <c r="CT102" s="1118"/>
      <c r="CU102" s="1118"/>
      <c r="CV102" s="1118"/>
      <c r="CW102" s="1118"/>
      <c r="CX102" s="1118"/>
      <c r="CY102" s="1119"/>
      <c r="CZ102" s="1119"/>
      <c r="DA102" s="1119"/>
      <c r="DB102" s="1119"/>
      <c r="DC102" s="1119"/>
      <c r="DD102" s="1119"/>
      <c r="DE102" s="1119"/>
      <c r="DF102" s="1119"/>
      <c r="DG102" s="1119"/>
      <c r="DH102" s="1119"/>
      <c r="DI102" s="1119"/>
      <c r="DJ102" s="1119"/>
      <c r="DK102" s="1118"/>
      <c r="DL102" s="1118"/>
      <c r="DM102" s="1118"/>
      <c r="DN102" s="1118"/>
      <c r="DO102" s="1118"/>
      <c r="DP102" s="1118"/>
      <c r="DQ102" s="1118"/>
      <c r="DR102" s="1118"/>
      <c r="DS102" s="1118"/>
      <c r="DT102" s="1118"/>
      <c r="DU102" s="1118"/>
      <c r="DV102" s="1118"/>
      <c r="DW102" s="1118"/>
      <c r="DX102" s="1118"/>
      <c r="DY102" s="1118"/>
      <c r="DZ102" s="1118"/>
      <c r="EA102" s="1118"/>
      <c r="EB102" s="1118"/>
      <c r="EC102" s="1118"/>
      <c r="ED102" s="1118"/>
      <c r="EE102" s="1118"/>
      <c r="EF102" s="1118"/>
      <c r="EG102" s="1118"/>
      <c r="EH102" s="1118"/>
      <c r="EI102" s="1118"/>
      <c r="EJ102" s="1118"/>
      <c r="EK102" s="1118"/>
      <c r="EL102" s="1118"/>
      <c r="EM102" s="1118"/>
      <c r="EN102" s="1118"/>
      <c r="EO102" s="1118"/>
      <c r="EP102" s="1118"/>
      <c r="EQ102" s="1118"/>
      <c r="ER102" s="1118"/>
      <c r="ES102" s="1118"/>
      <c r="ET102" s="1118"/>
      <c r="EU102" s="1118"/>
      <c r="EV102" s="1118"/>
      <c r="EW102" s="1118"/>
      <c r="EX102" s="1118"/>
      <c r="EY102" s="1118"/>
      <c r="EZ102" s="1118"/>
      <c r="FA102" s="1118"/>
      <c r="FB102" s="1118"/>
      <c r="FC102" s="1118"/>
      <c r="FD102" s="1118"/>
      <c r="FE102" s="1118"/>
      <c r="FF102" s="1118"/>
      <c r="FG102" s="1118"/>
      <c r="FH102" s="1118"/>
      <c r="FI102" s="1118"/>
      <c r="FJ102" s="1118"/>
      <c r="FK102" s="1118"/>
      <c r="FL102" s="1118"/>
      <c r="FM102" s="1118"/>
      <c r="FN102" s="1118"/>
      <c r="FO102" s="1118"/>
      <c r="FP102" s="1118"/>
      <c r="FQ102" s="1118"/>
      <c r="FR102" s="1118"/>
      <c r="FS102" s="1118"/>
      <c r="FT102" s="1118"/>
      <c r="FU102" s="1118"/>
      <c r="FV102" s="1118"/>
      <c r="FW102" s="1118"/>
      <c r="FX102" s="1109"/>
    </row>
    <row r="103" spans="1:184" s="838" customFormat="1" ht="12" customHeight="1">
      <c r="A103" s="837"/>
      <c r="B103" s="836"/>
      <c r="C103" s="837"/>
      <c r="D103" s="837"/>
      <c r="E103" s="837"/>
      <c r="F103" s="1121"/>
      <c r="G103" s="1720" t="s">
        <v>1470</v>
      </c>
      <c r="H103" s="1122"/>
      <c r="I103" s="1122"/>
      <c r="J103" s="1122"/>
      <c r="K103" s="1122"/>
      <c r="L103" s="1122"/>
      <c r="M103" s="1122"/>
      <c r="N103" s="1122"/>
      <c r="O103" s="1122"/>
      <c r="P103" s="1122"/>
      <c r="Q103" s="1122"/>
      <c r="R103" s="1122"/>
      <c r="S103" s="1122"/>
      <c r="T103" s="1122"/>
      <c r="U103" s="1122"/>
      <c r="V103" s="1122"/>
      <c r="W103" s="1122"/>
      <c r="X103" s="1122"/>
      <c r="Y103" s="1122"/>
      <c r="Z103" s="1122"/>
      <c r="AA103" s="1122"/>
      <c r="AB103" s="1122"/>
      <c r="AC103" s="1122"/>
      <c r="AD103" s="1122"/>
      <c r="AE103" s="1122"/>
      <c r="AF103" s="1122"/>
      <c r="AG103" s="1122"/>
      <c r="AH103" s="1122"/>
      <c r="AI103" s="1122"/>
      <c r="AJ103" s="1122"/>
      <c r="AK103" s="1122"/>
      <c r="AL103" s="1122"/>
      <c r="AM103" s="1122"/>
      <c r="AN103" s="1122"/>
      <c r="AO103" s="1122"/>
      <c r="AP103" s="1122"/>
      <c r="AQ103" s="1122"/>
      <c r="AR103" s="1122"/>
      <c r="AS103" s="1122"/>
      <c r="AT103" s="1122"/>
      <c r="AU103" s="1122"/>
      <c r="AV103" s="1122"/>
      <c r="AW103" s="1122"/>
      <c r="AX103" s="1122"/>
      <c r="AY103" s="1122"/>
      <c r="AZ103" s="1122"/>
      <c r="BA103" s="1122"/>
      <c r="BB103" s="1122"/>
      <c r="BC103" s="1122"/>
      <c r="BD103" s="1122"/>
      <c r="BE103" s="1122"/>
      <c r="BF103" s="1122"/>
      <c r="BG103" s="1122"/>
      <c r="BH103" s="1122"/>
      <c r="BI103" s="1122"/>
      <c r="BJ103" s="1122"/>
      <c r="BK103" s="1122"/>
      <c r="BL103" s="1122"/>
      <c r="BM103" s="1122"/>
      <c r="BN103" s="1122"/>
      <c r="BO103" s="1122"/>
      <c r="BP103" s="1122"/>
      <c r="BQ103" s="1122"/>
      <c r="BR103" s="1122"/>
      <c r="BS103" s="1122"/>
      <c r="BT103" s="1122"/>
      <c r="BU103" s="1122"/>
      <c r="BV103" s="1122"/>
      <c r="BW103" s="1122"/>
      <c r="BX103" s="1122"/>
      <c r="BY103" s="1122"/>
      <c r="BZ103" s="1122"/>
      <c r="CA103" s="1122"/>
      <c r="CB103" s="1122"/>
      <c r="CC103" s="1122"/>
      <c r="CD103" s="1122"/>
      <c r="CE103" s="1122"/>
      <c r="CF103" s="1122"/>
      <c r="CG103" s="1122"/>
      <c r="CH103" s="1122"/>
      <c r="CI103" s="1122"/>
      <c r="CJ103" s="1122"/>
      <c r="CK103" s="1122"/>
      <c r="CL103" s="1122"/>
      <c r="CM103" s="1122"/>
      <c r="CN103" s="1122"/>
      <c r="CO103" s="1122"/>
      <c r="CP103" s="1122"/>
      <c r="CQ103" s="1122"/>
      <c r="CR103" s="1122"/>
      <c r="CS103" s="1122"/>
      <c r="CT103" s="1122"/>
      <c r="CU103" s="1122"/>
      <c r="CV103" s="1122"/>
      <c r="CW103" s="1122"/>
      <c r="CX103" s="1122"/>
      <c r="CY103" s="1122"/>
      <c r="CZ103" s="1122"/>
      <c r="DA103" s="1122"/>
      <c r="DB103" s="1122"/>
      <c r="DC103" s="1122"/>
      <c r="DD103" s="1122"/>
      <c r="DE103" s="1122"/>
      <c r="DF103" s="1122"/>
      <c r="DG103" s="1122"/>
      <c r="DH103" s="1122"/>
      <c r="DI103" s="1122"/>
      <c r="DJ103" s="1122"/>
      <c r="DK103" s="1122"/>
      <c r="DL103" s="1122"/>
      <c r="DM103" s="1122"/>
      <c r="DN103" s="1122"/>
      <c r="DO103" s="1122"/>
      <c r="DP103" s="1122"/>
      <c r="DQ103" s="1122"/>
      <c r="DR103" s="1122"/>
      <c r="DS103" s="1122"/>
      <c r="DT103" s="1122"/>
      <c r="DU103" s="1122"/>
      <c r="DV103" s="1122"/>
      <c r="DW103" s="1122"/>
      <c r="DX103" s="1122"/>
      <c r="DY103" s="1122"/>
      <c r="DZ103" s="1122"/>
      <c r="EA103" s="1122"/>
      <c r="EB103" s="1122"/>
      <c r="EC103" s="1122"/>
      <c r="ED103" s="1122"/>
      <c r="EE103" s="1122"/>
      <c r="EF103" s="1122"/>
      <c r="EG103" s="1122"/>
      <c r="EH103" s="1122"/>
      <c r="EI103" s="1122"/>
      <c r="EJ103" s="1122"/>
      <c r="EK103" s="1122"/>
      <c r="EL103" s="1122"/>
      <c r="EM103" s="1122"/>
      <c r="EN103" s="1122"/>
      <c r="EO103" s="1122"/>
      <c r="EP103" s="1122"/>
      <c r="EQ103" s="1122"/>
      <c r="ER103" s="1122"/>
      <c r="ES103" s="1122"/>
      <c r="ET103" s="1122"/>
      <c r="EU103" s="1122"/>
      <c r="EV103" s="1122"/>
      <c r="EW103" s="1122"/>
      <c r="EX103" s="1122"/>
      <c r="EY103" s="1122"/>
      <c r="EZ103" s="1122"/>
      <c r="FA103" s="1122"/>
      <c r="FB103" s="1122"/>
      <c r="FC103" s="1122"/>
      <c r="FD103" s="1122"/>
      <c r="FE103" s="1122"/>
      <c r="FF103" s="1122"/>
      <c r="FG103" s="1122"/>
      <c r="FH103" s="1122"/>
      <c r="FI103" s="1122"/>
      <c r="FJ103" s="1122"/>
      <c r="FK103" s="1122"/>
      <c r="FL103" s="1122"/>
      <c r="FM103" s="1122"/>
      <c r="FN103" s="1122"/>
      <c r="FO103" s="1122"/>
      <c r="FP103" s="1122"/>
      <c r="FQ103" s="1122"/>
      <c r="FR103" s="1122"/>
      <c r="FS103" s="1122"/>
      <c r="FT103" s="1122"/>
      <c r="FU103" s="1122"/>
      <c r="FV103" s="1122"/>
      <c r="FW103" s="1123"/>
      <c r="FX103" s="1124"/>
      <c r="FY103" s="852"/>
      <c r="FZ103" s="852"/>
      <c r="GA103" s="852"/>
      <c r="GB103" s="852"/>
    </row>
    <row r="105" spans="1:184" s="1735" customFormat="1" ht="11.25" customHeight="1">
      <c r="A105" s="1735" t="s">
        <v>1471</v>
      </c>
    </row>
    <row r="107" spans="1:184" s="1827" customFormat="1" ht="15" customHeight="1">
      <c r="A107" s="542"/>
      <c r="B107"/>
      <c r="C107"/>
      <c r="D107" s="7920" t="s">
        <v>97</v>
      </c>
      <c r="E107" s="7772" t="s">
        <v>223</v>
      </c>
      <c r="F107" s="7773"/>
      <c r="G107" s="7774"/>
      <c r="H107" s="7778" t="str">
        <f>IF(A107="","",INDEX(DIFFERENTIATION_UNMERGE_VD,MATCH(A107,DIFFERENTIATION_ID_DIFF,0)))</f>
        <v/>
      </c>
      <c r="I107" s="7778"/>
      <c r="J107" s="7778"/>
      <c r="K107" s="7778"/>
      <c r="L107" s="7778"/>
      <c r="M107" s="7778"/>
      <c r="N107" s="7778"/>
      <c r="O107" s="7778"/>
      <c r="P107" s="7778"/>
      <c r="Q107" s="7778"/>
      <c r="R107" s="7778"/>
      <c r="S107" s="636"/>
      <c r="T107" s="633"/>
      <c r="U107" s="543"/>
      <c r="V107" s="543"/>
      <c r="W107" s="544"/>
      <c r="X107" s="544"/>
      <c r="Y107" s="544"/>
      <c r="Z107" s="544"/>
      <c r="AA107" s="545"/>
      <c r="AB107" s="546"/>
      <c r="AC107" s="7770"/>
      <c r="AD107" s="547"/>
      <c r="AE107" s="548" t="s">
        <v>24</v>
      </c>
      <c r="AF107" s="548"/>
      <c r="AG107" s="549" t="s">
        <v>778</v>
      </c>
      <c r="AH107" s="550">
        <v>3</v>
      </c>
      <c r="AI107" s="543"/>
      <c r="AJ107" s="543"/>
      <c r="AK107" s="543"/>
      <c r="AL107" s="543"/>
      <c r="AM107" s="543"/>
      <c r="AN107" s="543"/>
      <c r="AO107" s="543"/>
      <c r="AP107" s="543"/>
      <c r="AQ107" s="543"/>
      <c r="AR107" s="543"/>
      <c r="AS107" s="543"/>
      <c r="AT107" s="543"/>
      <c r="AU107" s="543"/>
      <c r="AV107" s="543"/>
      <c r="AW107" s="543"/>
      <c r="AX107" s="543"/>
      <c r="AY107" s="543"/>
      <c r="AZ107" s="543"/>
      <c r="BA107" s="543"/>
      <c r="BB107" s="543"/>
      <c r="BC107" s="543"/>
      <c r="BD107" s="543"/>
      <c r="BE107" s="543"/>
      <c r="BF107" s="543"/>
      <c r="BG107" s="543"/>
      <c r="BH107" s="543"/>
      <c r="BI107" s="543"/>
      <c r="BJ107" s="543"/>
      <c r="BK107" s="543"/>
      <c r="BL107" s="543"/>
      <c r="BM107" s="543"/>
      <c r="BN107" s="543"/>
      <c r="BO107" s="543"/>
      <c r="BP107" s="543"/>
      <c r="BQ107" s="543"/>
      <c r="BR107" s="543"/>
      <c r="BS107" s="543"/>
      <c r="BT107" s="543"/>
      <c r="BU107" s="543"/>
      <c r="BV107" s="544"/>
      <c r="BW107" s="544"/>
      <c r="BX107" s="544"/>
      <c r="BY107" s="544"/>
      <c r="BZ107" s="544"/>
      <c r="CA107" s="544"/>
      <c r="CB107" s="544"/>
      <c r="CC107" s="544"/>
      <c r="CD107" s="544"/>
      <c r="CE107" s="544"/>
    </row>
    <row r="108" spans="1:184" s="1827" customFormat="1" ht="15" customHeight="1">
      <c r="A108" s="542"/>
      <c r="B108"/>
      <c r="C108"/>
      <c r="D108" s="7921"/>
      <c r="E108" s="7772" t="s">
        <v>733</v>
      </c>
      <c r="F108" s="7773"/>
      <c r="G108" s="7774"/>
      <c r="H108" s="7778" t="str">
        <f>IF(A107="","",INDEX(DIFFERENTIATION_UNMERGE_AREA,MATCH(A107,DIFFERENTIATION_ID_DIFF,0)))</f>
        <v/>
      </c>
      <c r="I108" s="7778"/>
      <c r="J108" s="7778"/>
      <c r="K108" s="7778"/>
      <c r="L108" s="7778"/>
      <c r="M108" s="7778"/>
      <c r="N108" s="7778"/>
      <c r="O108" s="7778"/>
      <c r="P108" s="7778"/>
      <c r="Q108" s="7778"/>
      <c r="R108" s="7778"/>
      <c r="S108" s="636"/>
      <c r="T108" s="633"/>
      <c r="U108" s="543"/>
      <c r="V108" s="543"/>
      <c r="W108" s="544"/>
      <c r="X108" s="544"/>
      <c r="Y108" s="544"/>
      <c r="Z108" s="544"/>
      <c r="AA108" s="545"/>
      <c r="AB108" s="546"/>
      <c r="AC108" s="7770"/>
      <c r="AD108" s="547"/>
      <c r="AE108" s="548"/>
      <c r="AF108" s="548"/>
      <c r="AG108" s="549"/>
      <c r="AH108" s="550"/>
      <c r="AI108" s="543"/>
      <c r="AJ108" s="543"/>
      <c r="AK108" s="543"/>
      <c r="AL108" s="543"/>
      <c r="AM108" s="543"/>
      <c r="AN108" s="543"/>
      <c r="AO108" s="543"/>
      <c r="AP108" s="543"/>
      <c r="AQ108" s="543"/>
      <c r="AR108" s="543"/>
      <c r="AS108" s="543"/>
      <c r="AT108" s="543"/>
      <c r="AU108" s="543"/>
      <c r="AV108" s="543"/>
      <c r="AW108" s="543"/>
      <c r="AX108" s="543"/>
      <c r="AY108" s="543"/>
      <c r="AZ108" s="543"/>
      <c r="BA108" s="543"/>
      <c r="BB108" s="543"/>
      <c r="BC108" s="543"/>
      <c r="BD108" s="543"/>
      <c r="BE108" s="543"/>
      <c r="BF108" s="543"/>
      <c r="BG108" s="543"/>
      <c r="BH108" s="543"/>
      <c r="BI108" s="543"/>
      <c r="BJ108" s="543"/>
      <c r="BK108" s="543"/>
      <c r="BL108" s="543"/>
      <c r="BM108" s="543"/>
      <c r="BN108" s="543"/>
      <c r="BO108" s="543"/>
      <c r="BP108" s="543"/>
      <c r="BQ108" s="543"/>
      <c r="BR108" s="543"/>
      <c r="BS108" s="543"/>
      <c r="BT108" s="543"/>
      <c r="BU108" s="543"/>
      <c r="BV108" s="544"/>
      <c r="BW108" s="544"/>
      <c r="BX108" s="544"/>
      <c r="BY108" s="544"/>
      <c r="BZ108" s="544"/>
      <c r="CA108" s="544"/>
      <c r="CB108" s="544"/>
      <c r="CC108" s="544"/>
      <c r="CD108" s="544"/>
      <c r="CE108" s="544"/>
    </row>
    <row r="109" spans="1:184" s="1827" customFormat="1" ht="15" customHeight="1">
      <c r="A109" s="542"/>
      <c r="B109"/>
      <c r="C109"/>
      <c r="D109" s="7921"/>
      <c r="E109" s="7772" t="s">
        <v>734</v>
      </c>
      <c r="F109" s="7773"/>
      <c r="G109" s="7774"/>
      <c r="H109" s="7778" t="str">
        <f>IF(A107="","",INDEX(DIFFERENTIATION_UNMERGE_SYSTEM,MATCH(A107,DIFFERENTIATION_ID_DIFF,0)))</f>
        <v/>
      </c>
      <c r="I109" s="7778"/>
      <c r="J109" s="7778"/>
      <c r="K109" s="7778"/>
      <c r="L109" s="7778"/>
      <c r="M109" s="7778"/>
      <c r="N109" s="7778"/>
      <c r="O109" s="7778"/>
      <c r="P109" s="7778"/>
      <c r="Q109" s="7778"/>
      <c r="R109" s="7778"/>
      <c r="S109" s="636"/>
      <c r="T109" s="633"/>
      <c r="U109" s="543"/>
      <c r="V109" s="543"/>
      <c r="W109" s="544"/>
      <c r="X109" s="544"/>
      <c r="Y109" s="544"/>
      <c r="Z109" s="544"/>
      <c r="AA109" s="545"/>
      <c r="AB109" s="546"/>
      <c r="AC109" s="7770"/>
      <c r="AD109" s="547"/>
      <c r="AE109" s="548"/>
      <c r="AF109" s="548"/>
      <c r="AG109" s="549"/>
      <c r="AH109" s="550"/>
      <c r="AI109" s="543"/>
      <c r="AJ109" s="543"/>
      <c r="AK109" s="543"/>
      <c r="AL109" s="543"/>
      <c r="AM109" s="543"/>
      <c r="AN109" s="543"/>
      <c r="AO109" s="543"/>
      <c r="AP109" s="543"/>
      <c r="AQ109" s="543"/>
      <c r="AR109" s="543"/>
      <c r="AS109" s="543"/>
      <c r="AT109" s="543"/>
      <c r="AU109" s="543"/>
      <c r="AV109" s="543"/>
      <c r="AW109" s="543"/>
      <c r="AX109" s="543"/>
      <c r="AY109" s="543"/>
      <c r="AZ109" s="543"/>
      <c r="BA109" s="543"/>
      <c r="BB109" s="543"/>
      <c r="BC109" s="543"/>
      <c r="BD109" s="543"/>
      <c r="BE109" s="543"/>
      <c r="BF109" s="543"/>
      <c r="BG109" s="543"/>
      <c r="BH109" s="543"/>
      <c r="BI109" s="543"/>
      <c r="BJ109" s="543"/>
      <c r="BK109" s="543"/>
      <c r="BL109" s="543"/>
      <c r="BM109" s="543"/>
      <c r="BN109" s="543"/>
      <c r="BO109" s="543"/>
      <c r="BP109" s="543"/>
      <c r="BQ109" s="543"/>
      <c r="BR109" s="543"/>
      <c r="BS109" s="543"/>
      <c r="BT109" s="543"/>
      <c r="BU109" s="543"/>
      <c r="BV109" s="544"/>
      <c r="BW109" s="544"/>
      <c r="BX109" s="544"/>
      <c r="BY109" s="544"/>
      <c r="BZ109" s="544"/>
      <c r="CA109" s="544"/>
      <c r="CB109" s="544"/>
      <c r="CC109" s="544"/>
      <c r="CD109" s="544"/>
      <c r="CE109" s="544"/>
    </row>
    <row r="110" spans="1:184" s="1827" customFormat="1" ht="24.75" customHeight="1">
      <c r="A110" s="1726"/>
      <c r="B110" s="1065"/>
      <c r="C110" s="341"/>
      <c r="D110" s="7921"/>
      <c r="E110" s="7771" t="s">
        <v>779</v>
      </c>
      <c r="F110" s="7771"/>
      <c r="G110" s="7771"/>
      <c r="H110" s="7771"/>
      <c r="I110" s="7771"/>
      <c r="J110" s="7771"/>
      <c r="K110" s="7771"/>
      <c r="L110" s="7771"/>
      <c r="M110" s="7771"/>
      <c r="N110" s="7771"/>
      <c r="O110" s="7771"/>
      <c r="P110" s="7771"/>
      <c r="Q110" s="481">
        <f>SUMIF(T111:T112,"i",Q111:Q112)</f>
        <v>0</v>
      </c>
      <c r="R110" s="928"/>
      <c r="S110" s="1718" t="s">
        <v>780</v>
      </c>
      <c r="T110" s="634" t="s">
        <v>781</v>
      </c>
      <c r="U110" s="7688">
        <v>1</v>
      </c>
      <c r="V110" s="7688" t="s">
        <v>744</v>
      </c>
      <c r="W110" s="1065"/>
      <c r="X110" s="1065"/>
      <c r="Y110" s="1065"/>
      <c r="Z110" s="1065"/>
      <c r="AA110" s="1556"/>
      <c r="AB110" s="1065"/>
      <c r="AC110" s="7770"/>
      <c r="AD110" s="547"/>
      <c r="AE110" s="1065"/>
      <c r="AF110" s="1065"/>
      <c r="AG110" s="1556"/>
      <c r="AH110" s="1556"/>
      <c r="AI110" s="1556"/>
      <c r="AJ110" s="1556"/>
      <c r="AK110" s="1556"/>
      <c r="AL110" s="1556"/>
      <c r="AM110" s="1556"/>
      <c r="AN110" s="1556"/>
      <c r="AO110" s="1556"/>
      <c r="AP110" s="1556"/>
      <c r="AQ110" s="1556"/>
      <c r="AR110" s="1556"/>
      <c r="AS110" s="1556"/>
      <c r="AT110" s="1556"/>
      <c r="AU110" s="1556"/>
      <c r="AV110" s="1556"/>
      <c r="AW110" s="1556"/>
      <c r="AX110" s="1556"/>
      <c r="AY110" s="1556"/>
      <c r="AZ110" s="1556"/>
      <c r="BA110" s="1556"/>
      <c r="BB110" s="1556"/>
      <c r="BC110" s="1556"/>
      <c r="BD110" s="1556"/>
      <c r="BE110" s="1556"/>
      <c r="BF110" s="1556"/>
      <c r="BG110" s="1556"/>
      <c r="BH110" s="1556"/>
      <c r="BI110" s="1556"/>
      <c r="BJ110" s="1556"/>
      <c r="BK110" s="1556"/>
      <c r="BL110" s="1556"/>
      <c r="BM110" s="1556"/>
      <c r="BN110" s="1556"/>
      <c r="BO110" s="1556"/>
      <c r="BP110" s="1556"/>
      <c r="BQ110" s="1556"/>
      <c r="BR110" s="1556"/>
      <c r="BS110" s="1556"/>
      <c r="BT110" s="1556"/>
      <c r="BU110" s="1556"/>
      <c r="BV110" s="1065"/>
      <c r="BW110" s="1065"/>
      <c r="BX110" s="1065"/>
      <c r="BY110" s="1065"/>
      <c r="BZ110" s="1065"/>
      <c r="CA110" s="1065"/>
      <c r="CB110" s="1065"/>
      <c r="CC110" s="1065"/>
      <c r="CD110" s="1065"/>
      <c r="CE110" s="1065"/>
    </row>
    <row r="111" spans="1:184" s="1827" customFormat="1" ht="11.25" hidden="1" customHeight="1">
      <c r="A111" s="1713"/>
      <c r="B111" s="1556"/>
      <c r="C111" s="1556"/>
      <c r="D111" s="7921"/>
      <c r="E111" s="553"/>
      <c r="F111" s="553">
        <v>0</v>
      </c>
      <c r="G111" s="553"/>
      <c r="H111" s="553"/>
      <c r="I111" s="553"/>
      <c r="J111" s="553"/>
      <c r="K111" s="553"/>
      <c r="L111" s="553"/>
      <c r="M111" s="553"/>
      <c r="N111" s="553"/>
      <c r="O111" s="553"/>
      <c r="P111" s="553"/>
      <c r="Q111" s="553"/>
      <c r="R111" s="553"/>
      <c r="S111" s="554"/>
      <c r="T111" s="635"/>
      <c r="U111" s="7688"/>
      <c r="V111" s="7688"/>
      <c r="W111" s="1556"/>
      <c r="X111" s="1556"/>
      <c r="Y111" s="1556"/>
      <c r="Z111" s="1556"/>
      <c r="AA111" s="1556"/>
      <c r="AB111" s="1065"/>
      <c r="AC111" s="7770"/>
      <c r="AD111" s="547"/>
      <c r="AE111" s="1065"/>
      <c r="AF111" s="1065"/>
      <c r="AG111" s="1556"/>
      <c r="AH111" s="1556"/>
      <c r="AI111" s="1556"/>
      <c r="AJ111" s="1556"/>
      <c r="AK111" s="1556"/>
      <c r="AL111" s="1556"/>
      <c r="AM111" s="1556"/>
      <c r="AN111" s="1556"/>
      <c r="AO111" s="1556"/>
      <c r="AP111" s="1556"/>
      <c r="AQ111" s="1556"/>
      <c r="AR111" s="1556"/>
      <c r="AS111" s="1556"/>
      <c r="AT111" s="1556"/>
      <c r="AU111" s="1556"/>
      <c r="AV111" s="1556"/>
      <c r="AW111" s="1556"/>
      <c r="AX111" s="1556"/>
      <c r="AY111" s="1556"/>
      <c r="AZ111" s="1556"/>
      <c r="BA111" s="1556"/>
      <c r="BB111" s="1556"/>
      <c r="BC111" s="1556"/>
      <c r="BD111" s="1556"/>
      <c r="BE111" s="1556"/>
      <c r="BF111" s="1556"/>
      <c r="BG111" s="1556"/>
      <c r="BH111" s="1556"/>
      <c r="BI111" s="1556"/>
      <c r="BJ111" s="1556"/>
      <c r="BK111" s="1556"/>
      <c r="BL111" s="1556"/>
      <c r="BM111" s="1556"/>
      <c r="BN111" s="1556"/>
      <c r="BO111" s="1556"/>
      <c r="BP111" s="1556"/>
      <c r="BQ111" s="1556"/>
      <c r="BR111" s="1556"/>
      <c r="BS111" s="1556"/>
      <c r="BT111" s="1556"/>
      <c r="BU111" s="1556"/>
      <c r="BV111" s="1556"/>
      <c r="BW111" s="1556"/>
      <c r="BX111" s="1556"/>
      <c r="BY111" s="1556"/>
      <c r="BZ111" s="1556"/>
      <c r="CA111" s="1556"/>
      <c r="CB111" s="1556"/>
      <c r="CC111" s="1556"/>
      <c r="CD111" s="1556"/>
      <c r="CE111" s="1556"/>
    </row>
    <row r="112" spans="1:184" s="1827" customFormat="1" ht="11.25" customHeight="1">
      <c r="A112" s="1726"/>
      <c r="B112" s="1065"/>
      <c r="C112" s="341"/>
      <c r="D112" s="7921"/>
      <c r="E112" s="567" t="s">
        <v>24</v>
      </c>
      <c r="F112" s="1073" t="s">
        <v>24</v>
      </c>
      <c r="G112" s="1073" t="s">
        <v>1472</v>
      </c>
      <c r="H112" s="569" t="s">
        <v>24</v>
      </c>
      <c r="I112" s="569"/>
      <c r="J112" s="569"/>
      <c r="K112" s="569"/>
      <c r="L112" s="569"/>
      <c r="M112" s="569"/>
      <c r="N112" s="569"/>
      <c r="O112" s="569"/>
      <c r="P112" s="569"/>
      <c r="Q112" s="569"/>
      <c r="R112" s="570"/>
      <c r="S112" s="571"/>
      <c r="T112" s="635"/>
      <c r="U112" s="7688"/>
      <c r="V112" s="7688"/>
      <c r="W112" s="1065"/>
      <c r="X112" s="1065"/>
      <c r="Y112" s="1065"/>
      <c r="Z112" s="1065"/>
      <c r="AA112" s="1556"/>
      <c r="AB112" s="1065"/>
      <c r="AC112" s="7770"/>
      <c r="AD112" s="547"/>
      <c r="AE112" s="1065"/>
      <c r="AF112" s="1065"/>
      <c r="AG112" s="1556"/>
      <c r="AH112" s="1556"/>
      <c r="AI112" s="1556"/>
      <c r="AJ112" s="1556"/>
      <c r="AK112" s="1556"/>
      <c r="AL112" s="1556"/>
      <c r="AM112" s="1556"/>
      <c r="AN112" s="1556"/>
      <c r="AO112" s="1556"/>
      <c r="AP112" s="1556"/>
      <c r="AQ112" s="1556"/>
      <c r="AR112" s="1556"/>
      <c r="AS112" s="1556"/>
      <c r="AT112" s="1556"/>
      <c r="AU112" s="1556"/>
      <c r="AV112" s="1556"/>
      <c r="AW112" s="1556"/>
      <c r="AX112" s="1556"/>
      <c r="AY112" s="1556"/>
      <c r="AZ112" s="1556"/>
      <c r="BA112" s="1556"/>
      <c r="BB112" s="1556"/>
      <c r="BC112" s="1556"/>
      <c r="BD112" s="1556"/>
      <c r="BE112" s="1556"/>
      <c r="BF112" s="1556"/>
      <c r="BG112" s="1556"/>
      <c r="BH112" s="1556"/>
      <c r="BI112" s="1556"/>
      <c r="BJ112" s="1556"/>
      <c r="BK112" s="1556"/>
      <c r="BL112" s="1556"/>
      <c r="BM112" s="1556"/>
      <c r="BN112" s="1556"/>
      <c r="BO112" s="1556"/>
      <c r="BP112" s="1556"/>
      <c r="BQ112" s="1556"/>
      <c r="BR112" s="1556"/>
      <c r="BS112" s="1556"/>
      <c r="BT112" s="1556"/>
      <c r="BU112" s="1556"/>
      <c r="BV112" s="1065"/>
      <c r="BW112" s="1065"/>
      <c r="BX112" s="1065"/>
      <c r="BY112" s="1065"/>
      <c r="BZ112" s="1065"/>
      <c r="CA112" s="1065"/>
      <c r="CB112" s="1065"/>
      <c r="CC112" s="1065"/>
      <c r="CD112" s="1065"/>
      <c r="CE112" s="1065"/>
    </row>
    <row r="113" spans="1:83" s="1827" customFormat="1" ht="24.75" customHeight="1">
      <c r="A113" s="1726"/>
      <c r="B113" s="1065"/>
      <c r="C113" s="341"/>
      <c r="D113" s="7921"/>
      <c r="E113" s="7771" t="s">
        <v>782</v>
      </c>
      <c r="F113" s="7771"/>
      <c r="G113" s="7771"/>
      <c r="H113" s="7771"/>
      <c r="I113" s="7771"/>
      <c r="J113" s="7771"/>
      <c r="K113" s="7771"/>
      <c r="L113" s="7771"/>
      <c r="M113" s="7771"/>
      <c r="N113" s="7771"/>
      <c r="O113" s="7771"/>
      <c r="P113" s="7771"/>
      <c r="Q113" s="481">
        <f>SUMIF(T114:T115,"i",Q114:Q115)</f>
        <v>0</v>
      </c>
      <c r="R113" s="928"/>
      <c r="S113" s="1718" t="s">
        <v>783</v>
      </c>
      <c r="T113" s="634" t="s">
        <v>781</v>
      </c>
      <c r="U113" s="7688">
        <v>1</v>
      </c>
      <c r="V113" s="7688" t="s">
        <v>744</v>
      </c>
      <c r="W113" s="1065"/>
      <c r="X113" s="1065"/>
      <c r="Y113" s="1065"/>
      <c r="Z113" s="1065"/>
      <c r="AA113" s="1556"/>
      <c r="AB113" s="1065"/>
      <c r="AC113" s="1716"/>
      <c r="AD113" s="547"/>
      <c r="AE113" s="1065"/>
      <c r="AF113" s="1065"/>
      <c r="AG113" s="1556"/>
      <c r="AH113" s="1556"/>
      <c r="AI113" s="1556"/>
      <c r="AJ113" s="1556"/>
      <c r="AK113" s="1556"/>
      <c r="AL113" s="1556"/>
      <c r="AM113" s="1556"/>
      <c r="AN113" s="1556"/>
      <c r="AO113" s="1556"/>
      <c r="AP113" s="1556"/>
      <c r="AQ113" s="1556"/>
      <c r="AR113" s="1556"/>
      <c r="AS113" s="1556"/>
      <c r="AT113" s="1556"/>
      <c r="AU113" s="1556"/>
      <c r="AV113" s="1556"/>
      <c r="AW113" s="1556"/>
      <c r="AX113" s="1556"/>
      <c r="AY113" s="1556"/>
      <c r="AZ113" s="1556"/>
      <c r="BA113" s="1556"/>
      <c r="BB113" s="1556"/>
      <c r="BC113" s="1556"/>
      <c r="BD113" s="1556"/>
      <c r="BE113" s="1556"/>
      <c r="BF113" s="1556"/>
      <c r="BG113" s="1556"/>
      <c r="BH113" s="1556"/>
      <c r="BI113" s="1556"/>
      <c r="BJ113" s="1556"/>
      <c r="BK113" s="1556"/>
      <c r="BL113" s="1556"/>
      <c r="BM113" s="1556"/>
      <c r="BN113" s="1556"/>
      <c r="BO113" s="1556"/>
      <c r="BP113" s="1556"/>
      <c r="BQ113" s="1556"/>
      <c r="BR113" s="1556"/>
      <c r="BS113" s="1556"/>
      <c r="BT113" s="1556"/>
      <c r="BU113" s="1556"/>
      <c r="BV113" s="1065"/>
      <c r="BW113" s="1065"/>
      <c r="BX113" s="1065"/>
      <c r="BY113" s="1065"/>
      <c r="BZ113" s="1065"/>
      <c r="CA113" s="1065"/>
      <c r="CB113" s="1065"/>
      <c r="CC113" s="1065"/>
      <c r="CD113" s="1065"/>
      <c r="CE113" s="1065"/>
    </row>
    <row r="114" spans="1:83" s="1827" customFormat="1" ht="11.25" hidden="1" customHeight="1">
      <c r="A114" s="1713"/>
      <c r="B114" s="1556"/>
      <c r="C114" s="1556"/>
      <c r="D114" s="7921"/>
      <c r="E114" s="553"/>
      <c r="F114" s="553">
        <v>0</v>
      </c>
      <c r="G114" s="553"/>
      <c r="H114" s="553"/>
      <c r="I114" s="553"/>
      <c r="J114" s="553"/>
      <c r="K114" s="553"/>
      <c r="L114" s="553"/>
      <c r="M114" s="553"/>
      <c r="N114" s="553"/>
      <c r="O114" s="553"/>
      <c r="P114" s="553"/>
      <c r="Q114" s="553"/>
      <c r="R114" s="553"/>
      <c r="S114" s="554"/>
      <c r="T114" s="635"/>
      <c r="U114" s="7688"/>
      <c r="V114" s="7688"/>
      <c r="W114" s="1556"/>
      <c r="X114" s="1556"/>
      <c r="Y114" s="1556"/>
      <c r="Z114" s="1556"/>
      <c r="AA114" s="1556"/>
      <c r="AB114" s="1065"/>
      <c r="AC114" s="1716"/>
      <c r="AD114" s="547"/>
      <c r="AE114" s="1065"/>
      <c r="AF114" s="1065"/>
      <c r="AG114" s="1556"/>
      <c r="AH114" s="1556"/>
      <c r="AI114" s="1556"/>
      <c r="AJ114" s="1556"/>
      <c r="AK114" s="1556"/>
      <c r="AL114" s="1556"/>
      <c r="AM114" s="1556"/>
      <c r="AN114" s="1556"/>
      <c r="AO114" s="1556"/>
      <c r="AP114" s="1556"/>
      <c r="AQ114" s="1556"/>
      <c r="AR114" s="1556"/>
      <c r="AS114" s="1556"/>
      <c r="AT114" s="1556"/>
      <c r="AU114" s="1556"/>
      <c r="AV114" s="1556"/>
      <c r="AW114" s="1556"/>
      <c r="AX114" s="1556"/>
      <c r="AY114" s="1556"/>
      <c r="AZ114" s="1556"/>
      <c r="BA114" s="1556"/>
      <c r="BB114" s="1556"/>
      <c r="BC114" s="1556"/>
      <c r="BD114" s="1556"/>
      <c r="BE114" s="1556"/>
      <c r="BF114" s="1556"/>
      <c r="BG114" s="1556"/>
      <c r="BH114" s="1556"/>
      <c r="BI114" s="1556"/>
      <c r="BJ114" s="1556"/>
      <c r="BK114" s="1556"/>
      <c r="BL114" s="1556"/>
      <c r="BM114" s="1556"/>
      <c r="BN114" s="1556"/>
      <c r="BO114" s="1556"/>
      <c r="BP114" s="1556"/>
      <c r="BQ114" s="1556"/>
      <c r="BR114" s="1556"/>
      <c r="BS114" s="1556"/>
      <c r="BT114" s="1556"/>
      <c r="BU114" s="1556"/>
      <c r="BV114" s="1556"/>
      <c r="BW114" s="1556"/>
      <c r="BX114" s="1556"/>
      <c r="BY114" s="1556"/>
      <c r="BZ114" s="1556"/>
      <c r="CA114" s="1556"/>
      <c r="CB114" s="1556"/>
      <c r="CC114" s="1556"/>
      <c r="CD114" s="1556"/>
      <c r="CE114" s="1556"/>
    </row>
    <row r="115" spans="1:83" s="1827" customFormat="1" ht="11.25" customHeight="1">
      <c r="A115" s="1726"/>
      <c r="B115" s="1065"/>
      <c r="C115" s="341"/>
      <c r="D115" s="7922"/>
      <c r="E115" s="567" t="s">
        <v>24</v>
      </c>
      <c r="F115" s="1073" t="s">
        <v>24</v>
      </c>
      <c r="G115" s="1073" t="s">
        <v>1472</v>
      </c>
      <c r="H115" s="569" t="s">
        <v>24</v>
      </c>
      <c r="I115" s="569"/>
      <c r="J115" s="569"/>
      <c r="K115" s="569"/>
      <c r="L115" s="569"/>
      <c r="M115" s="569"/>
      <c r="N115" s="569"/>
      <c r="O115" s="569"/>
      <c r="P115" s="569"/>
      <c r="Q115" s="569"/>
      <c r="R115" s="570"/>
      <c r="S115" s="571"/>
      <c r="T115" s="635"/>
      <c r="U115" s="7688"/>
      <c r="V115" s="7688"/>
      <c r="W115" s="1065"/>
      <c r="X115" s="1065"/>
      <c r="Y115" s="1065"/>
      <c r="Z115" s="1065"/>
      <c r="AA115" s="1556"/>
      <c r="AB115" s="1065"/>
      <c r="AC115" s="1716"/>
      <c r="AD115" s="547"/>
      <c r="AE115" s="1065"/>
      <c r="AF115" s="1065"/>
      <c r="AG115" s="1556"/>
      <c r="AH115" s="1556"/>
      <c r="AI115" s="1556"/>
      <c r="AJ115" s="1556"/>
      <c r="AK115" s="1556"/>
      <c r="AL115" s="1556"/>
      <c r="AM115" s="1556"/>
      <c r="AN115" s="1556"/>
      <c r="AO115" s="1556"/>
      <c r="AP115" s="1556"/>
      <c r="AQ115" s="1556"/>
      <c r="AR115" s="1556"/>
      <c r="AS115" s="1556"/>
      <c r="AT115" s="1556"/>
      <c r="AU115" s="1556"/>
      <c r="AV115" s="1556"/>
      <c r="AW115" s="1556"/>
      <c r="AX115" s="1556"/>
      <c r="AY115" s="1556"/>
      <c r="AZ115" s="1556"/>
      <c r="BA115" s="1556"/>
      <c r="BB115" s="1556"/>
      <c r="BC115" s="1556"/>
      <c r="BD115" s="1556"/>
      <c r="BE115" s="1556"/>
      <c r="BF115" s="1556"/>
      <c r="BG115" s="1556"/>
      <c r="BH115" s="1556"/>
      <c r="BI115" s="1556"/>
      <c r="BJ115" s="1556"/>
      <c r="BK115" s="1556"/>
      <c r="BL115" s="1556"/>
      <c r="BM115" s="1556"/>
      <c r="BN115" s="1556"/>
      <c r="BO115" s="1556"/>
      <c r="BP115" s="1556"/>
      <c r="BQ115" s="1556"/>
      <c r="BR115" s="1556"/>
      <c r="BS115" s="1556"/>
      <c r="BT115" s="1556"/>
      <c r="BU115" s="1556"/>
      <c r="BV115" s="1065"/>
      <c r="BW115" s="1065"/>
      <c r="BX115" s="1065"/>
      <c r="BY115" s="1065"/>
      <c r="BZ115" s="1065"/>
      <c r="CA115" s="1065"/>
      <c r="CB115" s="1065"/>
      <c r="CC115" s="1065"/>
      <c r="CD115" s="1065"/>
      <c r="CE115" s="1065"/>
    </row>
    <row r="117" spans="1:83" s="1735" customFormat="1" ht="11.25" customHeight="1">
      <c r="A117" s="1735" t="s">
        <v>1473</v>
      </c>
    </row>
    <row r="119" spans="1:83" s="1827" customFormat="1" ht="15" customHeight="1">
      <c r="A119" s="542"/>
      <c r="B119"/>
      <c r="C119"/>
      <c r="D119" s="7920" t="s">
        <v>97</v>
      </c>
      <c r="E119" s="7772" t="s">
        <v>223</v>
      </c>
      <c r="F119" s="7773"/>
      <c r="G119" s="7774"/>
      <c r="H119" s="7778" t="str">
        <f>IF(A119="","",INDEX(DIFFERENTIATION_UNMERGE_VD,MATCH(A119,DIFFERENTIATION_ID_DIFF,0)))</f>
        <v/>
      </c>
      <c r="I119" s="7778"/>
      <c r="J119" s="7778"/>
      <c r="K119" s="7778"/>
      <c r="L119" s="7778"/>
      <c r="M119" s="7778"/>
      <c r="N119" s="7778"/>
      <c r="O119" s="7778"/>
      <c r="P119" s="7778"/>
      <c r="Q119" s="7778"/>
      <c r="R119" s="7778"/>
      <c r="S119" s="636"/>
      <c r="T119" s="633"/>
      <c r="U119" s="543"/>
      <c r="V119" s="543"/>
      <c r="W119" s="544"/>
      <c r="X119" s="544"/>
      <c r="Y119" s="544"/>
      <c r="Z119" s="544"/>
      <c r="AA119" s="545"/>
      <c r="AB119" s="546"/>
      <c r="AC119" s="7770"/>
      <c r="AD119" s="547"/>
      <c r="AE119" s="548" t="s">
        <v>24</v>
      </c>
      <c r="AF119" s="548"/>
      <c r="AG119" s="549" t="s">
        <v>778</v>
      </c>
      <c r="AH119" s="550">
        <v>3</v>
      </c>
      <c r="AI119" s="543"/>
      <c r="AJ119" s="543"/>
      <c r="AK119" s="543"/>
      <c r="AL119" s="543"/>
      <c r="AM119" s="543"/>
      <c r="AN119" s="543"/>
      <c r="AO119" s="543"/>
      <c r="AP119" s="543"/>
      <c r="AQ119" s="543"/>
      <c r="AR119" s="543"/>
      <c r="AS119" s="543"/>
      <c r="AT119" s="543"/>
      <c r="AU119" s="543"/>
      <c r="AV119" s="543"/>
      <c r="AW119" s="543"/>
      <c r="AX119" s="543"/>
      <c r="AY119" s="543"/>
      <c r="AZ119" s="543"/>
      <c r="BA119" s="543"/>
      <c r="BB119" s="543"/>
      <c r="BC119" s="543"/>
      <c r="BD119" s="543"/>
      <c r="BE119" s="543"/>
      <c r="BF119" s="543"/>
      <c r="BG119" s="543"/>
      <c r="BH119" s="543"/>
      <c r="BI119" s="543"/>
      <c r="BJ119" s="543"/>
      <c r="BK119" s="543"/>
      <c r="BL119" s="543"/>
      <c r="BM119" s="543"/>
      <c r="BN119" s="543"/>
      <c r="BO119" s="543"/>
      <c r="BP119" s="543"/>
      <c r="BQ119" s="543"/>
      <c r="BR119" s="543"/>
      <c r="BS119" s="543"/>
      <c r="BT119" s="543"/>
      <c r="BU119" s="543"/>
      <c r="BV119" s="544"/>
      <c r="BW119" s="544"/>
      <c r="BX119" s="544"/>
      <c r="BY119" s="544"/>
      <c r="BZ119" s="544"/>
      <c r="CA119" s="544"/>
      <c r="CB119" s="544"/>
      <c r="CC119" s="544"/>
      <c r="CD119" s="544"/>
      <c r="CE119" s="544"/>
    </row>
    <row r="120" spans="1:83" s="1827" customFormat="1" ht="15" customHeight="1">
      <c r="A120" s="542"/>
      <c r="B120"/>
      <c r="C120"/>
      <c r="D120" s="7921"/>
      <c r="E120" s="7772" t="s">
        <v>733</v>
      </c>
      <c r="F120" s="7773"/>
      <c r="G120" s="7774"/>
      <c r="H120" s="7778" t="str">
        <f>IF(A119="","",INDEX(DIFFERENTIATION_UNMERGE_AREA,MATCH(A119,DIFFERENTIATION_ID_DIFF,0)))</f>
        <v/>
      </c>
      <c r="I120" s="7778"/>
      <c r="J120" s="7778"/>
      <c r="K120" s="7778"/>
      <c r="L120" s="7778"/>
      <c r="M120" s="7778"/>
      <c r="N120" s="7778"/>
      <c r="O120" s="7778"/>
      <c r="P120" s="7778"/>
      <c r="Q120" s="7778"/>
      <c r="R120" s="7778"/>
      <c r="S120" s="636"/>
      <c r="T120" s="633"/>
      <c r="U120" s="543"/>
      <c r="V120" s="543"/>
      <c r="W120" s="544"/>
      <c r="X120" s="544"/>
      <c r="Y120" s="544"/>
      <c r="Z120" s="544"/>
      <c r="AA120" s="545"/>
      <c r="AB120" s="546"/>
      <c r="AC120" s="7770"/>
      <c r="AD120" s="547"/>
      <c r="AE120" s="548"/>
      <c r="AF120" s="548"/>
      <c r="AG120" s="549"/>
      <c r="AH120" s="550"/>
      <c r="AI120" s="543"/>
      <c r="AJ120" s="543"/>
      <c r="AK120" s="543"/>
      <c r="AL120" s="543"/>
      <c r="AM120" s="543"/>
      <c r="AN120" s="543"/>
      <c r="AO120" s="543"/>
      <c r="AP120" s="543"/>
      <c r="AQ120" s="543"/>
      <c r="AR120" s="543"/>
      <c r="AS120" s="543"/>
      <c r="AT120" s="543"/>
      <c r="AU120" s="543"/>
      <c r="AV120" s="543"/>
      <c r="AW120" s="543"/>
      <c r="AX120" s="543"/>
      <c r="AY120" s="543"/>
      <c r="AZ120" s="543"/>
      <c r="BA120" s="543"/>
      <c r="BB120" s="543"/>
      <c r="BC120" s="543"/>
      <c r="BD120" s="543"/>
      <c r="BE120" s="543"/>
      <c r="BF120" s="543"/>
      <c r="BG120" s="543"/>
      <c r="BH120" s="543"/>
      <c r="BI120" s="543"/>
      <c r="BJ120" s="543"/>
      <c r="BK120" s="543"/>
      <c r="BL120" s="543"/>
      <c r="BM120" s="543"/>
      <c r="BN120" s="543"/>
      <c r="BO120" s="543"/>
      <c r="BP120" s="543"/>
      <c r="BQ120" s="543"/>
      <c r="BR120" s="543"/>
      <c r="BS120" s="543"/>
      <c r="BT120" s="543"/>
      <c r="BU120" s="543"/>
      <c r="BV120" s="544"/>
      <c r="BW120" s="544"/>
      <c r="BX120" s="544"/>
      <c r="BY120" s="544"/>
      <c r="BZ120" s="544"/>
      <c r="CA120" s="544"/>
      <c r="CB120" s="544"/>
      <c r="CC120" s="544"/>
      <c r="CD120" s="544"/>
      <c r="CE120" s="544"/>
    </row>
    <row r="121" spans="1:83" s="1827" customFormat="1" ht="15" customHeight="1">
      <c r="A121" s="542"/>
      <c r="B121"/>
      <c r="C121"/>
      <c r="D121" s="7921"/>
      <c r="E121" s="7772" t="s">
        <v>734</v>
      </c>
      <c r="F121" s="7773"/>
      <c r="G121" s="7774"/>
      <c r="H121" s="7778" t="str">
        <f>IF(A119="","",INDEX(DIFFERENTIATION_UNMERGE_SYSTEM,MATCH(A119,DIFFERENTIATION_ID_DIFF,0)))</f>
        <v/>
      </c>
      <c r="I121" s="7778"/>
      <c r="J121" s="7778"/>
      <c r="K121" s="7778"/>
      <c r="L121" s="7778"/>
      <c r="M121" s="7778"/>
      <c r="N121" s="7778"/>
      <c r="O121" s="7778"/>
      <c r="P121" s="7778"/>
      <c r="Q121" s="7778"/>
      <c r="R121" s="7778"/>
      <c r="S121" s="636"/>
      <c r="T121" s="633"/>
      <c r="U121" s="543"/>
      <c r="V121" s="543"/>
      <c r="W121" s="544"/>
      <c r="X121" s="544"/>
      <c r="Y121" s="544"/>
      <c r="Z121" s="544"/>
      <c r="AA121" s="545"/>
      <c r="AB121" s="546"/>
      <c r="AC121" s="7770"/>
      <c r="AD121" s="547"/>
      <c r="AE121" s="548"/>
      <c r="AF121" s="548"/>
      <c r="AG121" s="549"/>
      <c r="AH121" s="550"/>
      <c r="AI121" s="543"/>
      <c r="AJ121" s="543"/>
      <c r="AK121" s="543"/>
      <c r="AL121" s="543"/>
      <c r="AM121" s="543"/>
      <c r="AN121" s="543"/>
      <c r="AO121" s="543"/>
      <c r="AP121" s="543"/>
      <c r="AQ121" s="543"/>
      <c r="AR121" s="543"/>
      <c r="AS121" s="543"/>
      <c r="AT121" s="543"/>
      <c r="AU121" s="543"/>
      <c r="AV121" s="543"/>
      <c r="AW121" s="543"/>
      <c r="AX121" s="543"/>
      <c r="AY121" s="543"/>
      <c r="AZ121" s="543"/>
      <c r="BA121" s="543"/>
      <c r="BB121" s="543"/>
      <c r="BC121" s="543"/>
      <c r="BD121" s="543"/>
      <c r="BE121" s="543"/>
      <c r="BF121" s="543"/>
      <c r="BG121" s="543"/>
      <c r="BH121" s="543"/>
      <c r="BI121" s="543"/>
      <c r="BJ121" s="543"/>
      <c r="BK121" s="543"/>
      <c r="BL121" s="543"/>
      <c r="BM121" s="543"/>
      <c r="BN121" s="543"/>
      <c r="BO121" s="543"/>
      <c r="BP121" s="543"/>
      <c r="BQ121" s="543"/>
      <c r="BR121" s="543"/>
      <c r="BS121" s="543"/>
      <c r="BT121" s="543"/>
      <c r="BU121" s="543"/>
      <c r="BV121" s="544"/>
      <c r="BW121" s="544"/>
      <c r="BX121" s="544"/>
      <c r="BY121" s="544"/>
      <c r="BZ121" s="544"/>
      <c r="CA121" s="544"/>
      <c r="CB121" s="544"/>
      <c r="CC121" s="544"/>
      <c r="CD121" s="544"/>
      <c r="CE121" s="544"/>
    </row>
    <row r="122" spans="1:83" s="1827" customFormat="1" ht="24.75" customHeight="1">
      <c r="A122" s="1726"/>
      <c r="B122" s="1065"/>
      <c r="C122" s="341"/>
      <c r="D122" s="7921"/>
      <c r="E122" s="7771" t="s">
        <v>779</v>
      </c>
      <c r="F122" s="7771"/>
      <c r="G122" s="7771"/>
      <c r="H122" s="7771"/>
      <c r="I122" s="7771"/>
      <c r="J122" s="7771"/>
      <c r="K122" s="7771"/>
      <c r="L122" s="7771"/>
      <c r="M122" s="7771"/>
      <c r="N122" s="7771"/>
      <c r="O122" s="7771"/>
      <c r="P122" s="7771"/>
      <c r="Q122" s="481">
        <f>SUMIF(T123:T124,"i",Q123:Q124)</f>
        <v>0</v>
      </c>
      <c r="R122" s="928"/>
      <c r="S122" s="1718" t="s">
        <v>780</v>
      </c>
      <c r="T122" s="634" t="s">
        <v>781</v>
      </c>
      <c r="U122" s="7688">
        <v>1</v>
      </c>
      <c r="V122" s="7688" t="s">
        <v>744</v>
      </c>
      <c r="W122" s="1065"/>
      <c r="X122" s="1065"/>
      <c r="Y122" s="1065"/>
      <c r="Z122" s="1065"/>
      <c r="AA122" s="1556"/>
      <c r="AB122" s="1065"/>
      <c r="AC122" s="7770"/>
      <c r="AD122" s="547"/>
      <c r="AE122" s="1065"/>
      <c r="AF122" s="1065"/>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065"/>
      <c r="BW122" s="1065"/>
      <c r="BX122" s="1065"/>
      <c r="BY122" s="1065"/>
      <c r="BZ122" s="1065"/>
      <c r="CA122" s="1065"/>
      <c r="CB122" s="1065"/>
      <c r="CC122" s="1065"/>
      <c r="CD122" s="1065"/>
      <c r="CE122" s="1065"/>
    </row>
    <row r="123" spans="1:83" s="1827" customFormat="1" ht="11.25" hidden="1" customHeight="1">
      <c r="A123" s="1713"/>
      <c r="B123" s="1556"/>
      <c r="C123" s="1556"/>
      <c r="D123" s="7921"/>
      <c r="E123" s="553"/>
      <c r="F123" s="553">
        <v>0</v>
      </c>
      <c r="G123" s="553"/>
      <c r="H123" s="553"/>
      <c r="I123" s="553"/>
      <c r="J123" s="553"/>
      <c r="K123" s="553"/>
      <c r="L123" s="553"/>
      <c r="M123" s="553"/>
      <c r="N123" s="553"/>
      <c r="O123" s="553"/>
      <c r="P123" s="553"/>
      <c r="Q123" s="553"/>
      <c r="R123" s="553"/>
      <c r="S123" s="554"/>
      <c r="T123" s="635"/>
      <c r="U123" s="7688"/>
      <c r="V123" s="7688"/>
      <c r="W123" s="1556"/>
      <c r="X123" s="1556"/>
      <c r="Y123" s="1556"/>
      <c r="Z123" s="1556"/>
      <c r="AA123" s="1556"/>
      <c r="AB123" s="1065"/>
      <c r="AC123" s="7770"/>
      <c r="AD123" s="547"/>
      <c r="AE123" s="1065"/>
      <c r="AF123" s="1065"/>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556"/>
      <c r="BW123" s="1556"/>
      <c r="BX123" s="1556"/>
      <c r="BY123" s="1556"/>
      <c r="BZ123" s="1556"/>
      <c r="CA123" s="1556"/>
      <c r="CB123" s="1556"/>
      <c r="CC123" s="1556"/>
      <c r="CD123" s="1556"/>
      <c r="CE123" s="1556"/>
    </row>
    <row r="124" spans="1:83" s="1827" customFormat="1" ht="11.25" customHeight="1">
      <c r="A124" s="1726"/>
      <c r="B124" s="1065"/>
      <c r="C124" s="341"/>
      <c r="D124" s="7921"/>
      <c r="E124" s="567" t="s">
        <v>24</v>
      </c>
      <c r="F124" s="1073" t="s">
        <v>24</v>
      </c>
      <c r="G124" s="1073" t="s">
        <v>1472</v>
      </c>
      <c r="H124" s="569" t="s">
        <v>24</v>
      </c>
      <c r="I124" s="569"/>
      <c r="J124" s="569"/>
      <c r="K124" s="569"/>
      <c r="L124" s="569"/>
      <c r="M124" s="569"/>
      <c r="N124" s="569"/>
      <c r="O124" s="569"/>
      <c r="P124" s="569"/>
      <c r="Q124" s="569"/>
      <c r="R124" s="570"/>
      <c r="S124" s="571"/>
      <c r="T124" s="635"/>
      <c r="U124" s="7688"/>
      <c r="V124" s="7688"/>
      <c r="W124" s="1065"/>
      <c r="X124" s="1065"/>
      <c r="Y124" s="1065"/>
      <c r="Z124" s="1065"/>
      <c r="AA124" s="1556"/>
      <c r="AB124" s="1065"/>
      <c r="AC124" s="7770"/>
      <c r="AD124" s="547"/>
      <c r="AE124" s="1065"/>
      <c r="AF124" s="1065"/>
      <c r="AG124" s="1556"/>
      <c r="AH124" s="1556"/>
      <c r="AI124" s="1556"/>
      <c r="AJ124" s="1556"/>
      <c r="AK124" s="1556"/>
      <c r="AL124" s="1556"/>
      <c r="AM124" s="1556"/>
      <c r="AN124" s="1556"/>
      <c r="AO124" s="1556"/>
      <c r="AP124" s="1556"/>
      <c r="AQ124" s="1556"/>
      <c r="AR124" s="1556"/>
      <c r="AS124" s="1556"/>
      <c r="AT124" s="1556"/>
      <c r="AU124" s="1556"/>
      <c r="AV124" s="1556"/>
      <c r="AW124" s="1556"/>
      <c r="AX124" s="1556"/>
      <c r="AY124" s="1556"/>
      <c r="AZ124" s="1556"/>
      <c r="BA124" s="1556"/>
      <c r="BB124" s="1556"/>
      <c r="BC124" s="1556"/>
      <c r="BD124" s="1556"/>
      <c r="BE124" s="1556"/>
      <c r="BF124" s="1556"/>
      <c r="BG124" s="1556"/>
      <c r="BH124" s="1556"/>
      <c r="BI124" s="1556"/>
      <c r="BJ124" s="1556"/>
      <c r="BK124" s="1556"/>
      <c r="BL124" s="1556"/>
      <c r="BM124" s="1556"/>
      <c r="BN124" s="1556"/>
      <c r="BO124" s="1556"/>
      <c r="BP124" s="1556"/>
      <c r="BQ124" s="1556"/>
      <c r="BR124" s="1556"/>
      <c r="BS124" s="1556"/>
      <c r="BT124" s="1556"/>
      <c r="BU124" s="1556"/>
      <c r="BV124" s="1065"/>
      <c r="BW124" s="1065"/>
      <c r="BX124" s="1065"/>
      <c r="BY124" s="1065"/>
      <c r="BZ124" s="1065"/>
      <c r="CA124" s="1065"/>
      <c r="CB124" s="1065"/>
      <c r="CC124" s="1065"/>
      <c r="CD124" s="1065"/>
      <c r="CE124" s="1065"/>
    </row>
    <row r="125" spans="1:83" s="1239" customFormat="1" ht="5.25" hidden="1" customHeight="1">
      <c r="A125" s="1713"/>
      <c r="B125" s="1556"/>
      <c r="C125" s="1556"/>
      <c r="D125" s="7921"/>
      <c r="E125" s="950"/>
      <c r="F125" s="950"/>
      <c r="G125" s="950"/>
      <c r="H125" s="950"/>
      <c r="I125" s="950"/>
      <c r="J125" s="950"/>
      <c r="K125" s="950"/>
      <c r="L125" s="950"/>
      <c r="M125" s="950"/>
      <c r="N125" s="950"/>
      <c r="O125" s="950"/>
      <c r="P125" s="950"/>
      <c r="Q125" s="951"/>
      <c r="R125" s="952"/>
      <c r="S125" s="953"/>
      <c r="T125" s="634" t="s">
        <v>781</v>
      </c>
      <c r="U125" s="7688">
        <v>1</v>
      </c>
      <c r="V125" s="7688" t="s">
        <v>744</v>
      </c>
      <c r="W125" s="1556"/>
      <c r="X125" s="1556"/>
      <c r="Y125" s="1556"/>
      <c r="Z125" s="1556"/>
      <c r="AA125" s="1556"/>
      <c r="AB125" s="1556"/>
      <c r="AC125" s="948"/>
      <c r="AD125" s="949"/>
      <c r="AE125" s="1556"/>
      <c r="AF125" s="1556"/>
      <c r="AG125" s="1556"/>
      <c r="AH125" s="1556"/>
      <c r="AI125" s="1556"/>
      <c r="AJ125" s="1556"/>
      <c r="AK125" s="1556"/>
      <c r="AL125" s="1556"/>
      <c r="AM125" s="1556"/>
      <c r="AN125" s="1556"/>
      <c r="AO125" s="1556"/>
      <c r="AP125" s="1556"/>
      <c r="AQ125" s="1556"/>
      <c r="AR125" s="1556"/>
      <c r="AS125" s="1556"/>
      <c r="AT125" s="1556"/>
      <c r="AU125" s="1556"/>
      <c r="AV125" s="1556"/>
      <c r="AW125" s="1556"/>
      <c r="AX125" s="1556"/>
      <c r="AY125" s="1556"/>
      <c r="AZ125" s="1556"/>
      <c r="BA125" s="1556"/>
      <c r="BB125" s="1556"/>
      <c r="BC125" s="1556"/>
      <c r="BD125" s="1556"/>
      <c r="BE125" s="1556"/>
      <c r="BF125" s="1556"/>
      <c r="BG125" s="1556"/>
      <c r="BH125" s="1556"/>
      <c r="BI125" s="1556"/>
      <c r="BJ125" s="1556"/>
      <c r="BK125" s="1556"/>
      <c r="BL125" s="1556"/>
      <c r="BM125" s="1556"/>
      <c r="BN125" s="1556"/>
      <c r="BO125" s="1556"/>
      <c r="BP125" s="1556"/>
      <c r="BQ125" s="1556"/>
      <c r="BR125" s="1556"/>
      <c r="BS125" s="1556"/>
      <c r="BT125" s="1556"/>
      <c r="BU125" s="1556"/>
      <c r="BV125" s="1556"/>
      <c r="BW125" s="1556"/>
      <c r="BX125" s="1556"/>
      <c r="BY125" s="1556"/>
      <c r="BZ125" s="1556"/>
      <c r="CA125" s="1556"/>
      <c r="CB125" s="1556"/>
      <c r="CC125" s="1556"/>
      <c r="CD125" s="1556"/>
      <c r="CE125" s="1556"/>
    </row>
    <row r="126" spans="1:83" s="1239" customFormat="1" ht="5.25" hidden="1" customHeight="1">
      <c r="A126" s="1713"/>
      <c r="B126" s="1556"/>
      <c r="C126" s="1556"/>
      <c r="D126" s="7921"/>
      <c r="E126" s="553"/>
      <c r="F126" s="553"/>
      <c r="G126" s="553"/>
      <c r="H126" s="553"/>
      <c r="I126" s="553"/>
      <c r="J126" s="553"/>
      <c r="K126" s="553"/>
      <c r="L126" s="553"/>
      <c r="M126" s="553"/>
      <c r="N126" s="553"/>
      <c r="O126" s="553"/>
      <c r="P126" s="553"/>
      <c r="Q126" s="553"/>
      <c r="R126" s="553"/>
      <c r="S126" s="554"/>
      <c r="T126" s="635"/>
      <c r="U126" s="7688"/>
      <c r="V126" s="7688"/>
      <c r="W126" s="1556"/>
      <c r="X126" s="1556"/>
      <c r="Y126" s="1556"/>
      <c r="Z126" s="1556"/>
      <c r="AA126" s="1556"/>
      <c r="AB126" s="1556"/>
      <c r="AC126" s="948"/>
      <c r="AD126" s="949"/>
      <c r="AE126" s="1556"/>
      <c r="AF126" s="1556"/>
      <c r="AG126" s="1556"/>
      <c r="AH126" s="1556"/>
      <c r="AI126" s="1556"/>
      <c r="AJ126" s="1556"/>
      <c r="AK126" s="1556"/>
      <c r="AL126" s="1556"/>
      <c r="AM126" s="1556"/>
      <c r="AN126" s="1556"/>
      <c r="AO126" s="1556"/>
      <c r="AP126" s="1556"/>
      <c r="AQ126" s="1556"/>
      <c r="AR126" s="1556"/>
      <c r="AS126" s="1556"/>
      <c r="AT126" s="1556"/>
      <c r="AU126" s="1556"/>
      <c r="AV126" s="1556"/>
      <c r="AW126" s="1556"/>
      <c r="AX126" s="1556"/>
      <c r="AY126" s="1556"/>
      <c r="AZ126" s="1556"/>
      <c r="BA126" s="1556"/>
      <c r="BB126" s="1556"/>
      <c r="BC126" s="1556"/>
      <c r="BD126" s="1556"/>
      <c r="BE126" s="1556"/>
      <c r="BF126" s="1556"/>
      <c r="BG126" s="1556"/>
      <c r="BH126" s="1556"/>
      <c r="BI126" s="1556"/>
      <c r="BJ126" s="1556"/>
      <c r="BK126" s="1556"/>
      <c r="BL126" s="1556"/>
      <c r="BM126" s="1556"/>
      <c r="BN126" s="1556"/>
      <c r="BO126" s="1556"/>
      <c r="BP126" s="1556"/>
      <c r="BQ126" s="1556"/>
      <c r="BR126" s="1556"/>
      <c r="BS126" s="1556"/>
      <c r="BT126" s="1556"/>
      <c r="BU126" s="1556"/>
      <c r="BV126" s="1556"/>
      <c r="BW126" s="1556"/>
      <c r="BX126" s="1556"/>
      <c r="BY126" s="1556"/>
      <c r="BZ126" s="1556"/>
      <c r="CA126" s="1556"/>
      <c r="CB126" s="1556"/>
      <c r="CC126" s="1556"/>
      <c r="CD126" s="1556"/>
      <c r="CE126" s="1556"/>
    </row>
    <row r="127" spans="1:83" s="1239" customFormat="1" ht="5.25" hidden="1" customHeight="1">
      <c r="A127" s="1713"/>
      <c r="B127" s="1556"/>
      <c r="C127" s="1556"/>
      <c r="D127" s="7922"/>
      <c r="E127" s="954"/>
      <c r="F127" s="955"/>
      <c r="G127" s="955"/>
      <c r="H127" s="956"/>
      <c r="I127" s="956"/>
      <c r="J127" s="956"/>
      <c r="K127" s="956"/>
      <c r="L127" s="956"/>
      <c r="M127" s="956"/>
      <c r="N127" s="956"/>
      <c r="O127" s="956"/>
      <c r="P127" s="956"/>
      <c r="Q127" s="956"/>
      <c r="R127" s="857"/>
      <c r="S127" s="957"/>
      <c r="T127" s="635"/>
      <c r="U127" s="7688"/>
      <c r="V127" s="7688"/>
      <c r="W127" s="1556"/>
      <c r="X127" s="1556"/>
      <c r="Y127" s="1556"/>
      <c r="Z127" s="1556"/>
      <c r="AA127" s="1556"/>
      <c r="AB127" s="1556"/>
      <c r="AC127" s="948"/>
      <c r="AD127" s="949"/>
      <c r="AE127" s="1556"/>
      <c r="AF127" s="1556"/>
      <c r="AG127" s="1556"/>
      <c r="AH127" s="1556"/>
      <c r="AI127" s="1556"/>
      <c r="AJ127" s="1556"/>
      <c r="AK127" s="1556"/>
      <c r="AL127" s="1556"/>
      <c r="AM127" s="1556"/>
      <c r="AN127" s="1556"/>
      <c r="AO127" s="1556"/>
      <c r="AP127" s="1556"/>
      <c r="AQ127" s="1556"/>
      <c r="AR127" s="1556"/>
      <c r="AS127" s="1556"/>
      <c r="AT127" s="1556"/>
      <c r="AU127" s="1556"/>
      <c r="AV127" s="1556"/>
      <c r="AW127" s="1556"/>
      <c r="AX127" s="1556"/>
      <c r="AY127" s="1556"/>
      <c r="AZ127" s="1556"/>
      <c r="BA127" s="1556"/>
      <c r="BB127" s="1556"/>
      <c r="BC127" s="1556"/>
      <c r="BD127" s="1556"/>
      <c r="BE127" s="1556"/>
      <c r="BF127" s="1556"/>
      <c r="BG127" s="1556"/>
      <c r="BH127" s="1556"/>
      <c r="BI127" s="1556"/>
      <c r="BJ127" s="1556"/>
      <c r="BK127" s="1556"/>
      <c r="BL127" s="1556"/>
      <c r="BM127" s="1556"/>
      <c r="BN127" s="1556"/>
      <c r="BO127" s="1556"/>
      <c r="BP127" s="1556"/>
      <c r="BQ127" s="1556"/>
      <c r="BR127" s="1556"/>
      <c r="BS127" s="1556"/>
      <c r="BT127" s="1556"/>
      <c r="BU127" s="1556"/>
      <c r="BV127" s="1556"/>
      <c r="BW127" s="1556"/>
      <c r="BX127" s="1556"/>
      <c r="BY127" s="1556"/>
      <c r="BZ127" s="1556"/>
      <c r="CA127" s="1556"/>
      <c r="CB127" s="1556"/>
      <c r="CC127" s="1556"/>
      <c r="CD127" s="1556"/>
      <c r="CE127" s="1556"/>
    </row>
    <row r="128" spans="1:83" ht="17.25" customHeight="1">
      <c r="D128" s="1754"/>
    </row>
    <row r="129" spans="1:29" s="1735" customFormat="1" ht="11.25" customHeight="1">
      <c r="A129" s="1735" t="s">
        <v>1474</v>
      </c>
    </row>
    <row r="131" spans="1:29" s="1827" customFormat="1" ht="45" customHeight="1">
      <c r="A131" s="1726"/>
      <c r="B131" s="1065"/>
      <c r="C131" s="341"/>
      <c r="D131"/>
      <c r="E131" s="7913"/>
      <c r="F131" s="7541" t="s">
        <v>97</v>
      </c>
      <c r="G131" s="7916" t="s">
        <v>24</v>
      </c>
      <c r="H131" s="204"/>
      <c r="I131" s="555" t="s">
        <v>97</v>
      </c>
      <c r="J131" s="1727" t="s">
        <v>1475</v>
      </c>
      <c r="K131" s="556" t="s">
        <v>715</v>
      </c>
      <c r="L131" s="7662" t="s">
        <v>715</v>
      </c>
      <c r="M131" s="7587"/>
      <c r="N131" s="556" t="s">
        <v>715</v>
      </c>
      <c r="O131" s="556" t="s">
        <v>715</v>
      </c>
      <c r="P131" s="556" t="s">
        <v>715</v>
      </c>
      <c r="Q131" s="557">
        <f>SUM(Q132:Q134)</f>
        <v>0</v>
      </c>
      <c r="R131" s="557">
        <f>IF(R128=0,0,(Q128/R128)*100)</f>
        <v>0</v>
      </c>
      <c r="S131" s="7623"/>
      <c r="T131" s="634" t="s">
        <v>781</v>
      </c>
      <c r="U131"/>
      <c r="V131"/>
      <c r="AC131"/>
    </row>
    <row r="132" spans="1:29" s="1827" customFormat="1" ht="11.25" customHeight="1">
      <c r="A132" s="1726"/>
      <c r="B132" s="1065"/>
      <c r="C132" s="341"/>
      <c r="D132"/>
      <c r="E132" s="7914"/>
      <c r="F132" s="7541"/>
      <c r="G132" s="7916"/>
      <c r="H132" s="7559"/>
      <c r="I132" s="7809" t="s">
        <v>1105</v>
      </c>
      <c r="J132" s="7918"/>
      <c r="K132" s="7919"/>
      <c r="L132" s="558"/>
      <c r="M132" s="559" t="s">
        <v>97</v>
      </c>
      <c r="N132" s="1715"/>
      <c r="O132" s="560"/>
      <c r="P132" s="561"/>
      <c r="Q132" s="560"/>
      <c r="R132" s="562">
        <v>0</v>
      </c>
      <c r="S132" s="7623"/>
      <c r="T132" s="634"/>
      <c r="U132"/>
      <c r="V132"/>
      <c r="AC132"/>
    </row>
    <row r="133" spans="1:29" s="1827" customFormat="1" ht="11.25" customHeight="1">
      <c r="A133" s="1726"/>
      <c r="B133" s="1065"/>
      <c r="C133" s="341"/>
      <c r="D133"/>
      <c r="E133" s="7914"/>
      <c r="F133" s="7541"/>
      <c r="G133" s="7916"/>
      <c r="H133" s="7559"/>
      <c r="I133" s="7809"/>
      <c r="J133" s="7918"/>
      <c r="K133" s="7874"/>
      <c r="L133" s="563"/>
      <c r="M133" s="564"/>
      <c r="N133" s="565" t="s">
        <v>1476</v>
      </c>
      <c r="O133" s="565"/>
      <c r="P133" s="565"/>
      <c r="Q133" s="565"/>
      <c r="R133" s="566"/>
      <c r="S133" s="7623"/>
      <c r="T133" s="634"/>
      <c r="U133"/>
      <c r="V133"/>
      <c r="AC133"/>
    </row>
    <row r="134" spans="1:29" s="1827" customFormat="1" ht="11.25" customHeight="1">
      <c r="A134" s="1726"/>
      <c r="B134" s="1065"/>
      <c r="C134" s="341"/>
      <c r="D134"/>
      <c r="E134" s="7915"/>
      <c r="F134" s="7541"/>
      <c r="G134" s="7917"/>
      <c r="H134" s="563" t="s">
        <v>24</v>
      </c>
      <c r="I134" s="564"/>
      <c r="J134" s="565" t="s">
        <v>1477</v>
      </c>
      <c r="K134" s="565"/>
      <c r="L134" s="565"/>
      <c r="M134" s="565"/>
      <c r="N134" s="565"/>
      <c r="O134" s="565"/>
      <c r="P134" s="565"/>
      <c r="Q134" s="565"/>
      <c r="R134" s="566"/>
      <c r="S134" s="7623"/>
      <c r="T134" s="634"/>
      <c r="U134"/>
      <c r="V134"/>
      <c r="AC134"/>
    </row>
    <row r="139" spans="1:29" s="1827" customFormat="1" ht="11.25" customHeight="1">
      <c r="A139" s="1726"/>
      <c r="B139" s="1065"/>
      <c r="C139" s="341"/>
      <c r="D139"/>
      <c r="E139" s="1749"/>
      <c r="F139" s="1749"/>
      <c r="G139" s="1749"/>
      <c r="H139" s="7559"/>
      <c r="I139" s="7809" t="s">
        <v>1105</v>
      </c>
      <c r="J139" s="7918"/>
      <c r="K139" s="7919"/>
      <c r="L139" s="558"/>
      <c r="M139" s="559" t="s">
        <v>97</v>
      </c>
      <c r="N139" s="1715"/>
      <c r="O139" s="560"/>
      <c r="P139" s="561"/>
      <c r="Q139" s="560"/>
      <c r="R139" s="562">
        <v>0</v>
      </c>
      <c r="S139"/>
      <c r="T139" s="634"/>
      <c r="U139"/>
      <c r="V139"/>
      <c r="AC139"/>
    </row>
    <row r="140" spans="1:29" s="1827" customFormat="1" ht="11.25" customHeight="1">
      <c r="A140" s="1726"/>
      <c r="B140" s="1065"/>
      <c r="C140" s="341"/>
      <c r="D140"/>
      <c r="E140" s="1749"/>
      <c r="F140" s="1749"/>
      <c r="G140" s="1749"/>
      <c r="H140" s="7559"/>
      <c r="I140" s="7809"/>
      <c r="J140" s="7918"/>
      <c r="K140" s="7874"/>
      <c r="L140" s="563"/>
      <c r="M140" s="564"/>
      <c r="N140" s="565" t="s">
        <v>1476</v>
      </c>
      <c r="O140" s="565"/>
      <c r="P140" s="565"/>
      <c r="Q140" s="565"/>
      <c r="R140" s="566"/>
      <c r="S140"/>
      <c r="T140" s="634"/>
      <c r="U140"/>
      <c r="V140"/>
      <c r="AC140"/>
    </row>
    <row r="142" spans="1:29" s="1827" customFormat="1" ht="11.25" customHeight="1">
      <c r="A142" s="1726"/>
      <c r="B142" s="1065"/>
      <c r="C142" s="341"/>
      <c r="D142"/>
      <c r="E142" s="1755"/>
      <c r="F142"/>
      <c r="G142"/>
      <c r="H142" s="1756"/>
      <c r="I142" s="1749"/>
      <c r="J142" s="1750"/>
      <c r="K142" s="1750"/>
      <c r="L142" s="558"/>
      <c r="M142" s="559" t="s">
        <v>97</v>
      </c>
      <c r="N142" s="1715"/>
      <c r="O142" s="560"/>
      <c r="P142" s="561"/>
      <c r="Q142" s="560"/>
      <c r="R142" s="562">
        <v>0</v>
      </c>
      <c r="S142"/>
      <c r="T142" s="634"/>
      <c r="U142"/>
      <c r="V142"/>
      <c r="AC142"/>
    </row>
    <row r="144" spans="1:29" s="1735" customFormat="1" ht="17.25" customHeight="1">
      <c r="A144" s="1735" t="s">
        <v>1478</v>
      </c>
    </row>
    <row r="145" spans="1:43" ht="17.25" customHeight="1">
      <c r="G145" s="1757"/>
      <c r="H145" s="1757"/>
      <c r="I145" s="1757"/>
      <c r="M145"/>
    </row>
    <row r="146" spans="1:43" s="1771" customFormat="1" ht="17.25" customHeight="1">
      <c r="A146" s="1758"/>
      <c r="C146" s="1760"/>
      <c r="D146" s="7612"/>
      <c r="E146" s="7575"/>
      <c r="F146" s="7577"/>
      <c r="G146" s="7591"/>
      <c r="H146" s="7612"/>
      <c r="I146" s="7612">
        <v>1</v>
      </c>
      <c r="J146" s="7611"/>
      <c r="K146" s="7614" t="s">
        <v>60</v>
      </c>
      <c r="L146" s="7541"/>
      <c r="M146" s="7541" t="s">
        <v>97</v>
      </c>
      <c r="N146" s="7616" t="str">
        <f>IF(Z146="","",INDEX(TERRITORY_MR_LIST,MATCH(Z146,TERRITORY_LIST_ID,0)))</f>
        <v/>
      </c>
      <c r="O146" s="7614" t="s">
        <v>60</v>
      </c>
      <c r="P146" s="7541"/>
      <c r="Q146" s="7541" t="s">
        <v>97</v>
      </c>
      <c r="R146" s="7874" t="s">
        <v>24</v>
      </c>
      <c r="S146" s="7540" t="s">
        <v>60</v>
      </c>
      <c r="T146" s="1731"/>
      <c r="U146" s="1731" t="s">
        <v>97</v>
      </c>
      <c r="V146" s="1761" t="s">
        <v>24</v>
      </c>
      <c r="W146" s="1721"/>
      <c r="Y146" s="1191"/>
      <c r="Z146" s="1191"/>
      <c r="AA146" s="1191"/>
      <c r="AB146" s="1191"/>
      <c r="AC146" s="1191"/>
      <c r="AD146" s="1191"/>
      <c r="AE146" s="1191"/>
      <c r="AF146" s="1191"/>
      <c r="AG146" s="1191"/>
      <c r="AH146" s="1191"/>
      <c r="AI146" s="1191"/>
      <c r="AJ146" s="1191"/>
      <c r="AK146" s="1191"/>
      <c r="AL146" s="1762"/>
      <c r="AM146" s="1762"/>
      <c r="AN146" s="1191"/>
      <c r="AO146" s="1191"/>
      <c r="AP146" s="1191"/>
      <c r="AQ146" s="1191"/>
    </row>
    <row r="147" spans="1:43" s="1771" customFormat="1" ht="17.25" customHeight="1">
      <c r="A147" s="1758"/>
      <c r="C147" s="1763"/>
      <c r="D147" s="7612"/>
      <c r="E147" s="7575"/>
      <c r="F147" s="7578"/>
      <c r="G147" s="7591"/>
      <c r="H147" s="7612"/>
      <c r="I147" s="7612"/>
      <c r="J147" s="7611"/>
      <c r="K147" s="7615"/>
      <c r="L147" s="7541"/>
      <c r="M147" s="7541"/>
      <c r="N147" s="7616"/>
      <c r="O147" s="7615"/>
      <c r="P147" s="7541"/>
      <c r="Q147" s="7541"/>
      <c r="R147" s="7874"/>
      <c r="S147" s="7540"/>
      <c r="T147" s="236"/>
      <c r="U147" s="237"/>
      <c r="V147" s="237" t="s">
        <v>590</v>
      </c>
      <c r="W147" s="238"/>
      <c r="Y147" s="1184"/>
      <c r="Z147" s="1184"/>
      <c r="AA147" s="1184"/>
      <c r="AB147" s="1184"/>
      <c r="AC147" s="1184"/>
      <c r="AD147" s="1184"/>
      <c r="AE147" s="1184"/>
      <c r="AF147" s="1184"/>
      <c r="AG147" s="1184"/>
      <c r="AH147" s="1184"/>
      <c r="AI147" s="1184"/>
      <c r="AJ147" s="1184"/>
      <c r="AK147" s="1184"/>
    </row>
    <row r="148" spans="1:43" s="1771" customFormat="1" ht="17.25" customHeight="1">
      <c r="A148" s="1758"/>
      <c r="C148" s="1763"/>
      <c r="D148" s="7574"/>
      <c r="E148" s="7576"/>
      <c r="F148" s="7578"/>
      <c r="G148" s="7593"/>
      <c r="H148" s="7574"/>
      <c r="I148" s="7574"/>
      <c r="J148" s="7613"/>
      <c r="K148" s="7615"/>
      <c r="L148" s="7574"/>
      <c r="M148" s="7574"/>
      <c r="N148" s="7617"/>
      <c r="O148" s="7545"/>
      <c r="P148" s="236"/>
      <c r="Q148" s="237"/>
      <c r="R148" s="237" t="s">
        <v>325</v>
      </c>
      <c r="S148" s="1764"/>
      <c r="T148" s="1764"/>
      <c r="U148" s="1764"/>
      <c r="V148" s="1764"/>
      <c r="W148" s="238"/>
      <c r="Y148" s="1184"/>
      <c r="Z148" s="1184"/>
      <c r="AA148" s="1184"/>
      <c r="AB148" s="1184"/>
      <c r="AC148" s="1184"/>
      <c r="AD148" s="1184"/>
      <c r="AE148" s="1184"/>
      <c r="AF148" s="1184"/>
      <c r="AG148" s="1184"/>
      <c r="AH148" s="1184"/>
      <c r="AI148" s="1184"/>
      <c r="AJ148" s="1184"/>
      <c r="AK148" s="1184"/>
    </row>
    <row r="149" spans="1:43" s="1771" customFormat="1" ht="17.25" customHeight="1">
      <c r="A149" s="1758"/>
      <c r="C149" s="1763"/>
      <c r="D149" s="7574"/>
      <c r="E149" s="7576"/>
      <c r="F149" s="7578"/>
      <c r="G149" s="7593"/>
      <c r="H149" s="7574"/>
      <c r="I149" s="7574"/>
      <c r="J149" s="7613"/>
      <c r="K149" s="7545"/>
      <c r="L149" s="236"/>
      <c r="M149" s="237"/>
      <c r="N149" s="237" t="s">
        <v>326</v>
      </c>
      <c r="O149" s="237"/>
      <c r="P149" s="237"/>
      <c r="Q149" s="237"/>
      <c r="R149" s="237"/>
      <c r="S149" s="1764"/>
      <c r="T149" s="1764"/>
      <c r="U149" s="1764"/>
      <c r="V149" s="1764"/>
      <c r="W149" s="238"/>
      <c r="Y149" s="1184"/>
      <c r="Z149" s="1184"/>
      <c r="AA149" s="1184"/>
      <c r="AB149" s="1184"/>
      <c r="AC149" s="1184"/>
      <c r="AD149" s="1184"/>
      <c r="AE149" s="1184"/>
      <c r="AF149" s="1184"/>
      <c r="AG149" s="1184"/>
      <c r="AH149" s="1184"/>
      <c r="AI149" s="1184"/>
      <c r="AJ149" s="1184"/>
      <c r="AK149" s="1184"/>
    </row>
    <row r="150" spans="1:43" s="1771" customFormat="1" ht="17.25" customHeight="1">
      <c r="A150" s="1758"/>
      <c r="C150" s="1763"/>
      <c r="D150" s="7574"/>
      <c r="E150" s="7576"/>
      <c r="F150" s="7579"/>
      <c r="G150" s="7593"/>
      <c r="H150" s="236"/>
      <c r="I150" s="237"/>
      <c r="J150" s="237" t="s">
        <v>402</v>
      </c>
      <c r="K150" s="237"/>
      <c r="L150" s="237"/>
      <c r="M150" s="237"/>
      <c r="N150" s="237"/>
      <c r="O150" s="237"/>
      <c r="P150" s="237"/>
      <c r="Q150" s="237"/>
      <c r="R150" s="237"/>
      <c r="S150" s="1764"/>
      <c r="T150" s="1764"/>
      <c r="U150" s="1764"/>
      <c r="V150" s="1764"/>
      <c r="W150" s="238"/>
      <c r="Y150" s="1184"/>
      <c r="Z150" s="1184"/>
      <c r="AA150" s="1184"/>
      <c r="AB150" s="1184"/>
      <c r="AC150" s="1184"/>
      <c r="AD150" s="1184"/>
      <c r="AE150" s="1184"/>
      <c r="AF150" s="1184"/>
      <c r="AG150" s="1184"/>
      <c r="AH150" s="1184"/>
      <c r="AI150" s="1184"/>
      <c r="AJ150" s="1184"/>
      <c r="AK150" s="1184"/>
    </row>
    <row r="151" spans="1:43" ht="17.25" customHeight="1">
      <c r="G151" s="1757"/>
      <c r="H151" s="1757"/>
      <c r="I151" s="1757"/>
      <c r="M151"/>
    </row>
    <row r="152" spans="1:43" s="1771" customFormat="1" ht="17.25" customHeight="1">
      <c r="A152" s="1758"/>
      <c r="C152" s="1760"/>
      <c r="D152" s="1749"/>
      <c r="E152" s="1765"/>
      <c r="F152" s="1704"/>
      <c r="G152" s="1766"/>
      <c r="H152" s="7612"/>
      <c r="I152" s="7612">
        <v>1</v>
      </c>
      <c r="J152" s="7611"/>
      <c r="K152" s="7614" t="s">
        <v>60</v>
      </c>
      <c r="L152" s="7541"/>
      <c r="M152" s="7541" t="s">
        <v>97</v>
      </c>
      <c r="N152" s="7616" t="str">
        <f>IF(Z152="","",INDEX(TERRITORY_MR_LIST,MATCH(Z152,TERRITORY_LIST_ID,0)))</f>
        <v/>
      </c>
      <c r="O152" s="7614" t="s">
        <v>60</v>
      </c>
      <c r="P152" s="7541"/>
      <c r="Q152" s="7541" t="s">
        <v>97</v>
      </c>
      <c r="R152" s="7874" t="s">
        <v>24</v>
      </c>
      <c r="S152" s="7540" t="s">
        <v>60</v>
      </c>
      <c r="T152" s="1731"/>
      <c r="U152" s="1731" t="s">
        <v>97</v>
      </c>
      <c r="V152" s="1761" t="s">
        <v>24</v>
      </c>
      <c r="W152" s="1721"/>
      <c r="Y152" s="1191"/>
      <c r="Z152" s="1191"/>
      <c r="AA152" s="1191"/>
      <c r="AB152" s="1191"/>
      <c r="AC152" s="1191"/>
      <c r="AD152" s="1191"/>
      <c r="AE152" s="1191"/>
      <c r="AF152" s="1191"/>
      <c r="AG152" s="1191"/>
      <c r="AH152" s="1191"/>
      <c r="AI152" s="1191"/>
      <c r="AJ152" s="1191"/>
      <c r="AK152" s="1191"/>
      <c r="AL152" s="1762"/>
      <c r="AM152" s="1762"/>
      <c r="AN152" s="1191"/>
      <c r="AO152" s="1191"/>
      <c r="AP152" s="1191"/>
      <c r="AQ152" s="1191"/>
    </row>
    <row r="153" spans="1:43" s="1771" customFormat="1" ht="17.25" customHeight="1">
      <c r="A153" s="1758"/>
      <c r="C153" s="1763"/>
      <c r="D153" s="1749"/>
      <c r="E153" s="1765"/>
      <c r="F153" s="1704"/>
      <c r="G153" s="1766"/>
      <c r="H153" s="7612"/>
      <c r="I153" s="7612"/>
      <c r="J153" s="7611"/>
      <c r="K153" s="7615"/>
      <c r="L153" s="7541"/>
      <c r="M153" s="7541"/>
      <c r="N153" s="7616"/>
      <c r="O153" s="7615"/>
      <c r="P153" s="7541"/>
      <c r="Q153" s="7541"/>
      <c r="R153" s="7874"/>
      <c r="S153" s="7540"/>
      <c r="T153" s="236"/>
      <c r="U153" s="237"/>
      <c r="V153" s="237" t="s">
        <v>590</v>
      </c>
      <c r="W153" s="238"/>
      <c r="Y153" s="1184"/>
      <c r="Z153" s="1184"/>
      <c r="AA153" s="1184"/>
      <c r="AB153" s="1184"/>
      <c r="AC153" s="1184"/>
      <c r="AD153" s="1184"/>
      <c r="AE153" s="1184"/>
      <c r="AF153" s="1184"/>
      <c r="AG153" s="1184"/>
      <c r="AH153" s="1184"/>
      <c r="AI153" s="1184"/>
      <c r="AJ153" s="1184"/>
      <c r="AK153" s="1184"/>
    </row>
    <row r="154" spans="1:43" s="1771" customFormat="1" ht="17.25" customHeight="1">
      <c r="A154" s="1758"/>
      <c r="C154" s="1763"/>
      <c r="D154" s="1749"/>
      <c r="E154" s="1765"/>
      <c r="F154" s="1704"/>
      <c r="G154" s="1766"/>
      <c r="H154" s="7574"/>
      <c r="I154" s="7574"/>
      <c r="J154" s="7613"/>
      <c r="K154" s="7615"/>
      <c r="L154" s="7574"/>
      <c r="M154" s="7574"/>
      <c r="N154" s="7617"/>
      <c r="O154" s="7545"/>
      <c r="P154" s="236"/>
      <c r="Q154" s="237"/>
      <c r="R154" s="237" t="s">
        <v>325</v>
      </c>
      <c r="S154" s="1764"/>
      <c r="T154" s="1764"/>
      <c r="U154" s="1764"/>
      <c r="V154" s="1764"/>
      <c r="W154" s="238"/>
      <c r="Y154" s="1184"/>
      <c r="Z154" s="1184"/>
      <c r="AA154" s="1184"/>
      <c r="AB154" s="1184"/>
      <c r="AC154" s="1184"/>
      <c r="AD154" s="1184"/>
      <c r="AE154" s="1184"/>
      <c r="AF154" s="1184"/>
      <c r="AG154" s="1184"/>
      <c r="AH154" s="1184"/>
      <c r="AI154" s="1184"/>
      <c r="AJ154" s="1184"/>
      <c r="AK154" s="1184"/>
    </row>
    <row r="155" spans="1:43" s="1771" customFormat="1" ht="17.25" customHeight="1">
      <c r="A155" s="1758"/>
      <c r="C155" s="1763"/>
      <c r="D155" s="1749"/>
      <c r="E155" s="1765"/>
      <c r="F155" s="1704"/>
      <c r="G155" s="1766"/>
      <c r="H155" s="7574"/>
      <c r="I155" s="7574"/>
      <c r="J155" s="7613"/>
      <c r="K155" s="7545"/>
      <c r="L155" s="236"/>
      <c r="M155" s="237"/>
      <c r="N155" s="237" t="s">
        <v>326</v>
      </c>
      <c r="O155" s="237"/>
      <c r="P155" s="237"/>
      <c r="Q155" s="237"/>
      <c r="R155" s="237"/>
      <c r="S155" s="1764"/>
      <c r="T155" s="1764"/>
      <c r="U155" s="1764"/>
      <c r="V155" s="1764"/>
      <c r="W155" s="238"/>
      <c r="Y155" s="1184"/>
      <c r="Z155" s="1184"/>
      <c r="AA155" s="1184"/>
      <c r="AB155" s="1184"/>
      <c r="AC155" s="1184"/>
      <c r="AD155" s="1184"/>
      <c r="AE155" s="1184"/>
      <c r="AF155" s="1184"/>
      <c r="AG155" s="1184"/>
      <c r="AH155" s="1184"/>
      <c r="AI155" s="1184"/>
      <c r="AJ155" s="1184"/>
      <c r="AK155" s="1184"/>
    </row>
    <row r="156" spans="1:43" ht="17.25" customHeight="1">
      <c r="G156" s="1757"/>
      <c r="H156" s="1757"/>
      <c r="I156" s="1757"/>
      <c r="M156"/>
    </row>
    <row r="157" spans="1:43" s="1771" customFormat="1" ht="17.25" customHeight="1">
      <c r="A157" s="1758"/>
      <c r="C157" s="1760"/>
      <c r="D157" s="1749"/>
      <c r="E157" s="1765"/>
      <c r="F157" s="1704"/>
      <c r="G157" s="1766"/>
      <c r="H157" s="1749"/>
      <c r="I157" s="1749"/>
      <c r="J157" s="1767"/>
      <c r="K157" s="1679"/>
      <c r="L157" s="7541"/>
      <c r="M157" s="7541" t="s">
        <v>97</v>
      </c>
      <c r="N157" s="7616" t="str">
        <f>IF(Z157="","",INDEX(TERRITORY_MR_LIST,MATCH(Z157,TERRITORY_LIST_ID,0)))</f>
        <v/>
      </c>
      <c r="O157" s="7614" t="s">
        <v>60</v>
      </c>
      <c r="P157" s="7541"/>
      <c r="Q157" s="7541" t="s">
        <v>97</v>
      </c>
      <c r="R157" s="7874" t="s">
        <v>24</v>
      </c>
      <c r="S157" s="7540" t="s">
        <v>60</v>
      </c>
      <c r="T157" s="1731"/>
      <c r="U157" s="1731" t="s">
        <v>97</v>
      </c>
      <c r="V157" s="1761" t="s">
        <v>24</v>
      </c>
      <c r="W157" s="1721"/>
      <c r="Y157" s="1191"/>
      <c r="Z157" s="1191"/>
      <c r="AA157" s="1191"/>
      <c r="AB157" s="1191"/>
      <c r="AC157" s="1191"/>
      <c r="AD157" s="1191"/>
      <c r="AE157" s="1191"/>
      <c r="AF157" s="1191"/>
      <c r="AG157" s="1191"/>
      <c r="AH157" s="1191"/>
      <c r="AI157" s="1191"/>
      <c r="AJ157" s="1191"/>
      <c r="AK157" s="1191"/>
      <c r="AL157" s="1762"/>
      <c r="AM157" s="1762"/>
      <c r="AN157" s="1191"/>
      <c r="AO157" s="1191"/>
      <c r="AP157" s="1191"/>
      <c r="AQ157" s="1191"/>
    </row>
    <row r="158" spans="1:43" s="1771" customFormat="1" ht="17.25" customHeight="1">
      <c r="A158" s="1758"/>
      <c r="C158" s="1763"/>
      <c r="D158" s="1749"/>
      <c r="E158" s="1765"/>
      <c r="F158" s="1704"/>
      <c r="G158" s="1766"/>
      <c r="H158" s="1749"/>
      <c r="I158" s="1749"/>
      <c r="J158" s="1767"/>
      <c r="K158" s="1679"/>
      <c r="L158" s="7541"/>
      <c r="M158" s="7541"/>
      <c r="N158" s="7616"/>
      <c r="O158" s="7615"/>
      <c r="P158" s="7541"/>
      <c r="Q158" s="7541"/>
      <c r="R158" s="7874"/>
      <c r="S158" s="7540"/>
      <c r="T158" s="236"/>
      <c r="U158" s="237"/>
      <c r="V158" s="237" t="s">
        <v>590</v>
      </c>
      <c r="W158" s="238"/>
      <c r="Y158" s="1184"/>
      <c r="Z158" s="1184"/>
      <c r="AA158" s="1184"/>
      <c r="AB158" s="1184"/>
      <c r="AC158" s="1184"/>
      <c r="AD158" s="1184"/>
      <c r="AE158" s="1184"/>
      <c r="AF158" s="1184"/>
      <c r="AG158" s="1184"/>
      <c r="AH158" s="1184"/>
      <c r="AI158" s="1184"/>
      <c r="AJ158" s="1184"/>
      <c r="AK158" s="1184"/>
    </row>
    <row r="159" spans="1:43" s="1771" customFormat="1" ht="17.25" customHeight="1">
      <c r="A159" s="1758"/>
      <c r="C159" s="1763"/>
      <c r="D159" s="1749"/>
      <c r="E159" s="1765"/>
      <c r="F159" s="1704"/>
      <c r="G159" s="1766"/>
      <c r="H159" s="1749"/>
      <c r="I159" s="1749"/>
      <c r="J159" s="1767"/>
      <c r="K159" s="1679"/>
      <c r="L159" s="7574"/>
      <c r="M159" s="7574"/>
      <c r="N159" s="7617"/>
      <c r="O159" s="7545"/>
      <c r="P159" s="236"/>
      <c r="Q159" s="237"/>
      <c r="R159" s="237" t="s">
        <v>325</v>
      </c>
      <c r="S159" s="1764"/>
      <c r="T159" s="1764"/>
      <c r="U159" s="1764"/>
      <c r="V159" s="1764"/>
      <c r="W159" s="238"/>
      <c r="Y159" s="1184"/>
      <c r="Z159" s="1184"/>
      <c r="AA159" s="1184"/>
      <c r="AB159" s="1184"/>
      <c r="AC159" s="1184"/>
      <c r="AD159" s="1184"/>
      <c r="AE159" s="1184"/>
      <c r="AF159" s="1184"/>
      <c r="AG159" s="1184"/>
      <c r="AH159" s="1184"/>
      <c r="AI159" s="1184"/>
      <c r="AJ159" s="1184"/>
      <c r="AK159" s="1184"/>
    </row>
    <row r="160" spans="1:43" ht="17.25" customHeight="1">
      <c r="G160" s="1757"/>
      <c r="H160" s="1757"/>
      <c r="I160" s="1757"/>
      <c r="M160"/>
    </row>
    <row r="161" spans="1:43" s="1771" customFormat="1" ht="17.25" customHeight="1">
      <c r="A161" s="1758"/>
      <c r="C161" s="1760"/>
      <c r="D161" s="1749"/>
      <c r="E161" s="1765"/>
      <c r="F161" s="1704"/>
      <c r="G161" s="1766"/>
      <c r="H161" s="1749"/>
      <c r="I161" s="1749"/>
      <c r="J161" s="1767"/>
      <c r="K161" s="1679"/>
      <c r="L161" s="1675"/>
      <c r="M161" s="1675"/>
      <c r="N161" s="1768"/>
      <c r="O161" s="1707"/>
      <c r="P161" s="7541"/>
      <c r="Q161" s="7541" t="s">
        <v>97</v>
      </c>
      <c r="R161" s="7874" t="s">
        <v>24</v>
      </c>
      <c r="S161" s="7540" t="s">
        <v>60</v>
      </c>
      <c r="T161" s="1731"/>
      <c r="U161" s="1731" t="s">
        <v>97</v>
      </c>
      <c r="V161" s="1761" t="s">
        <v>24</v>
      </c>
      <c r="W161" s="1721"/>
      <c r="Y161" s="1191"/>
      <c r="Z161" s="1191"/>
      <c r="AA161" s="1191"/>
      <c r="AB161" s="1191"/>
      <c r="AC161" s="1191"/>
      <c r="AD161" s="1191"/>
      <c r="AE161" s="1191"/>
      <c r="AF161" s="1191"/>
      <c r="AG161" s="1191"/>
      <c r="AH161" s="1191"/>
      <c r="AI161" s="1191"/>
      <c r="AJ161" s="1191"/>
      <c r="AK161" s="1191"/>
      <c r="AL161" s="1762"/>
      <c r="AM161" s="1762"/>
      <c r="AN161" s="1191"/>
      <c r="AO161" s="1191"/>
      <c r="AP161" s="1191"/>
      <c r="AQ161" s="1191"/>
    </row>
    <row r="162" spans="1:43" s="1771" customFormat="1" ht="17.25" customHeight="1">
      <c r="A162" s="1758"/>
      <c r="C162" s="1763"/>
      <c r="D162" s="1749"/>
      <c r="E162" s="1765"/>
      <c r="F162" s="1704"/>
      <c r="G162" s="1766"/>
      <c r="H162" s="1749"/>
      <c r="I162" s="1749"/>
      <c r="J162" s="1767"/>
      <c r="K162" s="1679"/>
      <c r="L162" s="1675"/>
      <c r="M162" s="1675"/>
      <c r="N162" s="1768"/>
      <c r="O162" s="1707"/>
      <c r="P162" s="7541"/>
      <c r="Q162" s="7541"/>
      <c r="R162" s="7874"/>
      <c r="S162" s="7540"/>
      <c r="T162" s="236"/>
      <c r="U162" s="237"/>
      <c r="V162" s="237" t="s">
        <v>590</v>
      </c>
      <c r="W162" s="238"/>
      <c r="Y162" s="1184"/>
      <c r="Z162" s="1184"/>
      <c r="AA162" s="1184"/>
      <c r="AB162" s="1184"/>
      <c r="AC162" s="1184"/>
      <c r="AD162" s="1184"/>
      <c r="AE162" s="1184"/>
      <c r="AF162" s="1184"/>
      <c r="AG162" s="1184"/>
      <c r="AH162" s="1184"/>
      <c r="AI162" s="1184"/>
      <c r="AJ162" s="1184"/>
      <c r="AK162" s="1184"/>
    </row>
    <row r="163" spans="1:43" ht="17.25" customHeight="1">
      <c r="G163" s="1757"/>
      <c r="H163" s="1757"/>
      <c r="I163" s="1757"/>
      <c r="M163"/>
    </row>
    <row r="164" spans="1:43" s="1771" customFormat="1" ht="17.25" customHeight="1">
      <c r="A164" s="1758"/>
      <c r="C164" s="1760"/>
      <c r="D164" s="1749"/>
      <c r="E164" s="1765"/>
      <c r="F164" s="1704"/>
      <c r="G164" s="1766"/>
      <c r="H164" s="1675"/>
      <c r="I164" s="1675"/>
      <c r="J164" s="1676"/>
      <c r="K164" s="1766"/>
      <c r="L164" s="1675"/>
      <c r="M164" s="1675"/>
      <c r="N164" s="1766"/>
      <c r="O164" s="1766"/>
      <c r="P164" s="1675"/>
      <c r="Q164" s="1675"/>
      <c r="R164" s="1677"/>
      <c r="S164" s="1766"/>
      <c r="T164" s="1731"/>
      <c r="U164" s="1731" t="s">
        <v>97</v>
      </c>
      <c r="V164" s="1761" t="s">
        <v>24</v>
      </c>
      <c r="W164" s="1721"/>
      <c r="Y164" s="1191"/>
      <c r="Z164" s="1191"/>
      <c r="AA164" s="1191"/>
      <c r="AB164" s="1191"/>
      <c r="AC164" s="1191"/>
      <c r="AD164" s="1191"/>
      <c r="AE164" s="1191"/>
      <c r="AF164" s="1191"/>
      <c r="AG164" s="1191"/>
      <c r="AH164" s="1191"/>
      <c r="AI164" s="1191"/>
      <c r="AJ164" s="1191"/>
      <c r="AK164" s="1191"/>
      <c r="AL164" s="1762"/>
      <c r="AM164" s="1762"/>
      <c r="AN164" s="1191"/>
      <c r="AO164" s="1191"/>
      <c r="AP164" s="1191"/>
      <c r="AQ164" s="1191"/>
    </row>
    <row r="166" spans="1:43" s="1735" customFormat="1" ht="17.25" customHeight="1">
      <c r="A166" s="1735" t="s">
        <v>1479</v>
      </c>
    </row>
    <row r="167" spans="1:43" ht="17.25" customHeight="1">
      <c r="G167" s="1757"/>
      <c r="H167" s="1757"/>
      <c r="I167" s="1757"/>
      <c r="M167"/>
    </row>
    <row r="168" spans="1:43" s="1771" customFormat="1" ht="17.25" customHeight="1">
      <c r="A168" s="1758"/>
      <c r="C168" s="1760"/>
      <c r="D168" s="7612"/>
      <c r="E168" s="7575"/>
      <c r="F168" s="7577"/>
      <c r="G168" s="7591"/>
      <c r="H168" s="7612"/>
      <c r="I168" s="7612">
        <v>1</v>
      </c>
      <c r="J168" s="7611"/>
      <c r="K168" s="7614" t="s">
        <v>60</v>
      </c>
      <c r="L168" s="7541"/>
      <c r="M168" s="7541" t="s">
        <v>97</v>
      </c>
      <c r="N168" s="7616" t="str">
        <f>IF(Z168="","",INDEX(TERRITORY_MR_LIST,MATCH(Z168,TERRITORY_LIST_ID,0)))</f>
        <v/>
      </c>
      <c r="O168" s="7614" t="s">
        <v>60</v>
      </c>
      <c r="P168" s="7541"/>
      <c r="Q168" s="7541" t="s">
        <v>97</v>
      </c>
      <c r="R168" s="7874" t="s">
        <v>24</v>
      </c>
      <c r="S168" s="7610" t="s">
        <v>55</v>
      </c>
      <c r="T168" s="1722"/>
      <c r="U168" s="1722" t="s">
        <v>97</v>
      </c>
      <c r="V168" s="1354"/>
      <c r="W168" s="7611"/>
      <c r="Y168" s="1191"/>
      <c r="Z168" s="1191"/>
      <c r="AA168" s="1191"/>
      <c r="AB168" s="1191"/>
      <c r="AC168" s="1191"/>
      <c r="AD168" s="1191"/>
      <c r="AE168" s="1191"/>
      <c r="AF168" s="1191"/>
      <c r="AG168" s="1191"/>
      <c r="AH168" s="1191"/>
      <c r="AI168" s="1191"/>
      <c r="AJ168" s="1191"/>
      <c r="AK168" s="1191"/>
      <c r="AL168" s="1762"/>
      <c r="AM168" s="1762"/>
      <c r="AN168" s="1191"/>
      <c r="AO168" s="1191"/>
      <c r="AP168" s="1191"/>
      <c r="AQ168" s="1191"/>
    </row>
    <row r="169" spans="1:43" s="1771" customFormat="1" ht="17.25" customHeight="1">
      <c r="A169" s="1758"/>
      <c r="C169" s="1763"/>
      <c r="D169" s="7612"/>
      <c r="E169" s="7575"/>
      <c r="F169" s="7578"/>
      <c r="G169" s="7591"/>
      <c r="H169" s="7612"/>
      <c r="I169" s="7612"/>
      <c r="J169" s="7611"/>
      <c r="K169" s="7615"/>
      <c r="L169" s="7541"/>
      <c r="M169" s="7541"/>
      <c r="N169" s="7616"/>
      <c r="O169" s="7615"/>
      <c r="P169" s="7541"/>
      <c r="Q169" s="7541"/>
      <c r="R169" s="7874"/>
      <c r="S169" s="7610"/>
      <c r="T169" s="1355"/>
      <c r="U169" s="1356"/>
      <c r="V169" s="1356"/>
      <c r="W169" s="7611"/>
      <c r="Y169" s="1184"/>
      <c r="Z169" s="1184"/>
      <c r="AA169" s="1184"/>
      <c r="AB169" s="1184"/>
      <c r="AC169" s="1184"/>
      <c r="AD169" s="1184"/>
      <c r="AE169" s="1184"/>
      <c r="AF169" s="1184"/>
      <c r="AG169" s="1184"/>
      <c r="AH169" s="1184"/>
      <c r="AI169" s="1184"/>
      <c r="AJ169" s="1184"/>
      <c r="AK169" s="1184"/>
    </row>
    <row r="170" spans="1:43" s="1771" customFormat="1" ht="17.25" customHeight="1">
      <c r="A170" s="1758"/>
      <c r="C170" s="1763"/>
      <c r="D170" s="7574"/>
      <c r="E170" s="7576"/>
      <c r="F170" s="7578"/>
      <c r="G170" s="7593"/>
      <c r="H170" s="7574"/>
      <c r="I170" s="7574"/>
      <c r="J170" s="7613"/>
      <c r="K170" s="7615"/>
      <c r="L170" s="7574"/>
      <c r="M170" s="7574"/>
      <c r="N170" s="7617"/>
      <c r="O170" s="7545"/>
      <c r="P170" s="236"/>
      <c r="Q170" s="237"/>
      <c r="R170" s="237" t="s">
        <v>325</v>
      </c>
      <c r="S170" s="1764"/>
      <c r="T170" s="1764"/>
      <c r="U170" s="1764"/>
      <c r="V170" s="1764"/>
      <c r="W170" s="1353"/>
      <c r="Y170" s="1184"/>
      <c r="Z170" s="1184"/>
      <c r="AA170" s="1184"/>
      <c r="AB170" s="1184"/>
      <c r="AC170" s="1184"/>
      <c r="AD170" s="1184"/>
      <c r="AE170" s="1184"/>
      <c r="AF170" s="1184"/>
      <c r="AG170" s="1184"/>
      <c r="AH170" s="1184"/>
      <c r="AI170" s="1184"/>
      <c r="AJ170" s="1184"/>
      <c r="AK170" s="1184"/>
    </row>
    <row r="171" spans="1:43" s="1771" customFormat="1" ht="17.25" customHeight="1">
      <c r="A171" s="1758"/>
      <c r="C171" s="1763"/>
      <c r="D171" s="7574"/>
      <c r="E171" s="7576"/>
      <c r="F171" s="7578"/>
      <c r="G171" s="7593"/>
      <c r="H171" s="7574"/>
      <c r="I171" s="7574"/>
      <c r="J171" s="7613"/>
      <c r="K171" s="7545"/>
      <c r="L171" s="236"/>
      <c r="M171" s="237"/>
      <c r="N171" s="237" t="s">
        <v>326</v>
      </c>
      <c r="O171" s="237"/>
      <c r="P171" s="237"/>
      <c r="Q171" s="237"/>
      <c r="R171" s="237"/>
      <c r="S171" s="1764"/>
      <c r="T171" s="1764"/>
      <c r="U171" s="1764"/>
      <c r="V171" s="1764"/>
      <c r="W171" s="238"/>
      <c r="Y171" s="1184"/>
      <c r="Z171" s="1184"/>
      <c r="AA171" s="1184"/>
      <c r="AB171" s="1184"/>
      <c r="AC171" s="1184"/>
      <c r="AD171" s="1184"/>
      <c r="AE171" s="1184"/>
      <c r="AF171" s="1184"/>
      <c r="AG171" s="1184"/>
      <c r="AH171" s="1184"/>
      <c r="AI171" s="1184"/>
      <c r="AJ171" s="1184"/>
      <c r="AK171" s="1184"/>
    </row>
    <row r="172" spans="1:43" s="1771" customFormat="1" ht="17.25" customHeight="1">
      <c r="A172" s="1758"/>
      <c r="C172" s="1763"/>
      <c r="D172" s="7574"/>
      <c r="E172" s="7576"/>
      <c r="F172" s="7579"/>
      <c r="G172" s="7593"/>
      <c r="H172" s="236"/>
      <c r="I172" s="237"/>
      <c r="J172" s="237" t="s">
        <v>402</v>
      </c>
      <c r="K172" s="237"/>
      <c r="L172" s="237"/>
      <c r="M172" s="237"/>
      <c r="N172" s="237"/>
      <c r="O172" s="237"/>
      <c r="P172" s="237"/>
      <c r="Q172" s="237"/>
      <c r="R172" s="237"/>
      <c r="S172" s="1764"/>
      <c r="T172" s="1764"/>
      <c r="U172" s="1764"/>
      <c r="V172" s="1764"/>
      <c r="W172" s="238"/>
      <c r="Y172" s="1184"/>
      <c r="Z172" s="1184"/>
      <c r="AA172" s="1184"/>
      <c r="AB172" s="1184"/>
      <c r="AC172" s="1184"/>
      <c r="AD172" s="1184"/>
      <c r="AE172" s="1184"/>
      <c r="AF172" s="1184"/>
      <c r="AG172" s="1184"/>
      <c r="AH172" s="1184"/>
      <c r="AI172" s="1184"/>
      <c r="AJ172" s="1184"/>
      <c r="AK172" s="1184"/>
    </row>
    <row r="173" spans="1:43" ht="17.25" customHeight="1">
      <c r="A173"/>
    </row>
    <row r="174" spans="1:43" s="1771" customFormat="1" ht="17.25" customHeight="1">
      <c r="A174" s="1758"/>
      <c r="C174" s="1760"/>
      <c r="D174" s="1749"/>
      <c r="E174" s="1765"/>
      <c r="F174" s="1704"/>
      <c r="G174" s="1766"/>
      <c r="H174" s="7612"/>
      <c r="I174" s="7612">
        <v>1</v>
      </c>
      <c r="J174" s="7611"/>
      <c r="K174" s="7614" t="s">
        <v>60</v>
      </c>
      <c r="L174" s="7541"/>
      <c r="M174" s="7541" t="s">
        <v>97</v>
      </c>
      <c r="N174" s="7616" t="str">
        <f>IF(Z174="","",INDEX(TERRITORY_MR_LIST,MATCH(Z174,TERRITORY_LIST_ID,0)))</f>
        <v/>
      </c>
      <c r="O174" s="7614" t="s">
        <v>60</v>
      </c>
      <c r="P174" s="7541"/>
      <c r="Q174" s="7541" t="s">
        <v>97</v>
      </c>
      <c r="R174" s="7874" t="s">
        <v>24</v>
      </c>
      <c r="S174" s="7610" t="s">
        <v>55</v>
      </c>
      <c r="T174" s="1722"/>
      <c r="U174" s="1722" t="s">
        <v>97</v>
      </c>
      <c r="V174" s="1354"/>
      <c r="W174" s="7611"/>
      <c r="Y174" s="1191"/>
      <c r="Z174" s="1191"/>
      <c r="AA174" s="1191"/>
      <c r="AB174" s="1191"/>
      <c r="AC174" s="1191"/>
      <c r="AD174" s="1191"/>
      <c r="AE174" s="1191"/>
      <c r="AF174" s="1191"/>
      <c r="AG174" s="1191"/>
      <c r="AH174" s="1191"/>
      <c r="AI174" s="1191"/>
      <c r="AJ174" s="1191"/>
      <c r="AK174" s="1191"/>
      <c r="AL174" s="1762"/>
      <c r="AM174" s="1762"/>
      <c r="AN174" s="1191"/>
      <c r="AO174" s="1191"/>
      <c r="AP174" s="1191"/>
      <c r="AQ174" s="1191"/>
    </row>
    <row r="175" spans="1:43" s="1771" customFormat="1" ht="17.25" customHeight="1">
      <c r="A175" s="1758"/>
      <c r="C175" s="1763"/>
      <c r="D175" s="1749"/>
      <c r="E175" s="1765"/>
      <c r="F175" s="1704"/>
      <c r="G175" s="1766"/>
      <c r="H175" s="7612"/>
      <c r="I175" s="7612"/>
      <c r="J175" s="7611"/>
      <c r="K175" s="7615"/>
      <c r="L175" s="7541"/>
      <c r="M175" s="7541"/>
      <c r="N175" s="7616"/>
      <c r="O175" s="7615"/>
      <c r="P175" s="7541"/>
      <c r="Q175" s="7541"/>
      <c r="R175" s="7874"/>
      <c r="S175" s="7610"/>
      <c r="T175" s="1355"/>
      <c r="U175" s="1356"/>
      <c r="V175" s="1356"/>
      <c r="W175" s="7611"/>
      <c r="Y175" s="1184"/>
      <c r="Z175" s="1184"/>
      <c r="AA175" s="1184"/>
      <c r="AB175" s="1184"/>
      <c r="AC175" s="1184"/>
      <c r="AD175" s="1184"/>
      <c r="AE175" s="1184"/>
      <c r="AF175" s="1184"/>
      <c r="AG175" s="1184"/>
      <c r="AH175" s="1184"/>
      <c r="AI175" s="1184"/>
      <c r="AJ175" s="1184"/>
      <c r="AK175" s="1184"/>
    </row>
    <row r="176" spans="1:43" s="1771" customFormat="1" ht="17.25" customHeight="1">
      <c r="A176" s="1758"/>
      <c r="C176" s="1763"/>
      <c r="D176" s="1749"/>
      <c r="E176" s="1765"/>
      <c r="F176" s="1704"/>
      <c r="G176" s="1766"/>
      <c r="H176" s="7574"/>
      <c r="I176" s="7574"/>
      <c r="J176" s="7613"/>
      <c r="K176" s="7615"/>
      <c r="L176" s="7574"/>
      <c r="M176" s="7574"/>
      <c r="N176" s="7617"/>
      <c r="O176" s="7545"/>
      <c r="P176" s="236"/>
      <c r="Q176" s="237"/>
      <c r="R176" s="237" t="s">
        <v>325</v>
      </c>
      <c r="S176" s="1764"/>
      <c r="T176" s="1764"/>
      <c r="U176" s="1764"/>
      <c r="V176" s="1764"/>
      <c r="W176" s="1353"/>
      <c r="Y176" s="1184"/>
      <c r="Z176" s="1184"/>
      <c r="AA176" s="1184"/>
      <c r="AB176" s="1184"/>
      <c r="AC176" s="1184"/>
      <c r="AD176" s="1184"/>
      <c r="AE176" s="1184"/>
      <c r="AF176" s="1184"/>
      <c r="AG176" s="1184"/>
      <c r="AH176" s="1184"/>
      <c r="AI176" s="1184"/>
      <c r="AJ176" s="1184"/>
      <c r="AK176" s="1184"/>
    </row>
    <row r="177" spans="1:43" s="1771" customFormat="1" ht="17.25" customHeight="1">
      <c r="A177" s="1758"/>
      <c r="C177" s="1763"/>
      <c r="D177" s="1749"/>
      <c r="E177" s="1765"/>
      <c r="F177" s="1704"/>
      <c r="G177" s="1766"/>
      <c r="H177" s="7574"/>
      <c r="I177" s="7574"/>
      <c r="J177" s="7613"/>
      <c r="K177" s="7545"/>
      <c r="L177" s="236"/>
      <c r="M177" s="237"/>
      <c r="N177" s="237" t="s">
        <v>326</v>
      </c>
      <c r="O177" s="237"/>
      <c r="P177" s="237"/>
      <c r="Q177" s="237"/>
      <c r="R177" s="237"/>
      <c r="S177" s="1764"/>
      <c r="T177" s="1764"/>
      <c r="U177" s="1764"/>
      <c r="V177" s="1764"/>
      <c r="W177" s="238"/>
      <c r="Y177" s="1184"/>
      <c r="Z177" s="1184"/>
      <c r="AA177" s="1184"/>
      <c r="AB177" s="1184"/>
      <c r="AC177" s="1184"/>
      <c r="AD177" s="1184"/>
      <c r="AE177" s="1184"/>
      <c r="AF177" s="1184"/>
      <c r="AG177" s="1184"/>
      <c r="AH177" s="1184"/>
      <c r="AI177" s="1184"/>
      <c r="AJ177" s="1184"/>
      <c r="AK177" s="1184"/>
    </row>
    <row r="178" spans="1:43" ht="17.25" customHeight="1">
      <c r="A178"/>
    </row>
    <row r="179" spans="1:43" s="1771" customFormat="1" ht="17.25" customHeight="1">
      <c r="A179" s="1758"/>
      <c r="C179" s="1760"/>
      <c r="D179" s="1749"/>
      <c r="E179" s="1765"/>
      <c r="F179" s="1704"/>
      <c r="G179" s="1766"/>
      <c r="H179" s="1749"/>
      <c r="I179" s="1749"/>
      <c r="J179" s="1769"/>
      <c r="K179" s="1766"/>
      <c r="L179" s="7541"/>
      <c r="M179" s="7541" t="s">
        <v>97</v>
      </c>
      <c r="N179" s="7616" t="str">
        <f>IF(Z179="","",INDEX(TERRITORY_MR_LIST,MATCH(Z179,TERRITORY_LIST_ID,0)))</f>
        <v/>
      </c>
      <c r="O179" s="7614" t="s">
        <v>60</v>
      </c>
      <c r="P179" s="7541"/>
      <c r="Q179" s="7541" t="s">
        <v>97</v>
      </c>
      <c r="R179" s="7874" t="s">
        <v>24</v>
      </c>
      <c r="S179" s="7610" t="s">
        <v>55</v>
      </c>
      <c r="T179" s="1722"/>
      <c r="U179" s="1722" t="s">
        <v>97</v>
      </c>
      <c r="V179" s="1354"/>
      <c r="W179" s="7611"/>
      <c r="Y179" s="1191"/>
      <c r="Z179" s="1191"/>
      <c r="AA179" s="1191"/>
      <c r="AB179" s="1191"/>
      <c r="AC179" s="1191"/>
      <c r="AD179" s="1191"/>
      <c r="AE179" s="1191"/>
      <c r="AF179" s="1191"/>
      <c r="AG179" s="1191"/>
      <c r="AH179" s="1191"/>
      <c r="AI179" s="1191"/>
      <c r="AJ179" s="1191"/>
      <c r="AK179" s="1191"/>
      <c r="AL179" s="1762"/>
      <c r="AM179" s="1762"/>
      <c r="AN179" s="1191"/>
      <c r="AO179" s="1191"/>
      <c r="AP179" s="1191"/>
      <c r="AQ179" s="1191"/>
    </row>
    <row r="180" spans="1:43" s="1771" customFormat="1" ht="17.25" customHeight="1">
      <c r="A180" s="1758"/>
      <c r="C180" s="1763"/>
      <c r="D180" s="1749"/>
      <c r="E180" s="1765"/>
      <c r="F180" s="1704"/>
      <c r="G180" s="1766"/>
      <c r="H180" s="1749"/>
      <c r="I180" s="1749"/>
      <c r="J180" s="1769"/>
      <c r="K180" s="1766"/>
      <c r="L180" s="7541"/>
      <c r="M180" s="7541"/>
      <c r="N180" s="7616"/>
      <c r="O180" s="7615"/>
      <c r="P180" s="7541"/>
      <c r="Q180" s="7541"/>
      <c r="R180" s="7874"/>
      <c r="S180" s="7610"/>
      <c r="T180" s="1355"/>
      <c r="U180" s="1356"/>
      <c r="V180" s="1356"/>
      <c r="W180" s="7611"/>
      <c r="Y180" s="1184"/>
      <c r="Z180" s="1184"/>
      <c r="AA180" s="1184"/>
      <c r="AB180" s="1184"/>
      <c r="AC180" s="1184"/>
      <c r="AD180" s="1184"/>
      <c r="AE180" s="1184"/>
      <c r="AF180" s="1184"/>
      <c r="AG180" s="1184"/>
      <c r="AH180" s="1184"/>
      <c r="AI180" s="1184"/>
      <c r="AJ180" s="1184"/>
      <c r="AK180" s="1184"/>
    </row>
    <row r="181" spans="1:43" s="1771" customFormat="1" ht="17.25" customHeight="1">
      <c r="A181" s="1758"/>
      <c r="C181" s="1763"/>
      <c r="D181" s="1749"/>
      <c r="E181" s="1765"/>
      <c r="F181" s="1704"/>
      <c r="G181" s="1766"/>
      <c r="H181" s="1749"/>
      <c r="I181" s="1749"/>
      <c r="J181" s="1769"/>
      <c r="K181" s="1766"/>
      <c r="L181" s="7574"/>
      <c r="M181" s="7574"/>
      <c r="N181" s="7617"/>
      <c r="O181" s="7545"/>
      <c r="P181" s="236"/>
      <c r="Q181" s="237"/>
      <c r="R181" s="237" t="s">
        <v>325</v>
      </c>
      <c r="S181" s="1764"/>
      <c r="T181" s="1764"/>
      <c r="U181" s="1764"/>
      <c r="V181" s="1764"/>
      <c r="W181" s="1353"/>
      <c r="Y181" s="1184"/>
      <c r="Z181" s="1184"/>
      <c r="AA181" s="1184"/>
      <c r="AB181" s="1184"/>
      <c r="AC181" s="1184"/>
      <c r="AD181" s="1184"/>
      <c r="AE181" s="1184"/>
      <c r="AF181" s="1184"/>
      <c r="AG181" s="1184"/>
      <c r="AH181" s="1184"/>
      <c r="AI181" s="1184"/>
      <c r="AJ181" s="1184"/>
      <c r="AK181" s="1184"/>
    </row>
    <row r="182" spans="1:43" ht="17.25" customHeight="1">
      <c r="A182"/>
    </row>
    <row r="183" spans="1:43" s="1771" customFormat="1" ht="17.25" customHeight="1">
      <c r="A183" s="1758"/>
      <c r="C183" s="1760"/>
      <c r="D183" s="1749"/>
      <c r="E183" s="1765"/>
      <c r="F183" s="1704"/>
      <c r="G183" s="1766"/>
      <c r="H183" s="1749"/>
      <c r="I183" s="1749"/>
      <c r="J183" s="1769"/>
      <c r="K183" s="1766"/>
      <c r="L183" s="1749"/>
      <c r="M183" s="1749"/>
      <c r="N183" s="1768"/>
      <c r="O183" s="1707"/>
      <c r="P183" s="7541"/>
      <c r="Q183" s="7541" t="s">
        <v>97</v>
      </c>
      <c r="R183" s="7874" t="s">
        <v>24</v>
      </c>
      <c r="S183" s="7610" t="s">
        <v>55</v>
      </c>
      <c r="T183" s="1722"/>
      <c r="U183" s="1722" t="s">
        <v>97</v>
      </c>
      <c r="V183" s="1354"/>
      <c r="W183" s="7611"/>
      <c r="Y183" s="1191"/>
      <c r="Z183" s="1191"/>
      <c r="AA183" s="1191"/>
      <c r="AB183" s="1191"/>
      <c r="AC183" s="1191"/>
      <c r="AD183" s="1191"/>
      <c r="AE183" s="1191"/>
      <c r="AF183" s="1191"/>
      <c r="AG183" s="1191"/>
      <c r="AH183" s="1191"/>
      <c r="AI183" s="1191"/>
      <c r="AJ183" s="1191"/>
      <c r="AK183" s="1191"/>
      <c r="AL183" s="1762"/>
      <c r="AM183" s="1762"/>
      <c r="AN183" s="1191"/>
      <c r="AO183" s="1191"/>
      <c r="AP183" s="1191"/>
      <c r="AQ183" s="1191"/>
    </row>
    <row r="184" spans="1:43" s="1771" customFormat="1" ht="17.25" customHeight="1">
      <c r="A184" s="1758"/>
      <c r="C184" s="1763"/>
      <c r="D184" s="1749"/>
      <c r="E184" s="1765"/>
      <c r="F184" s="1704"/>
      <c r="G184" s="1766"/>
      <c r="H184" s="1749"/>
      <c r="I184" s="1749"/>
      <c r="J184" s="1769"/>
      <c r="K184" s="1766"/>
      <c r="L184" s="1749"/>
      <c r="M184" s="1749"/>
      <c r="N184" s="1768"/>
      <c r="O184" s="1707"/>
      <c r="P184" s="7541"/>
      <c r="Q184" s="7541"/>
      <c r="R184" s="7874"/>
      <c r="S184" s="7610"/>
      <c r="T184" s="1355"/>
      <c r="U184" s="1356"/>
      <c r="V184" s="1356"/>
      <c r="W184" s="7611"/>
      <c r="Y184" s="1184"/>
      <c r="Z184" s="1184"/>
      <c r="AA184" s="1184"/>
      <c r="AB184" s="1184"/>
      <c r="AC184" s="1184"/>
      <c r="AD184" s="1184"/>
      <c r="AE184" s="1184"/>
      <c r="AF184" s="1184"/>
      <c r="AG184" s="1184"/>
      <c r="AH184" s="1184"/>
      <c r="AI184" s="1184"/>
      <c r="AJ184" s="1184"/>
      <c r="AK184" s="1184"/>
    </row>
    <row r="185" spans="1:43" ht="17.25" customHeight="1">
      <c r="A185"/>
    </row>
    <row r="186" spans="1:43" ht="16.5" customHeight="1">
      <c r="A186" s="1758"/>
      <c r="B186" s="1759"/>
      <c r="C186" s="1763"/>
      <c r="D186" s="7612"/>
      <c r="E186" s="7623"/>
      <c r="F186" s="7623"/>
      <c r="G186" s="7559"/>
      <c r="H186" s="7580"/>
      <c r="I186" s="7582"/>
      <c r="J186" s="7584"/>
      <c r="K186" s="7567"/>
      <c r="L186" s="7567"/>
      <c r="M186" s="7567"/>
      <c r="N186" s="7569"/>
      <c r="O186" s="7567"/>
      <c r="P186" s="7567"/>
      <c r="Q186" s="7567"/>
      <c r="R186" s="7572"/>
      <c r="S186" s="7567"/>
      <c r="T186" s="1703"/>
      <c r="U186" s="1703"/>
      <c r="V186" s="1770"/>
      <c r="W186" s="1220"/>
    </row>
    <row r="187" spans="1:43" ht="16.5" customHeight="1">
      <c r="A187" s="1758"/>
      <c r="B187" s="1759"/>
      <c r="C187" s="1763"/>
      <c r="D187" s="7612"/>
      <c r="E187" s="7623"/>
      <c r="F187" s="7623"/>
      <c r="G187" s="7559"/>
      <c r="H187" s="7581"/>
      <c r="I187" s="7583"/>
      <c r="J187" s="7585"/>
      <c r="K187" s="7568"/>
      <c r="L187" s="7568"/>
      <c r="M187" s="7568"/>
      <c r="N187" s="7570"/>
      <c r="O187" s="7568"/>
      <c r="P187" s="7568"/>
      <c r="Q187" s="7568"/>
      <c r="R187" s="7571"/>
      <c r="S187" s="7568"/>
      <c r="T187" s="1221"/>
      <c r="U187" s="1221"/>
      <c r="V187" s="1221"/>
      <c r="W187" s="1222"/>
    </row>
    <row r="188" spans="1:43" ht="17.25" customHeight="1">
      <c r="A188" s="1758"/>
      <c r="B188" s="1759"/>
      <c r="C188" s="1763"/>
      <c r="D188" s="7612"/>
      <c r="E188" s="7623"/>
      <c r="F188" s="7623"/>
      <c r="G188" s="7559"/>
      <c r="H188" s="7581"/>
      <c r="I188" s="7583"/>
      <c r="J188" s="7586"/>
      <c r="K188" s="7568"/>
      <c r="L188" s="7568"/>
      <c r="M188" s="7568"/>
      <c r="N188" s="7571"/>
      <c r="O188" s="7568"/>
      <c r="P188" s="1706"/>
      <c r="Q188" s="1221"/>
      <c r="R188" s="1221"/>
      <c r="S188" s="1771"/>
      <c r="T188" s="1771"/>
      <c r="U188" s="1771"/>
      <c r="V188" s="1771"/>
      <c r="W188" s="1222"/>
    </row>
    <row r="189" spans="1:43" ht="17.25" customHeight="1">
      <c r="A189" s="1758"/>
      <c r="B189" s="1759"/>
      <c r="C189" s="1763"/>
      <c r="D189" s="7612"/>
      <c r="E189" s="7623"/>
      <c r="F189" s="7623"/>
      <c r="G189" s="7559"/>
      <c r="H189" s="7581"/>
      <c r="I189" s="7583"/>
      <c r="J189" s="7586"/>
      <c r="K189" s="7568"/>
      <c r="L189" s="1221"/>
      <c r="M189" s="1221"/>
      <c r="N189" s="1221"/>
      <c r="O189" s="1221"/>
      <c r="P189" s="1221"/>
      <c r="Q189" s="1221"/>
      <c r="R189" s="1221"/>
      <c r="S189" s="1771"/>
      <c r="T189" s="1771"/>
      <c r="U189" s="1771"/>
      <c r="V189" s="1771"/>
      <c r="W189" s="1222"/>
    </row>
    <row r="190" spans="1:43" ht="17.25" customHeight="1">
      <c r="A190" s="1758"/>
      <c r="B190" s="1759"/>
      <c r="C190" s="1763"/>
      <c r="D190" s="7612"/>
      <c r="E190" s="7623"/>
      <c r="F190" s="7623"/>
      <c r="G190" s="7559"/>
      <c r="H190" s="1223"/>
      <c r="I190" s="1224"/>
      <c r="J190" s="1224"/>
      <c r="K190" s="1224"/>
      <c r="L190" s="1224"/>
      <c r="M190" s="1224"/>
      <c r="N190" s="1224"/>
      <c r="O190" s="1224"/>
      <c r="P190" s="1224"/>
      <c r="Q190" s="1224"/>
      <c r="R190" s="1224"/>
      <c r="S190" s="1772"/>
      <c r="T190" s="1772"/>
      <c r="U190" s="1772"/>
      <c r="V190" s="1772"/>
      <c r="W190" s="1226"/>
    </row>
    <row r="192" spans="1:43" s="1735" customFormat="1" ht="17.25" customHeight="1">
      <c r="A192" s="1735" t="s">
        <v>1480</v>
      </c>
    </row>
    <row r="193" spans="1:63" ht="17.25" customHeight="1">
      <c r="G193" s="1757"/>
      <c r="H193" s="1757"/>
      <c r="I193" s="1757"/>
      <c r="M193"/>
    </row>
    <row r="194" spans="1:63" s="1827" customFormat="1" ht="15" customHeight="1">
      <c r="D194" s="7890"/>
      <c r="E194" s="7638"/>
      <c r="F194" s="7638"/>
      <c r="G194" s="7614"/>
      <c r="H194" s="1489"/>
      <c r="I194" s="7894">
        <v>1</v>
      </c>
      <c r="J194" s="7611"/>
      <c r="K194" s="1503"/>
      <c r="L194" s="7614" t="s">
        <v>60</v>
      </c>
      <c r="M194" s="7614" t="s">
        <v>60</v>
      </c>
      <c r="N194" s="1489"/>
      <c r="O194" s="7541" t="s">
        <v>97</v>
      </c>
      <c r="P194" s="7884"/>
      <c r="Q194" s="1504"/>
      <c r="R194" s="7614" t="s">
        <v>60</v>
      </c>
      <c r="S194" s="7614" t="s">
        <v>60</v>
      </c>
      <c r="T194" s="1773"/>
      <c r="U194" s="7541" t="s">
        <v>97</v>
      </c>
      <c r="V194" s="7891" t="str">
        <f>IF(AK194="","",INDEX(TERRITORY_MR_LIST,MATCH(AK194,TERRITORY_LIST_ID,0)))</f>
        <v/>
      </c>
      <c r="W194" s="1505"/>
      <c r="X194" s="7614" t="s">
        <v>60</v>
      </c>
      <c r="Y194" s="7614" t="s">
        <v>55</v>
      </c>
      <c r="Z194" s="1489"/>
      <c r="AA194" s="7541" t="s">
        <v>97</v>
      </c>
      <c r="AB194" s="7893"/>
      <c r="AC194" s="1506"/>
      <c r="AD194" s="7614" t="s">
        <v>60</v>
      </c>
      <c r="AE194" s="7614" t="s">
        <v>55</v>
      </c>
      <c r="AF194" s="1487"/>
      <c r="AG194" s="1731" t="s">
        <v>97</v>
      </c>
      <c r="AH194" s="1497"/>
      <c r="AI194" s="1721"/>
    </row>
    <row r="195" spans="1:63" s="1827" customFormat="1" ht="15" customHeight="1">
      <c r="D195" s="7890"/>
      <c r="E195" s="7638"/>
      <c r="F195" s="7638"/>
      <c r="G195" s="7615"/>
      <c r="H195" s="1489"/>
      <c r="I195" s="7894"/>
      <c r="J195" s="7611"/>
      <c r="K195" s="1488"/>
      <c r="L195" s="7615"/>
      <c r="M195" s="7615"/>
      <c r="N195" s="1489"/>
      <c r="O195" s="7541"/>
      <c r="P195" s="7884"/>
      <c r="Q195" s="1485"/>
      <c r="R195" s="7615"/>
      <c r="S195" s="7615"/>
      <c r="T195" s="1773"/>
      <c r="U195" s="7541"/>
      <c r="V195" s="7892"/>
      <c r="W195" s="1486"/>
      <c r="X195" s="7615"/>
      <c r="Y195" s="7615"/>
      <c r="Z195" s="1489"/>
      <c r="AA195" s="7541"/>
      <c r="AB195" s="7868"/>
      <c r="AC195" s="1490"/>
      <c r="AD195" s="7545"/>
      <c r="AE195" s="7545"/>
      <c r="AF195" s="1491"/>
      <c r="AG195" s="1492"/>
      <c r="AH195" s="7885" t="s">
        <v>1481</v>
      </c>
      <c r="AI195" s="7886"/>
    </row>
    <row r="196" spans="1:63" s="1827" customFormat="1" ht="15" customHeight="1">
      <c r="D196" s="7890"/>
      <c r="E196" s="7638"/>
      <c r="F196" s="7638"/>
      <c r="G196" s="7615"/>
      <c r="H196" s="1489"/>
      <c r="I196" s="7894"/>
      <c r="J196" s="7611"/>
      <c r="K196" s="1488"/>
      <c r="L196" s="7615"/>
      <c r="M196" s="7615"/>
      <c r="N196" s="1489"/>
      <c r="O196" s="7541"/>
      <c r="P196" s="7884"/>
      <c r="Q196" s="1485"/>
      <c r="R196" s="7615"/>
      <c r="S196" s="7615"/>
      <c r="T196" s="1773"/>
      <c r="U196" s="7541"/>
      <c r="V196" s="7892"/>
      <c r="W196" s="1486"/>
      <c r="X196" s="7615"/>
      <c r="Y196" s="7615"/>
      <c r="Z196" s="1527"/>
      <c r="AA196" s="1494"/>
      <c r="AB196" s="7887" t="s">
        <v>1482</v>
      </c>
      <c r="AC196" s="7887"/>
      <c r="AD196" s="7887"/>
      <c r="AE196" s="7887"/>
      <c r="AF196" s="7887"/>
      <c r="AG196" s="7887"/>
      <c r="AH196" s="7887"/>
      <c r="AI196" s="7888"/>
    </row>
    <row r="197" spans="1:63" s="1827" customFormat="1" ht="15" customHeight="1">
      <c r="D197" s="7890"/>
      <c r="E197" s="7638"/>
      <c r="F197" s="7638"/>
      <c r="G197" s="7615"/>
      <c r="H197" s="1489"/>
      <c r="I197" s="7894"/>
      <c r="J197" s="7611"/>
      <c r="K197" s="1488"/>
      <c r="L197" s="7615"/>
      <c r="M197" s="7615"/>
      <c r="N197" s="1489"/>
      <c r="O197" s="7541"/>
      <c r="P197" s="7889"/>
      <c r="Q197" s="1485"/>
      <c r="R197" s="7615"/>
      <c r="S197" s="7615"/>
      <c r="T197" s="1774"/>
      <c r="U197" s="1528"/>
      <c r="V197" s="7885" t="s">
        <v>221</v>
      </c>
      <c r="W197" s="7885"/>
      <c r="X197" s="7885"/>
      <c r="Y197" s="7885"/>
      <c r="Z197" s="7885"/>
      <c r="AA197" s="7885"/>
      <c r="AB197" s="7885"/>
      <c r="AC197" s="7885"/>
      <c r="AD197" s="7885"/>
      <c r="AE197" s="7885"/>
      <c r="AF197" s="7885"/>
      <c r="AG197" s="7885"/>
      <c r="AH197" s="7885"/>
      <c r="AI197" s="7886"/>
    </row>
    <row r="198" spans="1:63" s="1827" customFormat="1" ht="11.25" customHeight="1">
      <c r="D198" s="7890"/>
      <c r="E198" s="7638"/>
      <c r="F198" s="7638"/>
      <c r="G198" s="7615"/>
      <c r="H198" s="1493"/>
      <c r="I198" s="7894"/>
      <c r="J198" s="7895"/>
      <c r="K198" s="1488"/>
      <c r="L198" s="7615"/>
      <c r="M198" s="7615"/>
      <c r="N198" s="1493"/>
      <c r="O198" s="1494"/>
      <c r="P198" s="7885" t="s">
        <v>1483</v>
      </c>
      <c r="Q198" s="7885"/>
      <c r="R198" s="7885"/>
      <c r="S198" s="7885"/>
      <c r="T198" s="7885"/>
      <c r="U198" s="7885"/>
      <c r="V198" s="7885"/>
      <c r="W198" s="7885"/>
      <c r="X198" s="7885"/>
      <c r="Y198" s="7885"/>
      <c r="Z198" s="7885"/>
      <c r="AA198" s="7885"/>
      <c r="AB198" s="7885"/>
      <c r="AC198" s="7885"/>
      <c r="AD198" s="7885"/>
      <c r="AE198" s="7885"/>
      <c r="AF198" s="7885"/>
      <c r="AG198" s="7885"/>
      <c r="AH198" s="7885"/>
      <c r="AI198" s="7886"/>
    </row>
    <row r="199" spans="1:63" s="1479" customFormat="1" ht="11.25" customHeight="1">
      <c r="D199" s="7890"/>
      <c r="E199" s="7638"/>
      <c r="F199" s="7638"/>
      <c r="G199" s="7545"/>
      <c r="H199" s="1495"/>
      <c r="I199" s="1496"/>
      <c r="J199" s="7885" t="s">
        <v>402</v>
      </c>
      <c r="K199" s="7885"/>
      <c r="L199" s="7885"/>
      <c r="M199" s="7885"/>
      <c r="N199" s="7885"/>
      <c r="O199" s="7885"/>
      <c r="P199" s="7885"/>
      <c r="Q199" s="7885"/>
      <c r="R199" s="7885"/>
      <c r="S199" s="7885"/>
      <c r="T199" s="7885"/>
      <c r="U199" s="7885"/>
      <c r="V199" s="7885"/>
      <c r="W199" s="7885"/>
      <c r="X199" s="7885"/>
      <c r="Y199" s="7885"/>
      <c r="Z199" s="7885"/>
      <c r="AA199" s="7885"/>
      <c r="AB199" s="7885"/>
      <c r="AC199" s="7885"/>
      <c r="AD199" s="7885"/>
      <c r="AE199" s="7885"/>
      <c r="AF199" s="7885"/>
      <c r="AG199" s="7885"/>
      <c r="AH199" s="7885"/>
      <c r="AI199" s="7886"/>
      <c r="BK199"/>
    </row>
    <row r="200" spans="1:63" ht="17.25" customHeight="1">
      <c r="G200" s="1757"/>
      <c r="I200" s="1757"/>
      <c r="J200" s="1757"/>
      <c r="N200"/>
    </row>
    <row r="201" spans="1:63" s="1827" customFormat="1" ht="15" customHeight="1">
      <c r="D201" s="7890"/>
      <c r="E201" s="7638"/>
      <c r="F201" s="7638"/>
      <c r="G201" s="7623"/>
      <c r="H201" s="1523"/>
      <c r="I201" s="7625"/>
      <c r="J201" s="7584"/>
      <c r="K201" s="1705"/>
      <c r="L201" s="7567"/>
      <c r="M201" s="7567"/>
      <c r="N201" s="1508"/>
      <c r="O201" s="7567"/>
      <c r="P201" s="7584"/>
      <c r="Q201" s="1709"/>
      <c r="R201" s="7567"/>
      <c r="S201" s="7567"/>
      <c r="T201" s="1775"/>
      <c r="U201" s="7567"/>
      <c r="V201" s="7584"/>
      <c r="W201" s="1511"/>
      <c r="X201" s="7567"/>
      <c r="Y201" s="7567"/>
      <c r="Z201" s="1508"/>
      <c r="AA201" s="7567"/>
      <c r="AB201" s="7584"/>
      <c r="AC201" s="1512"/>
      <c r="AD201" s="7567"/>
      <c r="AE201" s="7567"/>
      <c r="AF201" s="1703"/>
      <c r="AG201" s="1703"/>
      <c r="AH201" s="1513"/>
      <c r="AI201" s="1220"/>
    </row>
    <row r="202" spans="1:63" s="1827" customFormat="1" ht="15" customHeight="1">
      <c r="D202" s="7890"/>
      <c r="E202" s="7638"/>
      <c r="F202" s="7638"/>
      <c r="G202" s="7623"/>
      <c r="H202" s="1524"/>
      <c r="I202" s="7626"/>
      <c r="J202" s="7585"/>
      <c r="K202" s="1531"/>
      <c r="L202" s="7568"/>
      <c r="M202" s="7568"/>
      <c r="N202" s="1514"/>
      <c r="O202" s="7568"/>
      <c r="P202" s="7585"/>
      <c r="Q202" s="1710"/>
      <c r="R202" s="7568"/>
      <c r="S202" s="7568"/>
      <c r="T202" s="1776"/>
      <c r="U202" s="7568"/>
      <c r="V202" s="7585"/>
      <c r="W202" s="1517"/>
      <c r="X202" s="7568"/>
      <c r="Y202" s="7568"/>
      <c r="Z202" s="1514"/>
      <c r="AA202" s="7568"/>
      <c r="AB202" s="7585"/>
      <c r="AC202" s="1518"/>
      <c r="AD202" s="7568"/>
      <c r="AE202" s="7568"/>
      <c r="AF202" s="1708"/>
      <c r="AG202" s="1708"/>
      <c r="AH202" s="7621"/>
      <c r="AI202" s="7622"/>
    </row>
    <row r="203" spans="1:63" s="1827" customFormat="1" ht="15" customHeight="1">
      <c r="D203" s="7890"/>
      <c r="E203" s="7638"/>
      <c r="F203" s="7638"/>
      <c r="G203" s="7623"/>
      <c r="H203" s="1524"/>
      <c r="I203" s="7626"/>
      <c r="J203" s="7585"/>
      <c r="K203" s="1531"/>
      <c r="L203" s="7568"/>
      <c r="M203" s="7568"/>
      <c r="N203" s="1514"/>
      <c r="O203" s="7568"/>
      <c r="P203" s="7585"/>
      <c r="Q203" s="1710"/>
      <c r="R203" s="7568"/>
      <c r="S203" s="7568"/>
      <c r="T203" s="1776"/>
      <c r="U203" s="7568"/>
      <c r="V203" s="7585"/>
      <c r="W203" s="1517"/>
      <c r="X203" s="7568"/>
      <c r="Y203" s="7568"/>
      <c r="Z203" s="1706"/>
      <c r="AA203" s="1708"/>
      <c r="AB203" s="7621"/>
      <c r="AC203" s="7621"/>
      <c r="AD203" s="7621"/>
      <c r="AE203" s="7621"/>
      <c r="AF203" s="7621"/>
      <c r="AG203" s="7621"/>
      <c r="AH203" s="7621"/>
      <c r="AI203" s="7622"/>
    </row>
    <row r="204" spans="1:63" s="1827" customFormat="1" ht="15" customHeight="1">
      <c r="D204" s="7890"/>
      <c r="E204" s="7638"/>
      <c r="F204" s="7638"/>
      <c r="G204" s="7623"/>
      <c r="H204" s="1524"/>
      <c r="I204" s="7626"/>
      <c r="J204" s="7585"/>
      <c r="K204" s="1531"/>
      <c r="L204" s="7568"/>
      <c r="M204" s="7568"/>
      <c r="N204" s="1514"/>
      <c r="O204" s="7568"/>
      <c r="P204" s="7585"/>
      <c r="Q204" s="1710"/>
      <c r="R204" s="7568"/>
      <c r="S204" s="7568"/>
      <c r="T204" s="1777"/>
      <c r="U204" s="1521"/>
      <c r="V204" s="7621"/>
      <c r="W204" s="7621"/>
      <c r="X204" s="7621"/>
      <c r="Y204" s="7621"/>
      <c r="Z204" s="7621"/>
      <c r="AA204" s="7621"/>
      <c r="AB204" s="7621"/>
      <c r="AC204" s="7621"/>
      <c r="AD204" s="7621"/>
      <c r="AE204" s="7621"/>
      <c r="AF204" s="7621"/>
      <c r="AG204" s="7621"/>
      <c r="AH204" s="7621"/>
      <c r="AI204" s="7622"/>
    </row>
    <row r="205" spans="1:63" s="1827" customFormat="1" ht="11.25" customHeight="1">
      <c r="D205" s="7890"/>
      <c r="E205" s="7638"/>
      <c r="F205" s="7638"/>
      <c r="G205" s="7623"/>
      <c r="H205" s="1525"/>
      <c r="I205" s="7626"/>
      <c r="J205" s="7585"/>
      <c r="K205" s="1531"/>
      <c r="L205" s="7568"/>
      <c r="M205" s="7568"/>
      <c r="N205" s="1708"/>
      <c r="O205" s="1708"/>
      <c r="P205" s="7621"/>
      <c r="Q205" s="7621"/>
      <c r="R205" s="7621"/>
      <c r="S205" s="7621"/>
      <c r="T205" s="7621"/>
      <c r="U205" s="7621"/>
      <c r="V205" s="7621"/>
      <c r="W205" s="7621"/>
      <c r="X205" s="7621"/>
      <c r="Y205" s="7621"/>
      <c r="Z205" s="7621"/>
      <c r="AA205" s="7621"/>
      <c r="AB205" s="7621"/>
      <c r="AC205" s="7621"/>
      <c r="AD205" s="7621"/>
      <c r="AE205" s="7621"/>
      <c r="AF205" s="7621"/>
      <c r="AG205" s="7621"/>
      <c r="AH205" s="7621"/>
      <c r="AI205" s="7622"/>
    </row>
    <row r="206" spans="1:63" s="1479" customFormat="1" ht="11.25" customHeight="1">
      <c r="D206" s="7890"/>
      <c r="E206" s="7638"/>
      <c r="F206" s="7638"/>
      <c r="G206" s="7628"/>
      <c r="H206" s="1522"/>
      <c r="I206" s="1526"/>
      <c r="J206" s="7629"/>
      <c r="K206" s="7629"/>
      <c r="L206" s="7629"/>
      <c r="M206" s="7629"/>
      <c r="N206" s="7629"/>
      <c r="O206" s="7629"/>
      <c r="P206" s="7629"/>
      <c r="Q206" s="7629"/>
      <c r="R206" s="7629"/>
      <c r="S206" s="7629"/>
      <c r="T206" s="7629"/>
      <c r="U206" s="7629"/>
      <c r="V206" s="7629"/>
      <c r="W206" s="7629"/>
      <c r="X206" s="7629"/>
      <c r="Y206" s="7629"/>
      <c r="Z206" s="7629"/>
      <c r="AA206" s="7629"/>
      <c r="AB206" s="7629"/>
      <c r="AC206" s="7629"/>
      <c r="AD206" s="7629"/>
      <c r="AE206" s="7629"/>
      <c r="AF206" s="7629"/>
      <c r="AG206" s="7629"/>
      <c r="AH206" s="7629"/>
      <c r="AI206" s="7630"/>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9" customWidth="1"/>
    <col min="2" max="2" width="11" style="1827" customWidth="1"/>
    <col min="3" max="3" width="9.140625" style="1827"/>
    <col min="4" max="4" width="26.5703125" style="1827" customWidth="1"/>
    <col min="5" max="5" width="27.7109375" style="1742" customWidth="1"/>
    <col min="6" max="6" width="23.5703125" style="1742" customWidth="1"/>
    <col min="7" max="7" width="31.42578125" style="1742" customWidth="1"/>
    <col min="8" max="8" width="40.85546875" style="1742" customWidth="1"/>
    <col min="9" max="9" width="14.5703125" style="1742" customWidth="1"/>
    <col min="10" max="10" width="26.85546875" style="1742" customWidth="1"/>
    <col min="11" max="11" width="50" style="1742" customWidth="1"/>
    <col min="12" max="12" width="52.42578125" style="1742" customWidth="1"/>
    <col min="13" max="13" width="10.7109375" style="1742" customWidth="1"/>
    <col min="14" max="14" width="55.140625" style="1742" customWidth="1"/>
    <col min="15" max="15" width="31.85546875" style="1742" customWidth="1"/>
    <col min="16" max="16" width="23.85546875" style="1742" customWidth="1"/>
    <col min="17" max="17" width="46.5703125" style="1742" customWidth="1"/>
    <col min="18" max="18" width="24" style="1742" customWidth="1"/>
    <col min="19" max="19" width="20.5703125" style="1742" customWidth="1"/>
    <col min="20" max="20" width="22" style="1742" customWidth="1"/>
    <col min="21" max="22" width="26.42578125" style="1742" customWidth="1"/>
    <col min="23" max="23" width="8.28515625" style="1742" hidden="1" customWidth="1"/>
    <col min="24" max="24" width="59.7109375" style="1742" customWidth="1"/>
    <col min="25" max="25" width="49.140625" style="1742" customWidth="1"/>
    <col min="26" max="26" width="11.140625" style="1742" customWidth="1"/>
    <col min="27" max="30" width="29" style="1742" customWidth="1"/>
    <col min="31" max="31" width="9.140625" style="1742"/>
    <col min="32" max="32" width="34.7109375" style="1742" customWidth="1"/>
    <col min="33" max="33" width="9.140625" style="1742"/>
    <col min="34" max="35" width="34.42578125" style="1742" customWidth="1"/>
    <col min="36" max="36" width="9.140625" style="1742"/>
    <col min="37" max="37" width="24.5703125" style="1742" customWidth="1"/>
    <col min="38" max="38" width="9.140625" style="1742"/>
    <col min="39" max="39" width="26.140625" style="1742" customWidth="1"/>
    <col min="40" max="40" width="1.7109375" style="1742" customWidth="1"/>
    <col min="41" max="41" width="9.140625" style="1742"/>
    <col min="42" max="43" width="47.85546875" style="1742" customWidth="1"/>
    <col min="44" max="44" width="1.7109375" style="1742" customWidth="1"/>
    <col min="45" max="45" width="21.42578125" style="1742" customWidth="1"/>
    <col min="46" max="46" width="1.7109375" style="1742" customWidth="1"/>
    <col min="47" max="47" width="31.28515625" style="1742" customWidth="1"/>
    <col min="48" max="48" width="1.7109375" style="1742" customWidth="1"/>
    <col min="49" max="50" width="9.140625" style="1742"/>
    <col min="51" max="51" width="3.7109375" style="1742" customWidth="1"/>
    <col min="52" max="52" width="55" style="1742" customWidth="1"/>
    <col min="53" max="53" width="9.140625" style="1742"/>
    <col min="54" max="54" width="35.140625" style="1742" customWidth="1"/>
    <col min="55" max="55" width="9.140625" style="1742"/>
    <col min="56" max="56" width="1.7109375" style="1742" customWidth="1"/>
    <col min="57" max="57" width="12.5703125" style="1175" customWidth="1"/>
    <col min="58" max="58" width="14.28515625" style="1175" customWidth="1"/>
    <col min="59" max="59" width="30.7109375" style="1742" customWidth="1"/>
    <col min="60" max="60" width="40.7109375" style="1758" customWidth="1"/>
    <col min="61" max="61" width="15" style="1758" customWidth="1"/>
    <col min="62" max="62" width="40.7109375" style="1758" customWidth="1"/>
    <col min="63" max="63" width="2.7109375" style="1758" customWidth="1"/>
    <col min="64" max="64" width="44.7109375" style="1758" customWidth="1"/>
    <col min="65" max="65" width="2.7109375" style="1758" customWidth="1"/>
    <col min="66" max="66" width="40.7109375" style="1758" customWidth="1"/>
    <col min="67" max="68" width="9.140625" style="1742"/>
    <col min="69" max="69" width="18.140625" style="1742" customWidth="1"/>
    <col min="70" max="70" width="57.85546875" style="1742" customWidth="1"/>
    <col min="71" max="71" width="1.7109375" style="1742" customWidth="1"/>
    <col min="72" max="72" width="22.5703125" style="1742" customWidth="1"/>
    <col min="73" max="73" width="57.85546875" style="1742" customWidth="1"/>
    <col min="74" max="74" width="1.7109375" style="1742" customWidth="1"/>
    <col min="75" max="75" width="22.5703125" style="1742" customWidth="1"/>
    <col min="76" max="76" width="57.85546875" style="1742" customWidth="1"/>
    <col min="77" max="77" width="1.7109375" style="1742" customWidth="1"/>
    <col min="78" max="78" width="22.5703125" style="1742" customWidth="1"/>
    <col min="79" max="79" width="57.85546875" style="1742" customWidth="1"/>
    <col min="80" max="81" width="9.140625" style="1742"/>
    <col min="82" max="82" width="49.5703125" style="1742" customWidth="1"/>
  </cols>
  <sheetData>
    <row r="1" spans="1:79" s="1347" customFormat="1" ht="11.25" customHeight="1">
      <c r="A1" s="977" t="s">
        <v>1484</v>
      </c>
      <c r="B1" s="977" t="s">
        <v>1485</v>
      </c>
      <c r="C1" s="977" t="s">
        <v>1486</v>
      </c>
      <c r="D1" s="977" t="s">
        <v>1487</v>
      </c>
      <c r="E1" s="977" t="s">
        <v>1488</v>
      </c>
      <c r="F1" s="977" t="s">
        <v>1489</v>
      </c>
      <c r="G1" s="977" t="s">
        <v>1490</v>
      </c>
      <c r="H1" s="977" t="s">
        <v>1491</v>
      </c>
      <c r="I1" s="977" t="s">
        <v>1492</v>
      </c>
      <c r="J1" s="977" t="s">
        <v>1493</v>
      </c>
      <c r="K1" s="977" t="s">
        <v>1494</v>
      </c>
      <c r="L1" s="977" t="s">
        <v>1495</v>
      </c>
      <c r="M1" s="977"/>
      <c r="N1" s="977" t="s">
        <v>1496</v>
      </c>
      <c r="O1" s="977" t="s">
        <v>1497</v>
      </c>
      <c r="P1" s="977" t="s">
        <v>1498</v>
      </c>
      <c r="Q1" s="977" t="s">
        <v>1499</v>
      </c>
      <c r="R1" s="977" t="s">
        <v>1500</v>
      </c>
      <c r="S1" s="977" t="s">
        <v>1501</v>
      </c>
      <c r="T1" s="977" t="s">
        <v>1502</v>
      </c>
      <c r="U1" s="977" t="s">
        <v>1503</v>
      </c>
      <c r="V1" s="977"/>
      <c r="W1" s="711" t="s">
        <v>1504</v>
      </c>
      <c r="X1" s="977" t="s">
        <v>1505</v>
      </c>
      <c r="Y1" s="977" t="s">
        <v>1506</v>
      </c>
      <c r="Z1" s="977"/>
      <c r="AA1" s="977" t="s">
        <v>1507</v>
      </c>
      <c r="AB1" s="977"/>
      <c r="AC1" s="977" t="s">
        <v>1508</v>
      </c>
      <c r="AD1" s="977"/>
      <c r="AF1" s="977" t="s">
        <v>1509</v>
      </c>
      <c r="AH1" s="977" t="s">
        <v>1510</v>
      </c>
      <c r="AI1" s="977" t="s">
        <v>1511</v>
      </c>
      <c r="AK1" s="977" t="s">
        <v>1512</v>
      </c>
      <c r="AM1" s="977" t="s">
        <v>1513</v>
      </c>
      <c r="AP1" s="977" t="s">
        <v>1514</v>
      </c>
      <c r="AQ1" s="977" t="s">
        <v>1515</v>
      </c>
      <c r="AS1" s="977" t="s">
        <v>1516</v>
      </c>
      <c r="AU1" s="977" t="s">
        <v>1517</v>
      </c>
      <c r="AW1" s="977" t="s">
        <v>1518</v>
      </c>
      <c r="AX1" s="977" t="s">
        <v>1519</v>
      </c>
      <c r="AZ1" s="1057" t="s">
        <v>1520</v>
      </c>
      <c r="BB1" s="977" t="s">
        <v>1521</v>
      </c>
      <c r="BC1" s="977"/>
      <c r="BE1" s="977" t="s">
        <v>1522</v>
      </c>
      <c r="BF1" s="977" t="s">
        <v>1523</v>
      </c>
      <c r="BH1" s="979" t="s">
        <v>891</v>
      </c>
      <c r="BI1" s="980"/>
      <c r="BJ1" s="981" t="s">
        <v>1524</v>
      </c>
      <c r="BK1" s="980"/>
      <c r="BL1" s="982" t="s">
        <v>989</v>
      </c>
      <c r="BM1" s="980"/>
      <c r="BN1" s="983" t="s">
        <v>1525</v>
      </c>
    </row>
    <row r="2" spans="1:79" ht="11.25" customHeight="1">
      <c r="A2" s="984" t="s">
        <v>1526</v>
      </c>
      <c r="B2" s="985">
        <v>2000</v>
      </c>
      <c r="C2" s="985">
        <v>2022</v>
      </c>
      <c r="D2" s="985" t="s">
        <v>60</v>
      </c>
      <c r="E2" s="986" t="s">
        <v>1527</v>
      </c>
      <c r="F2" s="986" t="s">
        <v>1528</v>
      </c>
      <c r="G2" s="986" t="s">
        <v>1529</v>
      </c>
      <c r="H2" s="987" t="s">
        <v>53</v>
      </c>
      <c r="I2" s="986" t="s">
        <v>97</v>
      </c>
      <c r="J2" s="986" t="s">
        <v>1530</v>
      </c>
      <c r="K2" s="988" t="s">
        <v>1531</v>
      </c>
      <c r="L2" s="989"/>
      <c r="M2" s="988">
        <v>1</v>
      </c>
      <c r="N2" s="1067" t="s">
        <v>1532</v>
      </c>
      <c r="O2" s="987" t="s">
        <v>1533</v>
      </c>
      <c r="P2" s="990" t="s">
        <v>33</v>
      </c>
      <c r="Q2" s="991" t="s">
        <v>1534</v>
      </c>
      <c r="R2" s="64" t="s">
        <v>1535</v>
      </c>
      <c r="S2" s="64" t="s">
        <v>1536</v>
      </c>
      <c r="T2" s="992" t="s">
        <v>1537</v>
      </c>
      <c r="U2" s="989" t="s">
        <v>1538</v>
      </c>
      <c r="V2" s="993">
        <v>1</v>
      </c>
      <c r="W2" s="994"/>
      <c r="X2" s="994" t="s">
        <v>1539</v>
      </c>
      <c r="Y2" s="985" t="s">
        <v>1540</v>
      </c>
      <c r="Z2" s="995"/>
      <c r="AA2" s="985" t="s">
        <v>1541</v>
      </c>
      <c r="AB2" s="996" t="s">
        <v>1541</v>
      </c>
      <c r="AC2" s="985" t="s">
        <v>1542</v>
      </c>
      <c r="AD2" s="996" t="s">
        <v>1542</v>
      </c>
      <c r="AF2" s="987" t="s">
        <v>1538</v>
      </c>
      <c r="AH2" s="986" t="s">
        <v>1543</v>
      </c>
      <c r="AI2" s="986" t="s">
        <v>1543</v>
      </c>
      <c r="AK2" s="986" t="s">
        <v>1544</v>
      </c>
      <c r="AM2" s="986" t="s">
        <v>1545</v>
      </c>
      <c r="AP2" s="997" t="s">
        <v>1539</v>
      </c>
      <c r="AQ2" s="998" t="s">
        <v>1539</v>
      </c>
      <c r="AS2" s="985" t="s">
        <v>1546</v>
      </c>
      <c r="AU2" s="1028" t="s">
        <v>1547</v>
      </c>
      <c r="AW2" s="1028" t="s">
        <v>1548</v>
      </c>
      <c r="AX2" s="1028" t="s">
        <v>1548</v>
      </c>
      <c r="AZ2" s="1028" t="s">
        <v>1549</v>
      </c>
      <c r="BB2" s="1028" t="s">
        <v>1550</v>
      </c>
      <c r="BC2" s="1028" t="s">
        <v>1551</v>
      </c>
      <c r="BE2" s="1028">
        <v>2000</v>
      </c>
      <c r="BF2" s="1028" t="s">
        <v>1552</v>
      </c>
    </row>
    <row r="3" spans="1:79" ht="11.25" customHeight="1">
      <c r="A3" s="984" t="s">
        <v>1553</v>
      </c>
      <c r="B3" s="985">
        <v>2001</v>
      </c>
      <c r="C3" s="985">
        <v>2023</v>
      </c>
      <c r="D3" s="985" t="s">
        <v>55</v>
      </c>
      <c r="E3" s="986" t="s">
        <v>1554</v>
      </c>
      <c r="F3" s="986" t="s">
        <v>1555</v>
      </c>
      <c r="G3" s="986" t="s">
        <v>1556</v>
      </c>
      <c r="H3" s="987" t="s">
        <v>1557</v>
      </c>
      <c r="I3" s="986" t="s">
        <v>100</v>
      </c>
      <c r="J3" s="986" t="s">
        <v>725</v>
      </c>
      <c r="K3" s="988" t="s">
        <v>1558</v>
      </c>
      <c r="L3" s="989">
        <f>IFERROR(MATCH(K3,OFFER_METHOD,0),0)</f>
        <v>0</v>
      </c>
      <c r="M3" s="988">
        <v>2</v>
      </c>
      <c r="N3" s="1067" t="s">
        <v>1559</v>
      </c>
      <c r="O3" s="987" t="s">
        <v>1560</v>
      </c>
      <c r="P3" s="990" t="s">
        <v>1561</v>
      </c>
      <c r="Q3" s="991" t="s">
        <v>1562</v>
      </c>
      <c r="R3" s="64" t="s">
        <v>1563</v>
      </c>
      <c r="S3" s="64" t="s">
        <v>1564</v>
      </c>
      <c r="T3" s="992" t="s">
        <v>1565</v>
      </c>
      <c r="U3" s="989" t="s">
        <v>1566</v>
      </c>
      <c r="V3" s="993">
        <v>2</v>
      </c>
      <c r="W3" s="994"/>
      <c r="X3" s="994" t="s">
        <v>1567</v>
      </c>
      <c r="Y3" s="985" t="s">
        <v>1540</v>
      </c>
      <c r="Z3" s="995"/>
      <c r="AA3" s="985" t="s">
        <v>1568</v>
      </c>
      <c r="AB3" s="996" t="s">
        <v>1568</v>
      </c>
      <c r="AC3" s="985" t="s">
        <v>1569</v>
      </c>
      <c r="AD3" s="996" t="s">
        <v>1569</v>
      </c>
      <c r="AF3" s="987" t="s">
        <v>1566</v>
      </c>
      <c r="AH3" s="986" t="s">
        <v>1570</v>
      </c>
      <c r="AI3" s="986" t="s">
        <v>1571</v>
      </c>
      <c r="AK3" s="986" t="s">
        <v>1572</v>
      </c>
      <c r="AM3" s="986" t="s">
        <v>1573</v>
      </c>
      <c r="AP3" s="997" t="s">
        <v>1574</v>
      </c>
      <c r="AQ3" s="998" t="s">
        <v>1574</v>
      </c>
      <c r="AS3" s="985" t="s">
        <v>1575</v>
      </c>
      <c r="AU3" s="1028" t="s">
        <v>1576</v>
      </c>
      <c r="AW3" s="1028" t="s">
        <v>1577</v>
      </c>
      <c r="AX3" s="1028" t="s">
        <v>1577</v>
      </c>
      <c r="AZ3" s="1028" t="s">
        <v>1578</v>
      </c>
      <c r="BB3" s="1028" t="s">
        <v>1579</v>
      </c>
      <c r="BC3" s="1028" t="s">
        <v>1551</v>
      </c>
      <c r="BE3" s="1028">
        <v>2001</v>
      </c>
      <c r="BF3" s="1028" t="s">
        <v>1580</v>
      </c>
      <c r="BH3" s="977" t="s">
        <v>1581</v>
      </c>
      <c r="BJ3" s="977" t="s">
        <v>1582</v>
      </c>
      <c r="BL3" s="977" t="s">
        <v>1583</v>
      </c>
      <c r="BN3" s="977" t="s">
        <v>1584</v>
      </c>
      <c r="BR3" s="977" t="s">
        <v>1585</v>
      </c>
      <c r="BS3" s="1348"/>
      <c r="BT3" s="980"/>
      <c r="BU3" s="977" t="s">
        <v>1586</v>
      </c>
      <c r="BV3" s="980"/>
      <c r="BW3"/>
      <c r="BX3" s="1611" t="s">
        <v>1587</v>
      </c>
      <c r="CA3" s="977" t="s">
        <v>1588</v>
      </c>
    </row>
    <row r="4" spans="1:79" ht="11.25" customHeight="1">
      <c r="A4" s="984" t="s">
        <v>1589</v>
      </c>
      <c r="B4" s="985">
        <v>2002</v>
      </c>
      <c r="C4" s="985">
        <v>2024</v>
      </c>
      <c r="E4" s="986" t="s">
        <v>1590</v>
      </c>
      <c r="F4" s="986" t="s">
        <v>1591</v>
      </c>
      <c r="H4" s="987" t="s">
        <v>1592</v>
      </c>
      <c r="I4" s="986" t="s">
        <v>88</v>
      </c>
      <c r="J4" s="986" t="s">
        <v>1593</v>
      </c>
      <c r="K4" s="988" t="s">
        <v>1594</v>
      </c>
      <c r="L4" s="989">
        <f>IFERROR(MATCH(K4,OFFER_METHOD,0),0)</f>
        <v>0</v>
      </c>
      <c r="M4" s="988">
        <v>3</v>
      </c>
      <c r="N4" s="1067" t="s">
        <v>1595</v>
      </c>
      <c r="O4" s="986" t="s">
        <v>1596</v>
      </c>
      <c r="Q4" s="991" t="s">
        <v>1597</v>
      </c>
      <c r="R4" s="64" t="s">
        <v>1598</v>
      </c>
      <c r="S4" s="64" t="s">
        <v>1599</v>
      </c>
      <c r="T4" s="992" t="s">
        <v>1600</v>
      </c>
      <c r="U4" s="989" t="s">
        <v>1601</v>
      </c>
      <c r="V4" s="993">
        <v>3</v>
      </c>
      <c r="W4" s="994"/>
      <c r="X4" s="994" t="s">
        <v>1602</v>
      </c>
      <c r="Y4" s="985" t="s">
        <v>1540</v>
      </c>
      <c r="Z4" s="1000"/>
      <c r="AC4" s="985" t="s">
        <v>1603</v>
      </c>
      <c r="AD4" s="996" t="s">
        <v>1603</v>
      </c>
      <c r="AF4" s="987" t="s">
        <v>1601</v>
      </c>
      <c r="AH4" s="987" t="s">
        <v>1604</v>
      </c>
      <c r="AK4" s="986" t="s">
        <v>1605</v>
      </c>
      <c r="AM4" s="986" t="s">
        <v>1606</v>
      </c>
      <c r="AP4" s="997" t="s">
        <v>1567</v>
      </c>
      <c r="AQ4" s="998" t="s">
        <v>1567</v>
      </c>
      <c r="AS4" s="985" t="s">
        <v>1607</v>
      </c>
      <c r="AU4" s="1028" t="s">
        <v>1608</v>
      </c>
      <c r="AW4" s="1028" t="s">
        <v>1609</v>
      </c>
      <c r="AX4" s="1028" t="s">
        <v>1609</v>
      </c>
      <c r="AZ4" s="1028" t="s">
        <v>1610</v>
      </c>
      <c r="BB4" s="1028" t="s">
        <v>1611</v>
      </c>
      <c r="BC4" s="1028" t="s">
        <v>1612</v>
      </c>
      <c r="BE4" s="1028">
        <v>2002</v>
      </c>
      <c r="BF4" s="1028" t="s">
        <v>1613</v>
      </c>
      <c r="BH4" s="978" t="s">
        <v>1614</v>
      </c>
      <c r="BJ4" s="978" t="s">
        <v>1614</v>
      </c>
      <c r="BL4" s="978" t="s">
        <v>1614</v>
      </c>
      <c r="BN4" s="978" t="s">
        <v>1614</v>
      </c>
      <c r="BQ4" s="1352" t="s">
        <v>1615</v>
      </c>
      <c r="BR4" s="1064" t="s">
        <v>1616</v>
      </c>
      <c r="BS4" s="189"/>
      <c r="BT4" s="1352" t="s">
        <v>1617</v>
      </c>
      <c r="BU4" s="1064" t="s">
        <v>1618</v>
      </c>
      <c r="BV4" s="980"/>
      <c r="BW4" s="1616" t="s">
        <v>1619</v>
      </c>
      <c r="BX4" s="1610" t="s">
        <v>1620</v>
      </c>
      <c r="BZ4" s="1352" t="s">
        <v>1621</v>
      </c>
      <c r="CA4" s="1064" t="s">
        <v>1622</v>
      </c>
    </row>
    <row r="5" spans="1:79" ht="11.25" customHeight="1">
      <c r="A5" s="984" t="s">
        <v>1623</v>
      </c>
      <c r="B5" s="985">
        <v>2003</v>
      </c>
      <c r="C5" s="985">
        <v>2025</v>
      </c>
      <c r="E5" s="986" t="s">
        <v>1624</v>
      </c>
      <c r="F5" s="986" t="s">
        <v>1625</v>
      </c>
      <c r="H5" s="987" t="s">
        <v>1626</v>
      </c>
      <c r="I5" s="986" t="s">
        <v>89</v>
      </c>
      <c r="K5" s="988" t="s">
        <v>1627</v>
      </c>
      <c r="L5" s="989">
        <f>IFERROR(MATCH(K5,OFFER_METHOD,0),0)</f>
        <v>0</v>
      </c>
      <c r="M5" s="988">
        <v>4</v>
      </c>
      <c r="N5" s="1001" t="s">
        <v>1628</v>
      </c>
      <c r="O5" s="986" t="s">
        <v>1629</v>
      </c>
      <c r="Q5" s="991" t="s">
        <v>1630</v>
      </c>
      <c r="R5" s="64" t="s">
        <v>669</v>
      </c>
      <c r="T5" s="987" t="s">
        <v>1631</v>
      </c>
      <c r="U5" s="989" t="s">
        <v>1632</v>
      </c>
      <c r="V5" s="993">
        <v>4</v>
      </c>
      <c r="W5" s="994"/>
      <c r="X5" s="994" t="s">
        <v>274</v>
      </c>
      <c r="Y5" s="985" t="s">
        <v>1633</v>
      </c>
      <c r="Z5" s="1000">
        <v>1</v>
      </c>
      <c r="AF5" s="987" t="s">
        <v>1634</v>
      </c>
      <c r="AH5" s="986" t="s">
        <v>1635</v>
      </c>
      <c r="AK5" s="986" t="s">
        <v>1636</v>
      </c>
      <c r="AM5" s="986" t="s">
        <v>1637</v>
      </c>
      <c r="AP5" s="997" t="s">
        <v>274</v>
      </c>
      <c r="AQ5" s="998" t="s">
        <v>274</v>
      </c>
      <c r="AU5" s="1028" t="s">
        <v>1638</v>
      </c>
      <c r="AW5" s="1028" t="s">
        <v>1639</v>
      </c>
      <c r="AX5" s="1028" t="s">
        <v>1639</v>
      </c>
      <c r="AZ5" s="1028" t="s">
        <v>1640</v>
      </c>
      <c r="BB5" s="1028" t="s">
        <v>1641</v>
      </c>
      <c r="BC5" s="1028" t="s">
        <v>1642</v>
      </c>
      <c r="BE5" s="1028">
        <v>2003</v>
      </c>
      <c r="BF5" s="1028" t="s">
        <v>1643</v>
      </c>
      <c r="BH5" s="978" t="s">
        <v>1644</v>
      </c>
      <c r="BJ5" s="978" t="s">
        <v>1644</v>
      </c>
      <c r="BL5" s="978" t="s">
        <v>1644</v>
      </c>
      <c r="BN5" s="978" t="s">
        <v>1645</v>
      </c>
      <c r="BQ5" s="1206">
        <v>4213775</v>
      </c>
      <c r="BR5" s="978" t="s">
        <v>1539</v>
      </c>
      <c r="BS5" s="1349"/>
      <c r="BT5" s="1206">
        <v>64236871</v>
      </c>
      <c r="BU5" s="978" t="s">
        <v>403</v>
      </c>
      <c r="BV5" s="980"/>
      <c r="BW5" s="1614">
        <v>4213767</v>
      </c>
      <c r="BX5" s="1612" t="s">
        <v>1646</v>
      </c>
      <c r="BZ5" s="1206">
        <v>64237509</v>
      </c>
      <c r="CA5" s="1219" t="s">
        <v>1647</v>
      </c>
    </row>
    <row r="6" spans="1:79" ht="11.25" customHeight="1">
      <c r="A6" s="984" t="s">
        <v>1648</v>
      </c>
      <c r="B6" s="985">
        <v>2004</v>
      </c>
      <c r="C6" s="985">
        <v>2026</v>
      </c>
      <c r="E6" s="986" t="s">
        <v>1649</v>
      </c>
      <c r="F6" s="1002"/>
      <c r="H6" s="987" t="s">
        <v>1650</v>
      </c>
      <c r="I6" s="986" t="s">
        <v>111</v>
      </c>
      <c r="J6" s="977" t="s">
        <v>1651</v>
      </c>
      <c r="L6" s="989">
        <f>SUM(kind_of_control_method_filter)</f>
        <v>0</v>
      </c>
      <c r="N6" s="1001" t="s">
        <v>1652</v>
      </c>
      <c r="O6" s="986" t="s">
        <v>1653</v>
      </c>
      <c r="R6" s="64" t="s">
        <v>1534</v>
      </c>
      <c r="T6" s="987" t="s">
        <v>1654</v>
      </c>
      <c r="U6" s="989" t="s">
        <v>1634</v>
      </c>
      <c r="V6" s="993">
        <v>5</v>
      </c>
      <c r="W6" s="994"/>
      <c r="X6" s="985" t="s">
        <v>280</v>
      </c>
      <c r="Y6" s="985" t="s">
        <v>1655</v>
      </c>
      <c r="Z6" s="1000"/>
      <c r="AA6" s="1003"/>
      <c r="AH6" s="986" t="s">
        <v>1656</v>
      </c>
      <c r="AK6" s="986" t="s">
        <v>1657</v>
      </c>
      <c r="AM6" s="986" t="s">
        <v>1658</v>
      </c>
      <c r="AP6" s="997" t="s">
        <v>280</v>
      </c>
      <c r="AQ6" s="998" t="s">
        <v>280</v>
      </c>
      <c r="AU6" s="1028" t="s">
        <v>1659</v>
      </c>
      <c r="AW6" s="1028" t="s">
        <v>1660</v>
      </c>
      <c r="AX6" s="1028" t="s">
        <v>1660</v>
      </c>
      <c r="BB6" s="1028" t="s">
        <v>1661</v>
      </c>
      <c r="BC6" s="1028" t="s">
        <v>1642</v>
      </c>
      <c r="BE6" s="1028">
        <v>2004</v>
      </c>
      <c r="BF6" s="1028" t="s">
        <v>1662</v>
      </c>
      <c r="BH6" s="978" t="s">
        <v>1663</v>
      </c>
      <c r="BJ6" s="978" t="s">
        <v>1664</v>
      </c>
      <c r="BL6" s="978" t="s">
        <v>1664</v>
      </c>
      <c r="BN6" s="978" t="s">
        <v>1665</v>
      </c>
      <c r="BQ6" s="1206">
        <v>4213784</v>
      </c>
      <c r="BR6" s="1219" t="s">
        <v>1574</v>
      </c>
      <c r="BS6" s="1350"/>
      <c r="BT6" s="1206">
        <v>64236872</v>
      </c>
      <c r="BU6" s="978" t="s">
        <v>408</v>
      </c>
      <c r="BV6" s="980"/>
      <c r="BW6" s="1614">
        <v>4213768</v>
      </c>
      <c r="BX6" s="1612" t="s">
        <v>428</v>
      </c>
      <c r="BZ6" s="1206">
        <v>64237510</v>
      </c>
      <c r="CA6" s="978" t="s">
        <v>1666</v>
      </c>
    </row>
    <row r="7" spans="1:79" ht="11.25" customHeight="1">
      <c r="A7" s="984" t="s">
        <v>1667</v>
      </c>
      <c r="B7" s="985">
        <v>2005</v>
      </c>
      <c r="E7" s="986" t="s">
        <v>1668</v>
      </c>
      <c r="F7" s="1002"/>
      <c r="H7" s="987" t="s">
        <v>1669</v>
      </c>
      <c r="I7" s="986" t="s">
        <v>90</v>
      </c>
      <c r="J7" s="986" t="s">
        <v>1670</v>
      </c>
      <c r="N7" s="1005" t="s">
        <v>1671</v>
      </c>
      <c r="O7" s="986" t="s">
        <v>1672</v>
      </c>
      <c r="U7" s="989" t="s">
        <v>55</v>
      </c>
      <c r="V7" s="294" t="s">
        <v>90</v>
      </c>
      <c r="W7" s="994"/>
      <c r="X7" s="985" t="s">
        <v>286</v>
      </c>
      <c r="Y7" s="985" t="s">
        <v>1633</v>
      </c>
      <c r="Z7" s="1000"/>
      <c r="AA7" s="1003"/>
      <c r="AH7" s="986" t="s">
        <v>1673</v>
      </c>
      <c r="AK7" s="986" t="s">
        <v>1674</v>
      </c>
      <c r="AM7" s="986" t="s">
        <v>1675</v>
      </c>
      <c r="AP7" s="997" t="s">
        <v>286</v>
      </c>
      <c r="AQ7" s="998" t="s">
        <v>286</v>
      </c>
      <c r="AU7" s="1028" t="s">
        <v>1676</v>
      </c>
      <c r="AW7" s="1028" t="s">
        <v>1677</v>
      </c>
      <c r="AX7" s="1028" t="s">
        <v>1677</v>
      </c>
      <c r="AZ7" s="977" t="s">
        <v>1678</v>
      </c>
      <c r="BB7" s="1028" t="s">
        <v>1679</v>
      </c>
      <c r="BC7" s="1028" t="s">
        <v>1642</v>
      </c>
      <c r="BE7" s="1028">
        <v>2005</v>
      </c>
      <c r="BF7" s="1028" t="s">
        <v>1680</v>
      </c>
      <c r="BH7" s="978" t="s">
        <v>1681</v>
      </c>
      <c r="BJ7" s="978" t="s">
        <v>1663</v>
      </c>
      <c r="BL7" s="978" t="s">
        <v>1663</v>
      </c>
      <c r="BN7" s="978" t="s">
        <v>1682</v>
      </c>
      <c r="BQ7" s="1206">
        <v>4213781</v>
      </c>
      <c r="BR7" s="978" t="s">
        <v>1567</v>
      </c>
      <c r="BS7" s="1349"/>
      <c r="BT7" s="1206">
        <v>64236873</v>
      </c>
      <c r="BU7" s="978" t="s">
        <v>413</v>
      </c>
      <c r="BV7" s="980"/>
      <c r="BW7" s="1614">
        <v>4213769</v>
      </c>
      <c r="BX7" s="1612" t="s">
        <v>1683</v>
      </c>
      <c r="BZ7" s="1206">
        <v>64237511</v>
      </c>
      <c r="CA7" s="978" t="s">
        <v>443</v>
      </c>
    </row>
    <row r="8" spans="1:79" ht="11.25" customHeight="1">
      <c r="A8" s="984" t="s">
        <v>1684</v>
      </c>
      <c r="B8" s="985">
        <v>2006</v>
      </c>
      <c r="E8" s="986" t="s">
        <v>1685</v>
      </c>
      <c r="F8" s="1002"/>
      <c r="I8" s="986" t="s">
        <v>91</v>
      </c>
      <c r="J8" s="986" t="s">
        <v>1686</v>
      </c>
      <c r="N8" s="1068" t="s">
        <v>1687</v>
      </c>
      <c r="O8" s="986" t="s">
        <v>1688</v>
      </c>
      <c r="V8" s="294" t="s">
        <v>91</v>
      </c>
      <c r="W8" s="994"/>
      <c r="X8" s="985" t="s">
        <v>292</v>
      </c>
      <c r="Y8" s="985" t="s">
        <v>1633</v>
      </c>
      <c r="Z8" s="1000"/>
      <c r="AA8" s="1003"/>
      <c r="AK8" s="986" t="s">
        <v>1689</v>
      </c>
      <c r="AP8" s="997" t="s">
        <v>292</v>
      </c>
      <c r="AQ8" s="998" t="s">
        <v>292</v>
      </c>
      <c r="AU8" s="1028" t="s">
        <v>1690</v>
      </c>
      <c r="AW8" s="1028" t="s">
        <v>1691</v>
      </c>
      <c r="AX8" s="1028" t="s">
        <v>1691</v>
      </c>
      <c r="AZ8" s="1028" t="s">
        <v>1692</v>
      </c>
      <c r="BB8" s="1028" t="s">
        <v>1693</v>
      </c>
      <c r="BC8" s="1028" t="s">
        <v>1642</v>
      </c>
      <c r="BE8" s="1028">
        <v>2006</v>
      </c>
      <c r="BF8" s="1028" t="s">
        <v>1694</v>
      </c>
      <c r="BH8" s="978" t="s">
        <v>1695</v>
      </c>
      <c r="BJ8" s="978" t="s">
        <v>1696</v>
      </c>
      <c r="BL8" s="978" t="s">
        <v>1696</v>
      </c>
      <c r="BN8" s="978" t="s">
        <v>1697</v>
      </c>
      <c r="BQ8" s="1206">
        <v>4213776</v>
      </c>
      <c r="BR8" s="978" t="s">
        <v>274</v>
      </c>
      <c r="BS8" s="1349"/>
      <c r="BT8" s="1206">
        <v>64236874</v>
      </c>
      <c r="BU8" s="1219" t="s">
        <v>1698</v>
      </c>
      <c r="BV8" s="980"/>
      <c r="BW8" s="1614">
        <v>4213770</v>
      </c>
      <c r="BX8" s="1615" t="s">
        <v>1699</v>
      </c>
      <c r="BZ8" s="1206">
        <v>64237512</v>
      </c>
      <c r="CA8" s="978" t="s">
        <v>438</v>
      </c>
    </row>
    <row r="9" spans="1:79" ht="11.25" customHeight="1">
      <c r="A9" s="984" t="s">
        <v>1700</v>
      </c>
      <c r="B9" s="985">
        <v>2007</v>
      </c>
      <c r="E9" s="986" t="s">
        <v>1701</v>
      </c>
      <c r="F9" s="1002"/>
      <c r="G9" s="977" t="s">
        <v>1702</v>
      </c>
      <c r="H9" s="977" t="s">
        <v>1703</v>
      </c>
      <c r="I9" s="986" t="s">
        <v>121</v>
      </c>
      <c r="O9" s="986" t="s">
        <v>1704</v>
      </c>
      <c r="V9" s="294" t="s">
        <v>121</v>
      </c>
      <c r="W9" s="994"/>
      <c r="X9" s="985" t="s">
        <v>298</v>
      </c>
      <c r="Y9" s="985" t="s">
        <v>1540</v>
      </c>
      <c r="Z9" s="1000">
        <v>1</v>
      </c>
      <c r="AA9" s="1003"/>
      <c r="AK9" s="986" t="s">
        <v>1705</v>
      </c>
      <c r="AP9" s="997" t="s">
        <v>1706</v>
      </c>
      <c r="AQ9" s="998" t="s">
        <v>1706</v>
      </c>
      <c r="AW9" s="1028" t="s">
        <v>1707</v>
      </c>
      <c r="AX9" s="1028" t="s">
        <v>1707</v>
      </c>
      <c r="AZ9" s="1028" t="s">
        <v>1708</v>
      </c>
      <c r="BB9" s="1028" t="s">
        <v>1709</v>
      </c>
      <c r="BC9" s="1028" t="s">
        <v>1642</v>
      </c>
      <c r="BE9" s="1028">
        <v>2007</v>
      </c>
      <c r="BF9" s="1028" t="s">
        <v>1710</v>
      </c>
      <c r="BH9" s="978" t="s">
        <v>1711</v>
      </c>
      <c r="BJ9" s="978" t="s">
        <v>1712</v>
      </c>
      <c r="BL9" s="978" t="s">
        <v>1712</v>
      </c>
      <c r="BN9" s="978" t="s">
        <v>1713</v>
      </c>
      <c r="BQ9" s="1206">
        <v>4213777</v>
      </c>
      <c r="BR9" s="978" t="s">
        <v>280</v>
      </c>
      <c r="BS9" s="1349"/>
      <c r="BT9" s="1206">
        <v>64236875</v>
      </c>
      <c r="BU9" s="978" t="s">
        <v>418</v>
      </c>
      <c r="BV9" s="980"/>
      <c r="BW9"/>
      <c r="BX9"/>
    </row>
    <row r="10" spans="1:79" ht="11.25" customHeight="1">
      <c r="A10" s="984" t="s">
        <v>1714</v>
      </c>
      <c r="B10" s="985">
        <v>2008</v>
      </c>
      <c r="E10" s="986" t="s">
        <v>1715</v>
      </c>
      <c r="F10" s="1002"/>
      <c r="G10" s="986" t="s">
        <v>1716</v>
      </c>
      <c r="H10" s="986" t="s">
        <v>1717</v>
      </c>
      <c r="I10" s="986" t="s">
        <v>125</v>
      </c>
      <c r="J10" s="977" t="s">
        <v>1718</v>
      </c>
      <c r="K10" s="977" t="s">
        <v>1719</v>
      </c>
      <c r="O10" s="986" t="s">
        <v>1720</v>
      </c>
      <c r="V10" s="295" t="s">
        <v>125</v>
      </c>
      <c r="W10" s="1006"/>
      <c r="X10" s="1006" t="s">
        <v>1721</v>
      </c>
      <c r="Y10" s="1007" t="s">
        <v>1722</v>
      </c>
      <c r="Z10" s="1000"/>
      <c r="AP10" s="997" t="s">
        <v>1721</v>
      </c>
      <c r="AQ10" s="998" t="s">
        <v>1721</v>
      </c>
      <c r="AW10" s="1028" t="s">
        <v>1723</v>
      </c>
      <c r="AX10" s="1028" t="s">
        <v>1723</v>
      </c>
      <c r="AZ10" s="1028" t="s">
        <v>1724</v>
      </c>
      <c r="BB10" s="1028" t="s">
        <v>1725</v>
      </c>
      <c r="BC10" s="1028" t="s">
        <v>1642</v>
      </c>
      <c r="BE10" s="1028">
        <v>2008</v>
      </c>
      <c r="BF10" s="1028" t="s">
        <v>1726</v>
      </c>
      <c r="BH10" s="978" t="s">
        <v>1727</v>
      </c>
      <c r="BJ10" s="978" t="s">
        <v>1728</v>
      </c>
      <c r="BL10" s="978" t="s">
        <v>1728</v>
      </c>
      <c r="BN10" s="978" t="s">
        <v>1729</v>
      </c>
      <c r="BQ10" s="1206">
        <v>4213778</v>
      </c>
      <c r="BR10" s="978" t="s">
        <v>286</v>
      </c>
      <c r="BS10" s="1349"/>
      <c r="BT10" s="1206">
        <v>64236876</v>
      </c>
      <c r="BU10" s="978" t="s">
        <v>318</v>
      </c>
      <c r="BV10" s="980"/>
      <c r="BW10"/>
      <c r="BX10"/>
    </row>
    <row r="11" spans="1:79" ht="11.25" customHeight="1">
      <c r="A11" s="984" t="s">
        <v>1730</v>
      </c>
      <c r="B11" s="985">
        <v>2009</v>
      </c>
      <c r="E11" s="986" t="s">
        <v>1731</v>
      </c>
      <c r="F11" s="1002"/>
      <c r="G11" s="986" t="s">
        <v>1732</v>
      </c>
      <c r="H11" s="986" t="s">
        <v>1733</v>
      </c>
      <c r="I11" s="986" t="s">
        <v>129</v>
      </c>
      <c r="J11" s="987" t="s">
        <v>1734</v>
      </c>
      <c r="K11" s="1008" t="s">
        <v>1735</v>
      </c>
      <c r="O11" s="987" t="s">
        <v>1736</v>
      </c>
      <c r="V11" s="294" t="s">
        <v>129</v>
      </c>
      <c r="W11" s="190"/>
      <c r="X11" s="994" t="s">
        <v>1706</v>
      </c>
      <c r="Y11" s="985" t="s">
        <v>1737</v>
      </c>
      <c r="Z11" s="1000"/>
      <c r="AP11" s="997" t="s">
        <v>298</v>
      </c>
      <c r="AQ11" s="999" t="s">
        <v>298</v>
      </c>
      <c r="AW11" s="1028" t="s">
        <v>1738</v>
      </c>
      <c r="AX11" s="1028" t="s">
        <v>1738</v>
      </c>
      <c r="AZ11" s="1028" t="s">
        <v>1739</v>
      </c>
      <c r="BB11" s="1028" t="s">
        <v>1740</v>
      </c>
      <c r="BC11" s="1028" t="s">
        <v>1642</v>
      </c>
      <c r="BE11" s="1028">
        <v>2009</v>
      </c>
      <c r="BF11" s="1028" t="s">
        <v>1741</v>
      </c>
      <c r="BH11" s="978" t="s">
        <v>1742</v>
      </c>
      <c r="BJ11" s="978" t="s">
        <v>1711</v>
      </c>
      <c r="BL11" s="978" t="s">
        <v>1711</v>
      </c>
      <c r="BN11" s="978" t="s">
        <v>1743</v>
      </c>
      <c r="BQ11" s="1206">
        <v>4213780</v>
      </c>
      <c r="BR11" s="978" t="s">
        <v>292</v>
      </c>
      <c r="BS11" s="1349"/>
      <c r="BW11"/>
      <c r="BX11"/>
    </row>
    <row r="12" spans="1:79" ht="11.25" customHeight="1">
      <c r="A12" s="984" t="s">
        <v>1744</v>
      </c>
      <c r="B12" s="985">
        <v>2010</v>
      </c>
      <c r="E12" s="986" t="s">
        <v>1745</v>
      </c>
      <c r="F12" s="1002"/>
      <c r="G12" s="986" t="s">
        <v>1733</v>
      </c>
      <c r="I12" s="986" t="s">
        <v>102</v>
      </c>
      <c r="J12" s="987" t="s">
        <v>1746</v>
      </c>
      <c r="K12" s="1008" t="s">
        <v>1747</v>
      </c>
      <c r="O12" s="987" t="s">
        <v>1534</v>
      </c>
      <c r="V12" s="294" t="s">
        <v>102</v>
      </c>
      <c r="W12" s="999"/>
      <c r="X12" s="994" t="s">
        <v>1748</v>
      </c>
      <c r="Y12" s="985" t="s">
        <v>1540</v>
      </c>
      <c r="AP12" s="997"/>
      <c r="AW12" s="1028" t="s">
        <v>129</v>
      </c>
      <c r="AX12" s="1028" t="s">
        <v>129</v>
      </c>
      <c r="AZ12" s="1028" t="s">
        <v>1749</v>
      </c>
      <c r="BB12" s="1028" t="s">
        <v>1750</v>
      </c>
      <c r="BC12" s="1028" t="s">
        <v>1642</v>
      </c>
      <c r="BE12" s="1028">
        <v>2010</v>
      </c>
      <c r="BF12" s="1028" t="s">
        <v>1751</v>
      </c>
      <c r="BH12" s="978" t="s">
        <v>1752</v>
      </c>
      <c r="BJ12" s="978" t="s">
        <v>1753</v>
      </c>
      <c r="BL12" s="978" t="s">
        <v>1753</v>
      </c>
      <c r="BN12" s="978" t="s">
        <v>1754</v>
      </c>
      <c r="BQ12" s="1206">
        <v>4213779</v>
      </c>
      <c r="BR12" s="978" t="s">
        <v>1706</v>
      </c>
      <c r="BS12" s="1349"/>
      <c r="BT12" s="980"/>
      <c r="BU12" s="980"/>
      <c r="BV12" s="980"/>
      <c r="BW12"/>
      <c r="BX12"/>
    </row>
    <row r="13" spans="1:79" ht="11.25" customHeight="1">
      <c r="A13" s="984" t="s">
        <v>1755</v>
      </c>
      <c r="B13" s="985">
        <v>2011</v>
      </c>
      <c r="E13" s="986" t="s">
        <v>1756</v>
      </c>
      <c r="F13" s="1002"/>
      <c r="I13" s="986" t="s">
        <v>136</v>
      </c>
      <c r="K13" s="1008" t="s">
        <v>1705</v>
      </c>
      <c r="V13" s="294" t="s">
        <v>136</v>
      </c>
      <c r="W13" s="999"/>
      <c r="X13" s="999"/>
      <c r="Y13" s="999"/>
      <c r="AW13" s="1028" t="s">
        <v>102</v>
      </c>
      <c r="AX13" s="1028" t="s">
        <v>102</v>
      </c>
      <c r="BB13" s="1028" t="s">
        <v>1757</v>
      </c>
      <c r="BC13" s="1028" t="s">
        <v>1758</v>
      </c>
      <c r="BE13" s="1028">
        <v>2011</v>
      </c>
      <c r="BF13" s="1028" t="s">
        <v>1759</v>
      </c>
      <c r="BH13" s="978" t="s">
        <v>1760</v>
      </c>
      <c r="BJ13" s="978" t="s">
        <v>1742</v>
      </c>
      <c r="BL13" s="978" t="s">
        <v>1742</v>
      </c>
      <c r="BN13" s="978" t="s">
        <v>1761</v>
      </c>
      <c r="BQ13" s="1206">
        <v>4213783</v>
      </c>
      <c r="BR13" s="978" t="s">
        <v>1721</v>
      </c>
      <c r="BS13" s="1349"/>
      <c r="BT13" s="980"/>
      <c r="BU13" s="980"/>
      <c r="BV13" s="980"/>
      <c r="BW13" s="1613"/>
      <c r="BX13"/>
    </row>
    <row r="14" spans="1:79" ht="11.25" customHeight="1">
      <c r="A14" s="984" t="s">
        <v>1762</v>
      </c>
      <c r="B14" s="985">
        <v>2012</v>
      </c>
      <c r="I14" s="986" t="s">
        <v>140</v>
      </c>
      <c r="J14" s="977" t="s">
        <v>1763</v>
      </c>
      <c r="N14" s="977" t="s">
        <v>1764</v>
      </c>
      <c r="V14" s="993">
        <v>13</v>
      </c>
      <c r="W14" s="994"/>
      <c r="X14" s="994" t="s">
        <v>1574</v>
      </c>
      <c r="Y14" s="985" t="s">
        <v>1540</v>
      </c>
      <c r="AW14" s="1028" t="s">
        <v>136</v>
      </c>
      <c r="AX14" s="1028" t="s">
        <v>136</v>
      </c>
      <c r="AZ14" s="977" t="s">
        <v>1765</v>
      </c>
      <c r="BB14" s="1028" t="s">
        <v>1766</v>
      </c>
      <c r="BC14" s="1028" t="s">
        <v>1758</v>
      </c>
      <c r="BE14" s="1028">
        <v>2012</v>
      </c>
      <c r="BH14" s="978" t="s">
        <v>1682</v>
      </c>
      <c r="BJ14" s="1126" t="s">
        <v>1767</v>
      </c>
      <c r="BL14" s="1126" t="s">
        <v>1767</v>
      </c>
      <c r="BN14" s="978" t="s">
        <v>1768</v>
      </c>
      <c r="BQ14" s="1206">
        <v>4213782</v>
      </c>
      <c r="BR14" s="978" t="s">
        <v>298</v>
      </c>
      <c r="BS14" s="1349"/>
      <c r="BT14" s="980"/>
      <c r="BU14" s="980"/>
      <c r="BV14" s="980"/>
      <c r="BW14" s="1613"/>
      <c r="BX14"/>
    </row>
    <row r="15" spans="1:79" ht="19.5" customHeight="1">
      <c r="A15" s="984" t="s">
        <v>1769</v>
      </c>
      <c r="B15" s="985">
        <v>2013</v>
      </c>
      <c r="E15" s="1617" t="s">
        <v>1770</v>
      </c>
      <c r="G15" s="977" t="s">
        <v>1771</v>
      </c>
      <c r="H15" s="977" t="s">
        <v>1772</v>
      </c>
      <c r="I15" s="988" t="s">
        <v>144</v>
      </c>
      <c r="J15" s="999" t="s">
        <v>752</v>
      </c>
      <c r="N15" s="1063" t="s">
        <v>1773</v>
      </c>
      <c r="X15" s="997"/>
      <c r="AW15" s="1028" t="s">
        <v>140</v>
      </c>
      <c r="AX15" s="1028" t="s">
        <v>140</v>
      </c>
      <c r="AZ15" s="1028" t="s">
        <v>1692</v>
      </c>
      <c r="BB15" s="1028" t="s">
        <v>1774</v>
      </c>
      <c r="BC15" s="1028" t="s">
        <v>1758</v>
      </c>
      <c r="BE15" s="1028">
        <v>2013</v>
      </c>
      <c r="BH15" s="978" t="s">
        <v>1697</v>
      </c>
      <c r="BJ15" s="1126" t="s">
        <v>1775</v>
      </c>
      <c r="BL15" s="1126" t="s">
        <v>1775</v>
      </c>
      <c r="BN15" s="978" t="s">
        <v>1776</v>
      </c>
      <c r="BR15" s="980"/>
      <c r="BS15" s="1351"/>
      <c r="BT15" s="980"/>
      <c r="BU15" s="980"/>
      <c r="BV15" s="980"/>
      <c r="BW15" s="1613"/>
      <c r="BX15"/>
    </row>
    <row r="16" spans="1:79" ht="21" customHeight="1">
      <c r="A16" s="1789" t="s">
        <v>1777</v>
      </c>
      <c r="B16" s="985">
        <v>2014</v>
      </c>
      <c r="E16" s="1618" t="s">
        <v>1778</v>
      </c>
      <c r="G16" s="986" t="s">
        <v>1779</v>
      </c>
      <c r="H16" s="986" t="s">
        <v>1780</v>
      </c>
      <c r="I16" s="988" t="s">
        <v>148</v>
      </c>
      <c r="J16" s="999" t="s">
        <v>725</v>
      </c>
      <c r="N16" s="1063" t="s">
        <v>1781</v>
      </c>
      <c r="AW16" s="1028" t="s">
        <v>144</v>
      </c>
      <c r="AX16" s="1028" t="s">
        <v>144</v>
      </c>
      <c r="AZ16" s="1028" t="s">
        <v>1708</v>
      </c>
      <c r="BB16" s="1028" t="s">
        <v>1782</v>
      </c>
      <c r="BC16" s="1028" t="s">
        <v>1758</v>
      </c>
      <c r="BE16" s="1028">
        <v>2014</v>
      </c>
      <c r="BH16" s="978" t="s">
        <v>1713</v>
      </c>
      <c r="BJ16" s="1126" t="s">
        <v>1783</v>
      </c>
      <c r="BL16" s="1126" t="s">
        <v>1783</v>
      </c>
      <c r="BN16" s="978" t="s">
        <v>1784</v>
      </c>
      <c r="BR16" s="980"/>
      <c r="BS16" s="1351"/>
      <c r="BT16" s="980"/>
      <c r="BU16" s="980"/>
      <c r="BV16" s="980"/>
      <c r="BW16" s="1613"/>
      <c r="BX16"/>
    </row>
    <row r="17" spans="1:82" ht="21" customHeight="1">
      <c r="A17" s="984" t="s">
        <v>1785</v>
      </c>
      <c r="B17" s="985">
        <v>2015</v>
      </c>
      <c r="G17" s="986" t="s">
        <v>1733</v>
      </c>
      <c r="H17" s="986" t="s">
        <v>1733</v>
      </c>
      <c r="I17" s="986" t="s">
        <v>152</v>
      </c>
      <c r="N17" s="1063" t="s">
        <v>1786</v>
      </c>
      <c r="X17" s="997"/>
      <c r="AW17" s="1028" t="s">
        <v>148</v>
      </c>
      <c r="AX17" s="1028" t="s">
        <v>148</v>
      </c>
      <c r="AZ17" s="1028" t="s">
        <v>1787</v>
      </c>
      <c r="BB17" s="1028" t="s">
        <v>1788</v>
      </c>
      <c r="BC17" s="1028" t="s">
        <v>1642</v>
      </c>
      <c r="BE17" s="1028">
        <v>2015</v>
      </c>
      <c r="BH17" s="978" t="s">
        <v>1729</v>
      </c>
      <c r="BJ17" s="1126" t="s">
        <v>1789</v>
      </c>
      <c r="BL17" s="1126" t="s">
        <v>1789</v>
      </c>
      <c r="BN17" s="978" t="s">
        <v>1790</v>
      </c>
      <c r="BR17" s="977" t="s">
        <v>1585</v>
      </c>
      <c r="BS17" s="1348"/>
      <c r="BU17" s="977" t="s">
        <v>1791</v>
      </c>
      <c r="BV17" s="980"/>
      <c r="BW17"/>
      <c r="BX17" s="1611" t="s">
        <v>1792</v>
      </c>
      <c r="CA17" s="977" t="s">
        <v>1793</v>
      </c>
      <c r="CD17" s="977" t="s">
        <v>1794</v>
      </c>
    </row>
    <row r="18" spans="1:82" ht="21" customHeight="1">
      <c r="A18" s="984" t="s">
        <v>1795</v>
      </c>
      <c r="B18" s="985">
        <v>2016</v>
      </c>
      <c r="I18" s="986" t="s">
        <v>156</v>
      </c>
      <c r="N18" s="1063" t="s">
        <v>1796</v>
      </c>
      <c r="X18" s="997"/>
      <c r="AW18" s="1028" t="s">
        <v>152</v>
      </c>
      <c r="AX18" s="1028" t="s">
        <v>152</v>
      </c>
      <c r="BB18" s="1028" t="s">
        <v>1797</v>
      </c>
      <c r="BC18" s="1028" t="s">
        <v>1642</v>
      </c>
      <c r="BE18" s="1028">
        <v>2016</v>
      </c>
      <c r="BH18" s="978" t="s">
        <v>1743</v>
      </c>
      <c r="BJ18" s="1126" t="s">
        <v>1798</v>
      </c>
      <c r="BL18" s="1126" t="s">
        <v>1798</v>
      </c>
      <c r="BN18" s="978" t="s">
        <v>1799</v>
      </c>
      <c r="BQ18" s="1352" t="s">
        <v>1615</v>
      </c>
      <c r="BR18" s="1064" t="s">
        <v>1616</v>
      </c>
      <c r="BS18" s="189"/>
      <c r="BT18" s="1352" t="s">
        <v>1800</v>
      </c>
      <c r="BU18" s="1064" t="s">
        <v>1801</v>
      </c>
      <c r="BV18" s="980"/>
      <c r="BW18" s="1616" t="s">
        <v>1802</v>
      </c>
      <c r="BX18" s="1610" t="s">
        <v>1803</v>
      </c>
      <c r="BZ18" s="1352" t="s">
        <v>1804</v>
      </c>
      <c r="CA18" s="1064" t="s">
        <v>1805</v>
      </c>
      <c r="CC18" s="1352" t="s">
        <v>1806</v>
      </c>
      <c r="CD18" s="1064" t="s">
        <v>1807</v>
      </c>
    </row>
    <row r="19" spans="1:82" ht="21" customHeight="1">
      <c r="A19" s="1789" t="s">
        <v>1808</v>
      </c>
      <c r="B19" s="985">
        <v>2017</v>
      </c>
      <c r="I19" s="986" t="s">
        <v>160</v>
      </c>
      <c r="N19" s="1063" t="s">
        <v>1809</v>
      </c>
      <c r="X19" s="997"/>
      <c r="AW19" s="1028" t="s">
        <v>156</v>
      </c>
      <c r="AX19" s="1028" t="s">
        <v>156</v>
      </c>
      <c r="AZ19" s="977" t="s">
        <v>1810</v>
      </c>
      <c r="BB19" s="1028" t="s">
        <v>1811</v>
      </c>
      <c r="BC19" s="1028" t="s">
        <v>1642</v>
      </c>
      <c r="BE19" s="1028">
        <v>2017</v>
      </c>
      <c r="BH19" s="978" t="s">
        <v>1812</v>
      </c>
      <c r="BJ19" s="1126" t="s">
        <v>1813</v>
      </c>
      <c r="BL19" s="1126" t="s">
        <v>1813</v>
      </c>
      <c r="BQ19" s="1206">
        <v>4190064</v>
      </c>
      <c r="BR19" s="978" t="s">
        <v>1814</v>
      </c>
      <c r="BS19" s="1349"/>
      <c r="BT19" s="1206">
        <v>4189671</v>
      </c>
      <c r="BU19" s="978" t="s">
        <v>1815</v>
      </c>
      <c r="BV19" s="980"/>
      <c r="BW19" s="1614">
        <v>4189706</v>
      </c>
      <c r="BX19" s="1612" t="s">
        <v>1816</v>
      </c>
      <c r="BZ19" s="1206">
        <v>4189714</v>
      </c>
      <c r="CA19" s="978" t="s">
        <v>1817</v>
      </c>
      <c r="CC19" s="1206">
        <v>4189708</v>
      </c>
      <c r="CD19" s="978" t="s">
        <v>1818</v>
      </c>
    </row>
    <row r="20" spans="1:82" ht="21" customHeight="1">
      <c r="A20" s="984" t="s">
        <v>1819</v>
      </c>
      <c r="B20" s="985">
        <v>2018</v>
      </c>
      <c r="I20" s="986" t="s">
        <v>164</v>
      </c>
      <c r="N20" s="1063" t="s">
        <v>1820</v>
      </c>
      <c r="AW20" s="1028" t="s">
        <v>160</v>
      </c>
      <c r="AX20" s="1028" t="s">
        <v>160</v>
      </c>
      <c r="AZ20" s="1028" t="s">
        <v>1821</v>
      </c>
      <c r="BB20" s="1028" t="s">
        <v>1822</v>
      </c>
      <c r="BC20" s="1028" t="s">
        <v>1758</v>
      </c>
      <c r="BE20" s="1028">
        <v>2018</v>
      </c>
      <c r="BH20" s="978" t="s">
        <v>1754</v>
      </c>
      <c r="BJ20" s="978" t="s">
        <v>1682</v>
      </c>
      <c r="BL20" s="978" t="s">
        <v>1682</v>
      </c>
      <c r="BQ20" s="1206">
        <v>4190065</v>
      </c>
      <c r="BR20" s="978" t="s">
        <v>1823</v>
      </c>
      <c r="BS20" s="1349"/>
      <c r="BT20" s="1206">
        <v>4189672</v>
      </c>
      <c r="BU20" s="978" t="s">
        <v>1824</v>
      </c>
      <c r="BV20" s="980"/>
      <c r="BW20" s="1614">
        <v>4189705</v>
      </c>
      <c r="BX20" s="1612" t="s">
        <v>1825</v>
      </c>
      <c r="BZ20" s="1206">
        <v>4189713</v>
      </c>
      <c r="CA20" s="978" t="s">
        <v>1825</v>
      </c>
      <c r="CC20" s="1206">
        <v>4189709</v>
      </c>
      <c r="CD20" s="978" t="s">
        <v>1826</v>
      </c>
    </row>
    <row r="21" spans="1:82" ht="21" customHeight="1">
      <c r="A21" s="984" t="s">
        <v>1827</v>
      </c>
      <c r="B21" s="985">
        <v>2019</v>
      </c>
      <c r="I21" s="986" t="s">
        <v>168</v>
      </c>
      <c r="N21" s="1063" t="s">
        <v>1828</v>
      </c>
      <c r="AW21" s="1028" t="s">
        <v>164</v>
      </c>
      <c r="AX21" s="1028" t="s">
        <v>164</v>
      </c>
      <c r="AZ21" s="1028" t="s">
        <v>1829</v>
      </c>
      <c r="BB21" s="1028" t="s">
        <v>1830</v>
      </c>
      <c r="BC21" s="1028" t="s">
        <v>1642</v>
      </c>
      <c r="BE21" s="1028">
        <v>2019</v>
      </c>
      <c r="BH21" s="978" t="s">
        <v>1761</v>
      </c>
      <c r="BJ21" s="978" t="s">
        <v>1697</v>
      </c>
      <c r="BL21" s="978" t="s">
        <v>1697</v>
      </c>
      <c r="BQ21" s="1206">
        <v>4190066</v>
      </c>
      <c r="BR21" s="978" t="s">
        <v>1831</v>
      </c>
      <c r="BS21" s="1349"/>
      <c r="BT21" s="1206">
        <v>4189673</v>
      </c>
      <c r="BU21" s="978" t="s">
        <v>1832</v>
      </c>
      <c r="BV21" s="980"/>
      <c r="BW21" s="1614">
        <v>4189707</v>
      </c>
      <c r="BX21" s="1612" t="s">
        <v>1833</v>
      </c>
      <c r="BZ21" s="1206">
        <v>4189712</v>
      </c>
      <c r="CA21" s="978" t="s">
        <v>1834</v>
      </c>
      <c r="CC21" s="1206">
        <v>4189710</v>
      </c>
      <c r="CD21" s="978" t="s">
        <v>1835</v>
      </c>
    </row>
    <row r="22" spans="1:82" ht="21" customHeight="1">
      <c r="A22" s="984" t="s">
        <v>1836</v>
      </c>
      <c r="B22" s="985">
        <v>2020</v>
      </c>
      <c r="N22" s="1063" t="s">
        <v>1837</v>
      </c>
      <c r="AW22" s="1028" t="s">
        <v>168</v>
      </c>
      <c r="AX22" s="1028" t="s">
        <v>168</v>
      </c>
      <c r="AZ22" s="1028" t="s">
        <v>1838</v>
      </c>
      <c r="BB22" s="1028" t="s">
        <v>1839</v>
      </c>
      <c r="BC22" s="1028" t="s">
        <v>1642</v>
      </c>
      <c r="BE22" s="1028">
        <v>2020</v>
      </c>
      <c r="BH22" s="978" t="s">
        <v>1768</v>
      </c>
      <c r="BJ22" s="978" t="s">
        <v>1713</v>
      </c>
      <c r="BL22" s="978" t="s">
        <v>1713</v>
      </c>
      <c r="BQ22" s="1206">
        <v>4190067</v>
      </c>
      <c r="BR22" s="978" t="s">
        <v>1840</v>
      </c>
      <c r="BS22" s="1349"/>
      <c r="BT22" s="1206">
        <v>4189674</v>
      </c>
      <c r="BU22" s="978" t="s">
        <v>1841</v>
      </c>
      <c r="BV22" s="980"/>
      <c r="BW22" s="980"/>
      <c r="CC22" s="1206">
        <v>4189711</v>
      </c>
      <c r="CD22" s="978" t="s">
        <v>467</v>
      </c>
    </row>
    <row r="23" spans="1:82" ht="21" customHeight="1">
      <c r="A23" s="984" t="s">
        <v>1842</v>
      </c>
      <c r="B23" s="985">
        <v>2021</v>
      </c>
      <c r="AW23" s="1028" t="s">
        <v>172</v>
      </c>
      <c r="AX23" s="1028" t="s">
        <v>172</v>
      </c>
      <c r="AZ23" s="1028" t="s">
        <v>1843</v>
      </c>
      <c r="BB23" s="1028" t="s">
        <v>1844</v>
      </c>
      <c r="BC23" s="1028" t="s">
        <v>1551</v>
      </c>
      <c r="BE23" s="1028">
        <v>2021</v>
      </c>
      <c r="BH23" s="978" t="s">
        <v>1776</v>
      </c>
      <c r="BJ23" s="978" t="s">
        <v>1729</v>
      </c>
      <c r="BL23" s="978" t="s">
        <v>1729</v>
      </c>
      <c r="BQ23" s="1206">
        <v>4190068</v>
      </c>
      <c r="BR23" s="978" t="s">
        <v>1845</v>
      </c>
      <c r="BS23" s="1349"/>
      <c r="BT23" s="1206">
        <v>4189675</v>
      </c>
      <c r="BU23" s="978" t="s">
        <v>1846</v>
      </c>
      <c r="BV23" s="980"/>
      <c r="BW23" s="980"/>
      <c r="CC23" s="1206">
        <v>5110778</v>
      </c>
      <c r="CD23" s="978" t="s">
        <v>1847</v>
      </c>
    </row>
    <row r="24" spans="1:82" ht="21" customHeight="1">
      <c r="A24" s="984" t="s">
        <v>1848</v>
      </c>
      <c r="B24" s="985">
        <v>2022</v>
      </c>
      <c r="AW24" s="1028" t="s">
        <v>176</v>
      </c>
      <c r="AX24" s="1028" t="s">
        <v>176</v>
      </c>
      <c r="AZ24" s="1028" t="s">
        <v>1849</v>
      </c>
      <c r="BB24" s="1028" t="s">
        <v>1850</v>
      </c>
      <c r="BC24" s="1028" t="s">
        <v>1851</v>
      </c>
      <c r="BE24" s="1028">
        <v>2022</v>
      </c>
      <c r="BH24" s="978" t="s">
        <v>1784</v>
      </c>
      <c r="BJ24" s="978" t="s">
        <v>1743</v>
      </c>
      <c r="BL24" s="978" t="s">
        <v>1743</v>
      </c>
      <c r="BQ24" s="1206">
        <v>4190069</v>
      </c>
      <c r="BR24" s="978" t="s">
        <v>1852</v>
      </c>
      <c r="BS24" s="1349"/>
      <c r="BT24" s="1206">
        <v>4189676</v>
      </c>
      <c r="BU24" s="978" t="s">
        <v>1853</v>
      </c>
      <c r="BV24" s="980"/>
      <c r="BW24" s="980"/>
      <c r="CC24" s="1206">
        <v>25575374</v>
      </c>
      <c r="CD24" s="978" t="s">
        <v>1854</v>
      </c>
    </row>
    <row r="25" spans="1:82" ht="11.25" customHeight="1">
      <c r="A25" s="984" t="s">
        <v>1855</v>
      </c>
      <c r="B25" s="985">
        <v>2023</v>
      </c>
      <c r="AW25" s="1028" t="s">
        <v>180</v>
      </c>
      <c r="AX25" s="1028" t="s">
        <v>180</v>
      </c>
      <c r="AZ25" s="1028" t="s">
        <v>1856</v>
      </c>
      <c r="BB25" s="1028" t="s">
        <v>1857</v>
      </c>
      <c r="BC25" s="1028" t="s">
        <v>1851</v>
      </c>
      <c r="BE25" s="1028">
        <v>2023</v>
      </c>
      <c r="BH25" s="978" t="s">
        <v>1790</v>
      </c>
      <c r="BJ25" s="978" t="s">
        <v>1812</v>
      </c>
      <c r="BL25" s="978" t="s">
        <v>1812</v>
      </c>
      <c r="BQ25" s="1206">
        <v>4190070</v>
      </c>
      <c r="BR25" s="978" t="s">
        <v>1858</v>
      </c>
      <c r="BS25" s="1349"/>
      <c r="BT25" s="1206">
        <v>4189677</v>
      </c>
      <c r="BU25" s="978" t="s">
        <v>1859</v>
      </c>
      <c r="BV25" s="980"/>
      <c r="BW25" s="980"/>
    </row>
    <row r="26" spans="1:82" ht="11.25" customHeight="1">
      <c r="A26" s="984" t="s">
        <v>1860</v>
      </c>
      <c r="B26" s="985">
        <v>2024</v>
      </c>
      <c r="J26" s="1650" t="s">
        <v>1861</v>
      </c>
      <c r="AX26" s="1028" t="s">
        <v>105</v>
      </c>
      <c r="AZ26" s="1028" t="s">
        <v>1736</v>
      </c>
      <c r="BB26" s="1028" t="s">
        <v>1862</v>
      </c>
      <c r="BC26" s="1028" t="s">
        <v>1851</v>
      </c>
      <c r="BE26" s="1028">
        <v>2024</v>
      </c>
      <c r="BH26" s="978" t="s">
        <v>1799</v>
      </c>
      <c r="BJ26" s="978" t="s">
        <v>1754</v>
      </c>
      <c r="BL26" s="978" t="s">
        <v>1754</v>
      </c>
      <c r="BQ26" s="1206">
        <v>4190071</v>
      </c>
      <c r="BR26" s="978" t="s">
        <v>1863</v>
      </c>
      <c r="BS26" s="1349"/>
      <c r="BV26" s="980"/>
      <c r="BW26" s="980"/>
    </row>
    <row r="27" spans="1:82" ht="11.25" customHeight="1">
      <c r="A27" s="984" t="s">
        <v>1864</v>
      </c>
      <c r="B27" s="985">
        <v>2025</v>
      </c>
      <c r="J27" s="94" t="s">
        <v>101</v>
      </c>
      <c r="AX27" s="1028" t="s">
        <v>187</v>
      </c>
      <c r="BB27" s="1028" t="s">
        <v>1865</v>
      </c>
      <c r="BC27" s="1028" t="s">
        <v>1851</v>
      </c>
      <c r="BE27" s="1028">
        <v>2025</v>
      </c>
      <c r="BH27" s="980" t="s">
        <v>24</v>
      </c>
      <c r="BJ27" s="978" t="s">
        <v>1761</v>
      </c>
      <c r="BL27" s="978" t="s">
        <v>1761</v>
      </c>
      <c r="BN27" s="980" t="s">
        <v>24</v>
      </c>
      <c r="BQ27" s="1206">
        <v>4190072</v>
      </c>
      <c r="BR27" s="978" t="s">
        <v>1866</v>
      </c>
      <c r="BS27" s="1349"/>
      <c r="BV27" s="980"/>
      <c r="BW27" s="980"/>
    </row>
    <row r="28" spans="1:82" ht="11.25" customHeight="1">
      <c r="A28" s="984" t="s">
        <v>1867</v>
      </c>
      <c r="D28" s="1009"/>
      <c r="E28" s="1010"/>
      <c r="F28" s="1010"/>
      <c r="H28" s="1011" t="s">
        <v>1868</v>
      </c>
      <c r="AX28" s="1028" t="s">
        <v>191</v>
      </c>
      <c r="AZ28" s="977" t="s">
        <v>1869</v>
      </c>
      <c r="BB28" s="1028" t="s">
        <v>1870</v>
      </c>
      <c r="BC28" s="1028" t="s">
        <v>1871</v>
      </c>
      <c r="BE28" s="1028">
        <v>2026</v>
      </c>
      <c r="BH28" s="980" t="s">
        <v>24</v>
      </c>
      <c r="BJ28" s="978" t="s">
        <v>1768</v>
      </c>
      <c r="BL28" s="978" t="s">
        <v>1768</v>
      </c>
      <c r="BN28" s="980" t="s">
        <v>24</v>
      </c>
      <c r="BQ28" s="1206">
        <v>4190073</v>
      </c>
      <c r="BR28" s="978" t="s">
        <v>1872</v>
      </c>
      <c r="BS28" s="1349"/>
      <c r="BV28" s="980"/>
      <c r="BW28" s="980"/>
    </row>
    <row r="29" spans="1:82" ht="11.25" customHeight="1">
      <c r="A29" s="984" t="s">
        <v>1873</v>
      </c>
      <c r="D29" s="1012" t="s">
        <v>1874</v>
      </c>
      <c r="E29" s="1013">
        <f>IF(TEMPLATE_GROUP="","",INDEX(StartDateList,MATCH(TEMPLATE_GROUP,CodeTemplateList,0),1))</f>
        <v>45292.410879629628</v>
      </c>
      <c r="F29" s="1013">
        <f>IF(TEMPLATE_GROUP="","",INDEX(EndDateList,MATCH(TEMPLATE_GROUP,CodeTemplateList,0),1))</f>
        <v>47118.410937499997</v>
      </c>
      <c r="H29" s="1014" t="s">
        <v>1875</v>
      </c>
      <c r="AX29" s="1028" t="s">
        <v>195</v>
      </c>
      <c r="AZ29" s="1028" t="s">
        <v>1535</v>
      </c>
      <c r="BB29" s="1028" t="s">
        <v>1736</v>
      </c>
      <c r="BC29" s="1000"/>
      <c r="BE29" s="1028">
        <v>2027</v>
      </c>
      <c r="BJ29" s="978" t="s">
        <v>1776</v>
      </c>
      <c r="BL29" s="978" t="s">
        <v>1776</v>
      </c>
    </row>
    <row r="30" spans="1:82" ht="11.25" customHeight="1">
      <c r="A30" s="984" t="s">
        <v>1876</v>
      </c>
      <c r="D30" s="1015"/>
      <c r="E30" s="1016"/>
      <c r="F30" s="1016"/>
      <c r="AX30" s="1028" t="s">
        <v>199</v>
      </c>
      <c r="AZ30" s="1028" t="s">
        <v>1563</v>
      </c>
      <c r="BE30" s="1028">
        <v>2028</v>
      </c>
      <c r="BJ30" s="978" t="s">
        <v>1877</v>
      </c>
      <c r="BL30" s="978" t="s">
        <v>1877</v>
      </c>
    </row>
    <row r="31" spans="1:82" ht="12.75" customHeight="1">
      <c r="A31" s="984" t="s">
        <v>1878</v>
      </c>
      <c r="D31" s="1009"/>
      <c r="E31" s="1010"/>
      <c r="F31" s="1010"/>
      <c r="H31" s="1017"/>
      <c r="AX31" s="1028" t="s">
        <v>203</v>
      </c>
      <c r="AZ31" s="1028" t="s">
        <v>671</v>
      </c>
      <c r="BE31" s="1028">
        <v>2029</v>
      </c>
      <c r="BJ31" s="978" t="s">
        <v>1879</v>
      </c>
      <c r="BL31" s="978" t="s">
        <v>1879</v>
      </c>
    </row>
    <row r="32" spans="1:82" ht="11.25" customHeight="1">
      <c r="A32" s="984" t="s">
        <v>1880</v>
      </c>
      <c r="D32" s="1012" t="s">
        <v>1881</v>
      </c>
      <c r="E32" s="1013">
        <f>IF(TEMPLATE_GROUP="","",INDEX(StartDateList,MATCH(TEMPLATE_GROUP,CodeTemplateList,0),1))</f>
        <v>45292.410879629628</v>
      </c>
      <c r="F32" s="1013">
        <f>IF(TEMPLATE_GROUP="","",INDEX(EndDateList,MATCH(TEMPLATE_GROUP,CodeTemplateList,0),1))</f>
        <v>47118.410937499997</v>
      </c>
      <c r="H32" s="1018" t="s">
        <v>1882</v>
      </c>
      <c r="O32" s="984" t="s">
        <v>1533</v>
      </c>
      <c r="AX32" s="1028" t="s">
        <v>1883</v>
      </c>
      <c r="AZ32" s="1028" t="s">
        <v>669</v>
      </c>
      <c r="BE32" s="1028">
        <v>2030</v>
      </c>
      <c r="BJ32" s="978" t="s">
        <v>1784</v>
      </c>
      <c r="BL32" s="978" t="s">
        <v>1784</v>
      </c>
    </row>
    <row r="33" spans="1:66" ht="11.25" customHeight="1">
      <c r="A33" s="984" t="s">
        <v>1884</v>
      </c>
      <c r="O33" s="984" t="s">
        <v>1560</v>
      </c>
      <c r="AX33" s="1028" t="s">
        <v>1885</v>
      </c>
      <c r="AZ33" s="1028" t="s">
        <v>1534</v>
      </c>
      <c r="BE33" s="1028">
        <v>2031</v>
      </c>
      <c r="BJ33" s="978" t="s">
        <v>1790</v>
      </c>
      <c r="BL33" s="978" t="s">
        <v>1790</v>
      </c>
    </row>
    <row r="34" spans="1:66" ht="11.25" customHeight="1">
      <c r="A34" s="984" t="s">
        <v>1886</v>
      </c>
      <c r="O34" s="984" t="s">
        <v>1596</v>
      </c>
      <c r="AX34" s="1028" t="s">
        <v>1887</v>
      </c>
      <c r="BE34" s="1028">
        <v>2032</v>
      </c>
      <c r="BJ34" s="978" t="s">
        <v>1799</v>
      </c>
      <c r="BL34" s="978" t="s">
        <v>1799</v>
      </c>
    </row>
    <row r="35" spans="1:66" ht="11.25" customHeight="1">
      <c r="A35" s="984" t="s">
        <v>1888</v>
      </c>
      <c r="O35" s="984" t="s">
        <v>1629</v>
      </c>
      <c r="AX35" s="1028" t="s">
        <v>1889</v>
      </c>
      <c r="AZ35" s="977" t="s">
        <v>1890</v>
      </c>
      <c r="BE35" s="1028">
        <v>2033</v>
      </c>
      <c r="BL35" s="978" t="s">
        <v>1891</v>
      </c>
    </row>
    <row r="36" spans="1:66" ht="11.25" customHeight="1">
      <c r="A36" s="1789" t="s">
        <v>1892</v>
      </c>
      <c r="D36" s="1019" t="s">
        <v>1893</v>
      </c>
      <c r="E36" s="1020" t="s">
        <v>937</v>
      </c>
      <c r="F36" s="1021" t="str">
        <f>INDEX(E37:E41,MATCH(TEMPLATE_SPHERE,F37:F41,0))</f>
        <v>холодного водоснабжения</v>
      </c>
      <c r="G36" s="1021" t="str">
        <f>INDEX(G37:G41,MATCH(TEMPLATE_SPHERE,F37:F41,0))</f>
        <v>холодное водоснабжение</v>
      </c>
      <c r="O36" s="984" t="s">
        <v>1653</v>
      </c>
      <c r="AX36" s="1028" t="s">
        <v>1894</v>
      </c>
      <c r="AZ36" s="1028" t="s">
        <v>1534</v>
      </c>
      <c r="BE36" s="1028">
        <v>2034</v>
      </c>
      <c r="BL36" s="978" t="s">
        <v>1895</v>
      </c>
    </row>
    <row r="37" spans="1:66" ht="11.25" customHeight="1">
      <c r="A37" s="984" t="s">
        <v>1896</v>
      </c>
      <c r="E37" s="336" t="s">
        <v>1897</v>
      </c>
      <c r="F37" s="1022" t="s">
        <v>891</v>
      </c>
      <c r="G37" s="336" t="s">
        <v>1898</v>
      </c>
      <c r="O37" s="984" t="s">
        <v>1672</v>
      </c>
      <c r="AX37" s="1028" t="s">
        <v>1899</v>
      </c>
      <c r="AZ37" s="1028" t="s">
        <v>1562</v>
      </c>
      <c r="BE37" s="1028">
        <v>2035</v>
      </c>
    </row>
    <row r="38" spans="1:66" ht="11.25" customHeight="1">
      <c r="A38" s="984" t="s">
        <v>1900</v>
      </c>
      <c r="E38" s="336" t="s">
        <v>1901</v>
      </c>
      <c r="F38" s="1023" t="s">
        <v>937</v>
      </c>
      <c r="G38" s="336" t="s">
        <v>1902</v>
      </c>
      <c r="O38" s="984" t="s">
        <v>1688</v>
      </c>
      <c r="AX38" s="1028" t="s">
        <v>1903</v>
      </c>
      <c r="AZ38" s="1028" t="s">
        <v>1597</v>
      </c>
      <c r="BE38" s="1028">
        <v>2036</v>
      </c>
      <c r="BH38" s="977" t="s">
        <v>1904</v>
      </c>
      <c r="BJ38" s="977" t="s">
        <v>1905</v>
      </c>
      <c r="BL38" s="977" t="s">
        <v>1906</v>
      </c>
      <c r="BN38" s="977" t="s">
        <v>1907</v>
      </c>
    </row>
    <row r="39" spans="1:66" ht="11.25" customHeight="1">
      <c r="A39" s="984" t="s">
        <v>1908</v>
      </c>
      <c r="E39" s="336" t="s">
        <v>1909</v>
      </c>
      <c r="F39" s="1023" t="s">
        <v>989</v>
      </c>
      <c r="G39" s="336" t="s">
        <v>1910</v>
      </c>
      <c r="O39" s="984" t="s">
        <v>1704</v>
      </c>
      <c r="AX39" s="1028" t="s">
        <v>108</v>
      </c>
      <c r="AZ39" s="1028" t="s">
        <v>1630</v>
      </c>
      <c r="BE39" s="1028">
        <v>2037</v>
      </c>
      <c r="BH39" s="978" t="s">
        <v>1911</v>
      </c>
      <c r="BJ39" s="1126" t="s">
        <v>1911</v>
      </c>
      <c r="BL39" s="1126" t="s">
        <v>1911</v>
      </c>
      <c r="BN39" s="978" t="s">
        <v>1912</v>
      </c>
    </row>
    <row r="40" spans="1:66" ht="11.25" customHeight="1">
      <c r="A40" s="984" t="s">
        <v>1913</v>
      </c>
      <c r="E40" s="336" t="s">
        <v>1914</v>
      </c>
      <c r="F40" s="1023" t="s">
        <v>975</v>
      </c>
      <c r="G40" s="336" t="s">
        <v>1915</v>
      </c>
      <c r="O40" s="984" t="s">
        <v>1720</v>
      </c>
      <c r="AX40" s="1028" t="s">
        <v>1916</v>
      </c>
      <c r="BE40" s="1028">
        <v>2038</v>
      </c>
      <c r="BH40" s="978" t="s">
        <v>1917</v>
      </c>
      <c r="BJ40" s="1126" t="s">
        <v>1110</v>
      </c>
      <c r="BL40" s="1126" t="s">
        <v>1110</v>
      </c>
      <c r="BN40" s="978" t="s">
        <v>1144</v>
      </c>
    </row>
    <row r="41" spans="1:66" ht="11.25" customHeight="1">
      <c r="A41" s="984" t="s">
        <v>1918</v>
      </c>
      <c r="E41" s="336" t="s">
        <v>1919</v>
      </c>
      <c r="F41" s="1023" t="s">
        <v>1920</v>
      </c>
      <c r="G41" s="336" t="s">
        <v>1919</v>
      </c>
      <c r="O41" s="984" t="s">
        <v>1736</v>
      </c>
      <c r="AX41" s="1028" t="s">
        <v>1921</v>
      </c>
      <c r="AZ41" s="977" t="s">
        <v>1922</v>
      </c>
      <c r="BE41" s="1028">
        <v>2039</v>
      </c>
      <c r="BH41" s="978" t="s">
        <v>1923</v>
      </c>
      <c r="BJ41" s="1126" t="s">
        <v>1106</v>
      </c>
      <c r="BL41" s="1126" t="s">
        <v>1106</v>
      </c>
      <c r="BN41" s="978" t="s">
        <v>1131</v>
      </c>
    </row>
    <row r="42" spans="1:66" ht="11.25" customHeight="1">
      <c r="A42" s="984" t="s">
        <v>1924</v>
      </c>
      <c r="AX42" s="1028" t="s">
        <v>1925</v>
      </c>
      <c r="AZ42" s="1028" t="s">
        <v>1533</v>
      </c>
      <c r="BE42" s="1028">
        <v>2040</v>
      </c>
      <c r="BH42" s="978" t="s">
        <v>1128</v>
      </c>
      <c r="BJ42" s="1126" t="s">
        <v>1108</v>
      </c>
      <c r="BL42" s="1126" t="s">
        <v>1108</v>
      </c>
      <c r="BN42" s="978" t="s">
        <v>1926</v>
      </c>
    </row>
    <row r="43" spans="1:66" ht="11.25" customHeight="1">
      <c r="A43" s="984" t="s">
        <v>1927</v>
      </c>
      <c r="AX43" s="1028" t="s">
        <v>1928</v>
      </c>
      <c r="AZ43" s="1028" t="s">
        <v>1560</v>
      </c>
      <c r="BE43" s="1028">
        <v>2041</v>
      </c>
      <c r="BH43" s="978" t="s">
        <v>1929</v>
      </c>
      <c r="BJ43" s="1126" t="s">
        <v>1923</v>
      </c>
      <c r="BL43" s="1126" t="s">
        <v>1923</v>
      </c>
      <c r="BN43" s="978" t="s">
        <v>1930</v>
      </c>
    </row>
    <row r="44" spans="1:66" ht="11.25" customHeight="1">
      <c r="A44" s="984" t="s">
        <v>1931</v>
      </c>
      <c r="I44" s="713" t="s">
        <v>1932</v>
      </c>
      <c r="J44" s="999" t="s">
        <v>1933</v>
      </c>
      <c r="K44" s="999" t="s">
        <v>1934</v>
      </c>
      <c r="AX44" s="1028" t="s">
        <v>1935</v>
      </c>
      <c r="AZ44" s="1028" t="s">
        <v>1596</v>
      </c>
      <c r="BE44" s="1028">
        <v>2042</v>
      </c>
      <c r="BH44" s="978" t="s">
        <v>1936</v>
      </c>
      <c r="BJ44" s="1126" t="s">
        <v>1128</v>
      </c>
      <c r="BL44" s="1126" t="s">
        <v>1128</v>
      </c>
      <c r="BN44" s="978" t="s">
        <v>1937</v>
      </c>
    </row>
    <row r="45" spans="1:66" ht="11.25" customHeight="1">
      <c r="A45" s="984" t="s">
        <v>1938</v>
      </c>
      <c r="D45" s="1019" t="s">
        <v>1939</v>
      </c>
      <c r="E45" s="1020" t="s">
        <v>1940</v>
      </c>
      <c r="F45" s="711" t="s">
        <v>1941</v>
      </c>
      <c r="G45" s="710" t="s">
        <v>1942</v>
      </c>
      <c r="H45" s="713" t="s">
        <v>1943</v>
      </c>
      <c r="I45" s="1660" t="b">
        <f>INDEX(PeriodIsEmptyList,MATCH(TEMPLATE_GROUP,CodeTemplateList,0),1)</f>
        <v>0</v>
      </c>
      <c r="J45" s="1663" t="str">
        <f>INDEX(NameTemplatesInTitleList,MATCH(TEMPLATE_GROUP,CodeTemplateList,0),1)</f>
        <v>Показатели, подлежащие раскрытию в сфере холодного водоснабжения (цены и тарифы)</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8" t="s">
        <v>1944</v>
      </c>
      <c r="AZ45" s="1028" t="s">
        <v>1629</v>
      </c>
      <c r="BE45" s="1028">
        <v>2043</v>
      </c>
      <c r="BH45" s="978" t="s">
        <v>1945</v>
      </c>
      <c r="BJ45" s="1126" t="s">
        <v>1122</v>
      </c>
      <c r="BL45" s="1126" t="s">
        <v>1122</v>
      </c>
      <c r="BN45" s="978" t="s">
        <v>1946</v>
      </c>
    </row>
    <row r="46" spans="1:66" ht="11.25" customHeight="1">
      <c r="A46" s="984" t="s">
        <v>1947</v>
      </c>
      <c r="E46" s="336" t="s">
        <v>22</v>
      </c>
      <c r="F46" s="1022" t="s">
        <v>1948</v>
      </c>
      <c r="G46" s="1024"/>
      <c r="H46" s="1024"/>
      <c r="I46" s="1661" t="b">
        <f>IF(TITLE_DATE_FIL="",TRUE,FALSE)</f>
        <v>1</v>
      </c>
      <c r="J46" s="1664" t="str">
        <f>"Общая информация о регулируемой организации ("&amp;TEMPLATE_SPHERE_RUS&amp;")"</f>
        <v>Общая информация о регулируемой организации (холодного водоснабжения)</v>
      </c>
      <c r="K46" s="1665"/>
      <c r="AX46" s="1028" t="s">
        <v>1949</v>
      </c>
      <c r="AZ46" s="1028" t="s">
        <v>1653</v>
      </c>
      <c r="BE46" s="1028">
        <v>2044</v>
      </c>
      <c r="BH46" s="978" t="s">
        <v>1131</v>
      </c>
      <c r="BJ46" s="1126" t="s">
        <v>1112</v>
      </c>
      <c r="BL46" s="1126" t="s">
        <v>1112</v>
      </c>
      <c r="BN46" s="978" t="s">
        <v>1950</v>
      </c>
    </row>
    <row r="47" spans="1:66" ht="11.25" customHeight="1">
      <c r="A47" s="984" t="s">
        <v>1951</v>
      </c>
      <c r="E47" s="336" t="s">
        <v>29</v>
      </c>
      <c r="F47" s="1023" t="s">
        <v>1952</v>
      </c>
      <c r="G47" s="1025" t="str">
        <f>IF(f_year="","",IF(LEN(f_quart)=0,"",IF(f_quart="I квартал","01.01."&amp;f_year,IF(f_quart="II квартал","01.04."&amp;f_year,(IF(f_quart="III квартал","01.07."&amp;f_year,"01.10."&amp;f_year))))))</f>
        <v/>
      </c>
      <c r="H47" s="1025" t="str">
        <f>IF(f_year="","",IF(LEN(f_quart)=0,"",IF(f_quart="I квартал","31.03."&amp;f_year,IF(f_quart="II квартал","30.06."&amp;f_year,(IF(f_quart="III квартал","30.09."&amp;f_year,"31.12."&amp;f_year))))))</f>
        <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5"/>
      <c r="AX47" s="1028" t="s">
        <v>1953</v>
      </c>
      <c r="AZ47" s="1028" t="s">
        <v>1672</v>
      </c>
      <c r="BE47" s="1028">
        <v>2045</v>
      </c>
      <c r="BH47" s="978" t="s">
        <v>1926</v>
      </c>
      <c r="BJ47" s="1126" t="s">
        <v>1114</v>
      </c>
      <c r="BL47" s="1126" t="s">
        <v>1114</v>
      </c>
      <c r="BN47" s="978" t="s">
        <v>1954</v>
      </c>
    </row>
    <row r="48" spans="1:66" ht="11.25" customHeight="1">
      <c r="A48" s="984" t="s">
        <v>1955</v>
      </c>
      <c r="E48" s="336" t="s">
        <v>1956</v>
      </c>
      <c r="F48" s="1023" t="s">
        <v>1957</v>
      </c>
      <c r="G48" s="1025" t="str">
        <f>IF(f_year="","","01.01."&amp;f_year)</f>
        <v/>
      </c>
      <c r="H48" s="1025" t="str">
        <f>IF(f_year="","","31.12."&amp;f_year)</f>
        <v/>
      </c>
      <c r="I48" s="1661" t="b">
        <f>IF(f_year="",TRUE,FALSE)</f>
        <v>1</v>
      </c>
      <c r="J48" s="1664" t="s">
        <v>1958</v>
      </c>
      <c r="K48" s="1665"/>
      <c r="AX48" s="1028" t="s">
        <v>1959</v>
      </c>
      <c r="AZ48" s="1028" t="s">
        <v>1688</v>
      </c>
      <c r="BE48" s="1028">
        <v>2046</v>
      </c>
      <c r="BH48" s="978" t="s">
        <v>1930</v>
      </c>
      <c r="BJ48" s="1126" t="s">
        <v>1116</v>
      </c>
      <c r="BL48" s="1126" t="s">
        <v>1116</v>
      </c>
      <c r="BN48" s="978" t="s">
        <v>1960</v>
      </c>
    </row>
    <row r="49" spans="1:64" ht="11.25" customHeight="1">
      <c r="A49" s="984" t="s">
        <v>1961</v>
      </c>
      <c r="E49" s="336" t="s">
        <v>1962</v>
      </c>
      <c r="F49" s="1023" t="s">
        <v>1963</v>
      </c>
      <c r="G49" s="1025" t="str">
        <f>IF(f_year="","","01.01."&amp;f_year)</f>
        <v/>
      </c>
      <c r="H49" s="1025" t="str">
        <f>IF(f_year="","","31.12."&amp;f_year)</f>
        <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5"/>
      <c r="AX49" s="1028" t="s">
        <v>112</v>
      </c>
      <c r="AZ49" s="1028" t="s">
        <v>1704</v>
      </c>
      <c r="BE49" s="1028">
        <v>2047</v>
      </c>
      <c r="BH49" s="978" t="s">
        <v>1132</v>
      </c>
      <c r="BJ49" s="1126" t="s">
        <v>1118</v>
      </c>
      <c r="BL49" s="1126" t="s">
        <v>1118</v>
      </c>
    </row>
    <row r="50" spans="1:64" ht="11.25" customHeight="1">
      <c r="A50" s="984" t="s">
        <v>1964</v>
      </c>
      <c r="E50" s="336" t="s">
        <v>1965</v>
      </c>
      <c r="F50" s="1023" t="s">
        <v>1102</v>
      </c>
      <c r="G50" s="1025" t="str">
        <f>IF(f_year="","","01.01."&amp;f_year)</f>
        <v/>
      </c>
      <c r="H50" s="1025" t="str">
        <f>IF(f_year="","","31.12."&amp;f_year)</f>
        <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5"/>
      <c r="AX50" s="1028" t="s">
        <v>1966</v>
      </c>
      <c r="AZ50" s="1028" t="s">
        <v>1720</v>
      </c>
      <c r="BE50" s="1028">
        <v>2048</v>
      </c>
      <c r="BH50" s="978" t="s">
        <v>1937</v>
      </c>
      <c r="BJ50" s="1126" t="s">
        <v>1120</v>
      </c>
      <c r="BL50" s="1126" t="s">
        <v>1120</v>
      </c>
    </row>
    <row r="51" spans="1:64" ht="11.25" customHeight="1">
      <c r="A51" s="984" t="s">
        <v>1967</v>
      </c>
      <c r="E51" s="336" t="s">
        <v>1968</v>
      </c>
      <c r="F51" s="1023" t="s">
        <v>1969</v>
      </c>
      <c r="G51" s="1025">
        <f>IF(TITLE_PERIOD_START="","",TITLE_PERIOD_START)</f>
        <v>45292.410879629628</v>
      </c>
      <c r="H51" s="1025">
        <f>IF(TITLE_PERIOD_END="","",TITLE_PERIOD_END)</f>
        <v>47118.410937499997</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28" t="s">
        <v>1970</v>
      </c>
      <c r="AZ51" s="1028" t="s">
        <v>1736</v>
      </c>
      <c r="BE51" s="1028">
        <v>2049</v>
      </c>
      <c r="BH51" s="978" t="s">
        <v>1946</v>
      </c>
      <c r="BJ51" s="1126" t="s">
        <v>1971</v>
      </c>
      <c r="BL51" s="1126" t="s">
        <v>1971</v>
      </c>
    </row>
    <row r="52" spans="1:64" ht="11.25" customHeight="1">
      <c r="A52" s="984" t="s">
        <v>1972</v>
      </c>
      <c r="E52" s="336" t="s">
        <v>1973</v>
      </c>
      <c r="F52" s="1023" t="s">
        <v>1940</v>
      </c>
      <c r="G52" s="1025">
        <f>IF(TITLE_PERIOD_START="","",TITLE_PERIOD_START)</f>
        <v>45292.410879629628</v>
      </c>
      <c r="H52" s="1025">
        <f>IF(TITLE_PERIOD_END="","",TITLE_PERIOD_END)</f>
        <v>47118.410937499997</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5"/>
      <c r="AX52" s="1028" t="s">
        <v>1974</v>
      </c>
      <c r="AZ52" s="1028" t="s">
        <v>1534</v>
      </c>
      <c r="BE52" s="1028">
        <v>2050</v>
      </c>
      <c r="BH52" s="978" t="s">
        <v>1950</v>
      </c>
      <c r="BJ52" s="1126" t="s">
        <v>1131</v>
      </c>
      <c r="BL52" s="1126" t="s">
        <v>1131</v>
      </c>
    </row>
    <row r="53" spans="1:64" ht="11.25" customHeight="1">
      <c r="A53" s="984" t="s">
        <v>1975</v>
      </c>
      <c r="E53" s="336" t="s">
        <v>1976</v>
      </c>
      <c r="F53" s="1023" t="s">
        <v>1976</v>
      </c>
      <c r="G53" s="1025" t="str">
        <f>IF(f_year="","","01.01."&amp;f_year)</f>
        <v/>
      </c>
      <c r="H53" s="1025" t="str">
        <f>IF(f_year="","","31.12."&amp;f_year)</f>
        <v/>
      </c>
      <c r="I53" s="1661" t="b">
        <f>IF(AND(f_year="",TITLE_DATE_FIL=""),TRUE,FALSE)</f>
        <v>1</v>
      </c>
      <c r="J53" s="1664" t="s">
        <v>1977</v>
      </c>
      <c r="K53" s="1665"/>
      <c r="AX53" s="1028" t="s">
        <v>1978</v>
      </c>
      <c r="BE53" s="1028">
        <v>2051</v>
      </c>
      <c r="BH53" s="978" t="s">
        <v>1954</v>
      </c>
      <c r="BJ53" s="1126" t="s">
        <v>1926</v>
      </c>
      <c r="BL53" s="1126" t="s">
        <v>1926</v>
      </c>
    </row>
    <row r="54" spans="1:64" ht="11.25" customHeight="1">
      <c r="A54" s="984" t="s">
        <v>1979</v>
      </c>
      <c r="AX54" s="1028" t="s">
        <v>1980</v>
      </c>
      <c r="AZ54" s="977" t="s">
        <v>1981</v>
      </c>
      <c r="BE54" s="1028">
        <v>2052</v>
      </c>
      <c r="BH54" s="978" t="s">
        <v>1960</v>
      </c>
      <c r="BJ54" s="1126" t="s">
        <v>1930</v>
      </c>
      <c r="BL54" s="1126" t="s">
        <v>1930</v>
      </c>
    </row>
    <row r="55" spans="1:64" ht="11.25" customHeight="1">
      <c r="A55" s="984" t="s">
        <v>1982</v>
      </c>
      <c r="AX55" s="1028" t="s">
        <v>1983</v>
      </c>
      <c r="AZ55" s="1028" t="s">
        <v>1536</v>
      </c>
      <c r="BE55" s="1028">
        <v>2053</v>
      </c>
      <c r="BH55" s="980" t="s">
        <v>24</v>
      </c>
      <c r="BJ55" s="1126" t="s">
        <v>1132</v>
      </c>
      <c r="BL55" s="1126" t="s">
        <v>1132</v>
      </c>
    </row>
    <row r="56" spans="1:64" ht="11.25" customHeight="1">
      <c r="A56" s="984" t="s">
        <v>1984</v>
      </c>
      <c r="D56" s="1027" t="s">
        <v>1985</v>
      </c>
      <c r="E56" s="1004">
        <v>62</v>
      </c>
      <c r="F56" s="984" t="s">
        <v>1986</v>
      </c>
      <c r="AX56" s="1028" t="s">
        <v>1987</v>
      </c>
      <c r="AZ56" s="1028" t="s">
        <v>1564</v>
      </c>
      <c r="BE56" s="1028">
        <v>2054</v>
      </c>
      <c r="BH56" s="980" t="s">
        <v>24</v>
      </c>
      <c r="BJ56" s="1126" t="s">
        <v>1937</v>
      </c>
      <c r="BL56" s="1126" t="s">
        <v>1937</v>
      </c>
    </row>
    <row r="57" spans="1:64" ht="11.25" customHeight="1">
      <c r="A57" s="984" t="s">
        <v>1988</v>
      </c>
      <c r="D57" s="1027" t="s">
        <v>1989</v>
      </c>
      <c r="E57" s="1004">
        <v>66</v>
      </c>
      <c r="F57" s="984" t="s">
        <v>1986</v>
      </c>
      <c r="AX57" s="1028" t="s">
        <v>1990</v>
      </c>
      <c r="AZ57" s="1028" t="s">
        <v>1599</v>
      </c>
      <c r="BE57" s="1028">
        <v>2055</v>
      </c>
      <c r="BJ57" s="1126" t="s">
        <v>1946</v>
      </c>
      <c r="BL57" s="1126" t="s">
        <v>1946</v>
      </c>
    </row>
    <row r="58" spans="1:64" ht="11.25" customHeight="1">
      <c r="A58" s="984" t="s">
        <v>1991</v>
      </c>
      <c r="D58" s="1027" t="s">
        <v>1992</v>
      </c>
      <c r="E58" s="1004">
        <v>44</v>
      </c>
      <c r="F58" s="984" t="s">
        <v>1986</v>
      </c>
      <c r="AX58" s="1028" t="s">
        <v>1993</v>
      </c>
      <c r="BE58" s="1028">
        <v>2056</v>
      </c>
      <c r="BJ58" s="1126" t="s">
        <v>1950</v>
      </c>
      <c r="BL58" s="1126" t="s">
        <v>1950</v>
      </c>
    </row>
    <row r="59" spans="1:64" ht="11.25" customHeight="1">
      <c r="A59" s="984" t="s">
        <v>1994</v>
      </c>
      <c r="D59" s="1027" t="s">
        <v>245</v>
      </c>
      <c r="E59" s="1004" t="s">
        <v>168</v>
      </c>
      <c r="F59" s="984" t="s">
        <v>1995</v>
      </c>
      <c r="AX59" s="1028" t="s">
        <v>1996</v>
      </c>
      <c r="AZ59" s="977" t="s">
        <v>1997</v>
      </c>
      <c r="BE59" s="1028">
        <v>2057</v>
      </c>
      <c r="BJ59" s="1126" t="s">
        <v>1954</v>
      </c>
      <c r="BL59" s="1126" t="s">
        <v>1954</v>
      </c>
    </row>
    <row r="60" spans="1:64" ht="11.25" customHeight="1">
      <c r="A60" s="984" t="s">
        <v>1998</v>
      </c>
      <c r="D60" s="1027" t="s">
        <v>1999</v>
      </c>
      <c r="E60" s="1004" t="s">
        <v>168</v>
      </c>
      <c r="F60" s="984" t="s">
        <v>1995</v>
      </c>
      <c r="AX60" s="1028" t="s">
        <v>2000</v>
      </c>
      <c r="AZ60" s="1028" t="s">
        <v>1537</v>
      </c>
      <c r="BE60" s="1028">
        <v>2058</v>
      </c>
      <c r="BJ60" s="1126" t="s">
        <v>1960</v>
      </c>
      <c r="BL60" s="1126" t="s">
        <v>1960</v>
      </c>
    </row>
    <row r="61" spans="1:64" ht="11.25" customHeight="1">
      <c r="A61" s="984" t="s">
        <v>2001</v>
      </c>
      <c r="D61" s="1027" t="s">
        <v>2002</v>
      </c>
      <c r="E61" s="1004">
        <v>41</v>
      </c>
      <c r="F61" s="984" t="s">
        <v>1995</v>
      </c>
      <c r="AX61" s="1028" t="s">
        <v>2003</v>
      </c>
      <c r="AZ61" s="1028" t="s">
        <v>1565</v>
      </c>
      <c r="BE61" s="1028">
        <v>2059</v>
      </c>
      <c r="BL61" s="1126" t="s">
        <v>1124</v>
      </c>
    </row>
    <row r="62" spans="1:64" ht="11.25" customHeight="1">
      <c r="A62" s="984" t="s">
        <v>2004</v>
      </c>
      <c r="D62" s="1027" t="s">
        <v>244</v>
      </c>
      <c r="E62" s="1004">
        <v>46</v>
      </c>
      <c r="F62" s="984" t="s">
        <v>1995</v>
      </c>
      <c r="AZ62" s="1028" t="s">
        <v>1600</v>
      </c>
      <c r="BE62" s="1028">
        <v>2060</v>
      </c>
      <c r="BL62" s="1126" t="s">
        <v>1126</v>
      </c>
    </row>
    <row r="63" spans="1:64" ht="11.25" customHeight="1">
      <c r="A63" s="984" t="s">
        <v>2005</v>
      </c>
      <c r="D63" s="1027" t="s">
        <v>2006</v>
      </c>
      <c r="E63" s="1004">
        <v>46</v>
      </c>
      <c r="F63" s="984" t="s">
        <v>1995</v>
      </c>
      <c r="AZ63" s="1028" t="s">
        <v>1631</v>
      </c>
      <c r="BE63" s="1028">
        <v>2061</v>
      </c>
    </row>
    <row r="64" spans="1:64" ht="11.25" customHeight="1">
      <c r="A64" s="984" t="s">
        <v>2007</v>
      </c>
      <c r="D64" s="1027" t="s">
        <v>2008</v>
      </c>
      <c r="E64" s="1004">
        <v>46</v>
      </c>
      <c r="F64" s="984" t="s">
        <v>1995</v>
      </c>
      <c r="AZ64" s="1028" t="s">
        <v>1654</v>
      </c>
      <c r="BE64" s="1028">
        <v>2062</v>
      </c>
    </row>
    <row r="65" spans="1:66" ht="11.25" customHeight="1">
      <c r="A65" s="984" t="s">
        <v>2009</v>
      </c>
      <c r="D65" s="984"/>
      <c r="BE65" s="1028">
        <v>2063</v>
      </c>
    </row>
    <row r="66" spans="1:66" ht="11.25" customHeight="1">
      <c r="A66" s="984" t="s">
        <v>2010</v>
      </c>
      <c r="AZ66" s="977" t="s">
        <v>2011</v>
      </c>
      <c r="BE66" s="1028">
        <v>2064</v>
      </c>
    </row>
    <row r="67" spans="1:66" ht="11.25" customHeight="1">
      <c r="A67" s="984" t="s">
        <v>2012</v>
      </c>
      <c r="AZ67" s="1028" t="s">
        <v>1538</v>
      </c>
      <c r="BE67" s="1028">
        <v>2065</v>
      </c>
    </row>
    <row r="68" spans="1:66" ht="11.25" customHeight="1">
      <c r="A68" s="984" t="s">
        <v>2013</v>
      </c>
      <c r="AZ68" s="1028" t="s">
        <v>1566</v>
      </c>
      <c r="BE68" s="1028">
        <v>2066</v>
      </c>
      <c r="BH68" s="977" t="s">
        <v>2014</v>
      </c>
      <c r="BJ68" s="977" t="s">
        <v>2015</v>
      </c>
      <c r="BL68" s="977" t="s">
        <v>2016</v>
      </c>
      <c r="BN68" s="977" t="s">
        <v>2017</v>
      </c>
    </row>
    <row r="69" spans="1:66" ht="11.25" customHeight="1">
      <c r="A69" s="984" t="s">
        <v>2018</v>
      </c>
      <c r="AZ69" s="1028" t="s">
        <v>1601</v>
      </c>
      <c r="BE69" s="1028">
        <v>2067</v>
      </c>
      <c r="BH69" s="978" t="s">
        <v>2019</v>
      </c>
      <c r="BI69" s="1026" t="s">
        <v>97</v>
      </c>
      <c r="BJ69" s="978" t="s">
        <v>2020</v>
      </c>
      <c r="BK69" s="1026" t="s">
        <v>97</v>
      </c>
      <c r="BL69" s="978" t="s">
        <v>2021</v>
      </c>
      <c r="BN69" s="978" t="s">
        <v>2022</v>
      </c>
    </row>
    <row r="70" spans="1:66" ht="11.25" customHeight="1">
      <c r="A70" s="984" t="s">
        <v>2023</v>
      </c>
      <c r="AZ70" s="1028" t="s">
        <v>1632</v>
      </c>
      <c r="BE70" s="1028">
        <v>2068</v>
      </c>
      <c r="BH70" s="978" t="s">
        <v>2024</v>
      </c>
      <c r="BJ70" s="978" t="s">
        <v>2025</v>
      </c>
      <c r="BL70" s="978" t="s">
        <v>2026</v>
      </c>
      <c r="BN70" s="978" t="s">
        <v>2027</v>
      </c>
    </row>
    <row r="71" spans="1:66" ht="11.25" customHeight="1">
      <c r="A71" s="984" t="s">
        <v>2028</v>
      </c>
      <c r="AZ71" s="1028" t="s">
        <v>1634</v>
      </c>
      <c r="BE71" s="1028">
        <v>2069</v>
      </c>
      <c r="BH71" s="978" t="s">
        <v>2029</v>
      </c>
      <c r="BI71" s="1026" t="s">
        <v>88</v>
      </c>
      <c r="BJ71" s="978" t="s">
        <v>2030</v>
      </c>
      <c r="BK71" s="1026" t="s">
        <v>88</v>
      </c>
      <c r="BL71" s="978" t="s">
        <v>2031</v>
      </c>
      <c r="BN71" s="978" t="s">
        <v>2032</v>
      </c>
    </row>
    <row r="72" spans="1:66" ht="11.25" customHeight="1">
      <c r="A72" s="984" t="s">
        <v>2033</v>
      </c>
      <c r="AZ72" s="1028" t="s">
        <v>55</v>
      </c>
      <c r="BE72" s="1028">
        <v>2070</v>
      </c>
      <c r="BH72" s="978" t="s">
        <v>2034</v>
      </c>
      <c r="BJ72" s="978" t="s">
        <v>2034</v>
      </c>
      <c r="BL72" s="978" t="s">
        <v>2034</v>
      </c>
      <c r="BN72" s="978" t="s">
        <v>2035</v>
      </c>
    </row>
    <row r="73" spans="1:66" ht="11.25" customHeight="1">
      <c r="A73" s="984" t="s">
        <v>2036</v>
      </c>
      <c r="BH73" s="978" t="s">
        <v>2037</v>
      </c>
      <c r="BI73" s="1026" t="s">
        <v>111</v>
      </c>
      <c r="BJ73" s="978" t="s">
        <v>2038</v>
      </c>
      <c r="BK73" s="1026" t="s">
        <v>111</v>
      </c>
      <c r="BL73" s="978" t="s">
        <v>2039</v>
      </c>
      <c r="BN73" s="978" t="s">
        <v>2040</v>
      </c>
    </row>
    <row r="74" spans="1:66" ht="11.25" customHeight="1">
      <c r="A74" s="984" t="s">
        <v>2041</v>
      </c>
      <c r="BH74" s="978" t="s">
        <v>2042</v>
      </c>
      <c r="BJ74" s="978" t="s">
        <v>2043</v>
      </c>
      <c r="BL74" s="978" t="s">
        <v>2044</v>
      </c>
      <c r="BN74" s="978" t="s">
        <v>2045</v>
      </c>
    </row>
    <row r="75" spans="1:66" ht="11.25" customHeight="1">
      <c r="A75" s="984" t="s">
        <v>14</v>
      </c>
      <c r="AZ75" s="977" t="s">
        <v>2046</v>
      </c>
      <c r="BH75" s="978" t="s">
        <v>2047</v>
      </c>
      <c r="BJ75" s="978" t="s">
        <v>2047</v>
      </c>
      <c r="BL75" s="978" t="s">
        <v>2047</v>
      </c>
    </row>
    <row r="76" spans="1:66" ht="11.25" customHeight="1">
      <c r="A76" s="984" t="s">
        <v>2048</v>
      </c>
      <c r="AZ76" s="1028" t="s">
        <v>1547</v>
      </c>
      <c r="BH76" s="978" t="s">
        <v>2049</v>
      </c>
      <c r="BJ76" s="978" t="s">
        <v>2050</v>
      </c>
      <c r="BL76" s="978" t="s">
        <v>2051</v>
      </c>
    </row>
    <row r="77" spans="1:66" ht="11.25" customHeight="1">
      <c r="A77" s="984" t="s">
        <v>2052</v>
      </c>
      <c r="AZ77" s="1028" t="s">
        <v>1576</v>
      </c>
    </row>
    <row r="78" spans="1:66" ht="11.25" customHeight="1">
      <c r="A78" s="984" t="s">
        <v>2053</v>
      </c>
      <c r="AZ78" s="1028" t="s">
        <v>1608</v>
      </c>
    </row>
    <row r="79" spans="1:66" ht="11.25" customHeight="1">
      <c r="A79" s="984" t="s">
        <v>2054</v>
      </c>
      <c r="AZ79" s="1028" t="s">
        <v>1638</v>
      </c>
      <c r="BH79" s="977" t="s">
        <v>2055</v>
      </c>
      <c r="BJ79" s="977" t="s">
        <v>2056</v>
      </c>
      <c r="BL79" s="977" t="s">
        <v>2057</v>
      </c>
    </row>
    <row r="80" spans="1:66" ht="11.25" customHeight="1">
      <c r="A80" s="984" t="s">
        <v>2058</v>
      </c>
      <c r="AZ80" s="1028" t="s">
        <v>1659</v>
      </c>
      <c r="BH80" s="978" t="s">
        <v>2059</v>
      </c>
      <c r="BJ80" s="978" t="s">
        <v>2060</v>
      </c>
      <c r="BL80" s="978" t="s">
        <v>2061</v>
      </c>
    </row>
    <row r="81" spans="1:66" ht="11.25" customHeight="1">
      <c r="A81" s="984" t="s">
        <v>2062</v>
      </c>
      <c r="AZ81" s="1028" t="s">
        <v>1676</v>
      </c>
      <c r="BH81" s="978" t="s">
        <v>2063</v>
      </c>
      <c r="BJ81" s="978" t="s">
        <v>2064</v>
      </c>
      <c r="BL81" s="978" t="s">
        <v>2065</v>
      </c>
    </row>
    <row r="82" spans="1:66" ht="11.25" customHeight="1">
      <c r="A82" s="984" t="s">
        <v>2066</v>
      </c>
      <c r="AZ82" s="1028" t="s">
        <v>1690</v>
      </c>
      <c r="BH82" s="978" t="s">
        <v>2067</v>
      </c>
      <c r="BJ82" s="978" t="s">
        <v>2068</v>
      </c>
      <c r="BL82" s="978" t="s">
        <v>2069</v>
      </c>
    </row>
    <row r="83" spans="1:66" ht="11.25" customHeight="1">
      <c r="A83" s="984" t="s">
        <v>2070</v>
      </c>
      <c r="BH83" s="978" t="s">
        <v>2071</v>
      </c>
      <c r="BJ83" s="978" t="s">
        <v>2072</v>
      </c>
      <c r="BL83" s="978" t="s">
        <v>2073</v>
      </c>
    </row>
    <row r="84" spans="1:66" ht="11.25" customHeight="1">
      <c r="A84" s="984" t="s">
        <v>2074</v>
      </c>
      <c r="AZ84" s="977" t="s">
        <v>2075</v>
      </c>
    </row>
    <row r="85" spans="1:66" ht="11.25" customHeight="1">
      <c r="A85" s="1789" t="s">
        <v>2076</v>
      </c>
      <c r="AZ85" s="1028" t="s">
        <v>2077</v>
      </c>
    </row>
    <row r="86" spans="1:66" ht="11.25" customHeight="1">
      <c r="A86" s="984" t="s">
        <v>2078</v>
      </c>
      <c r="AZ86" s="1028" t="s">
        <v>2079</v>
      </c>
      <c r="BH86" s="977" t="s">
        <v>2080</v>
      </c>
      <c r="BJ86" s="977" t="s">
        <v>2081</v>
      </c>
      <c r="BL86" s="977" t="s">
        <v>2082</v>
      </c>
    </row>
    <row r="87" spans="1:66" ht="11.25" customHeight="1">
      <c r="A87" s="984" t="s">
        <v>2083</v>
      </c>
      <c r="AZ87" s="1028" t="s">
        <v>2084</v>
      </c>
      <c r="BH87" s="978" t="s">
        <v>2085</v>
      </c>
      <c r="BJ87" s="978" t="s">
        <v>2086</v>
      </c>
      <c r="BL87" s="978" t="s">
        <v>2087</v>
      </c>
    </row>
    <row r="88" spans="1:66" ht="11.25" customHeight="1">
      <c r="A88" s="984" t="s">
        <v>2088</v>
      </c>
      <c r="AZ88"/>
      <c r="BH88" s="978" t="s">
        <v>2089</v>
      </c>
      <c r="BJ88" s="978" t="s">
        <v>2090</v>
      </c>
      <c r="BL88" s="978" t="s">
        <v>2091</v>
      </c>
    </row>
    <row r="89" spans="1:66" ht="11.25" customHeight="1">
      <c r="A89" s="984" t="s">
        <v>2092</v>
      </c>
      <c r="AZ89" s="977" t="s">
        <v>2093</v>
      </c>
    </row>
    <row r="90" spans="1:66" ht="11.25" customHeight="1">
      <c r="A90" s="984" t="s">
        <v>2094</v>
      </c>
      <c r="AZ90" s="1028" t="s">
        <v>1102</v>
      </c>
    </row>
    <row r="91" spans="1:66" ht="11.25" customHeight="1">
      <c r="A91" s="984" t="s">
        <v>2095</v>
      </c>
      <c r="AZ91" s="1028" t="s">
        <v>1138</v>
      </c>
      <c r="BH91" s="977" t="s">
        <v>2096</v>
      </c>
      <c r="BJ91" s="977" t="s">
        <v>2097</v>
      </c>
      <c r="BL91" s="977" t="s">
        <v>2098</v>
      </c>
    </row>
    <row r="92" spans="1:66" ht="11.25" customHeight="1">
      <c r="AZ92" s="1028" t="s">
        <v>2099</v>
      </c>
      <c r="BH92" s="978" t="s">
        <v>2100</v>
      </c>
      <c r="BJ92" s="978" t="s">
        <v>2101</v>
      </c>
      <c r="BL92" s="978" t="s">
        <v>2102</v>
      </c>
    </row>
    <row r="93" spans="1:66" ht="11.25" customHeight="1">
      <c r="AZ93" s="1028" t="s">
        <v>2103</v>
      </c>
      <c r="BH93" s="978" t="s">
        <v>2104</v>
      </c>
      <c r="BJ93" s="978" t="s">
        <v>2105</v>
      </c>
      <c r="BL93" s="978" t="s">
        <v>2106</v>
      </c>
    </row>
    <row r="94" spans="1:66" ht="11.25" customHeight="1">
      <c r="AZ94" s="1028" t="s">
        <v>2107</v>
      </c>
    </row>
    <row r="96" spans="1:66" ht="11.25" customHeight="1">
      <c r="AZ96" s="977" t="s">
        <v>2108</v>
      </c>
      <c r="BH96" s="977" t="s">
        <v>2109</v>
      </c>
      <c r="BJ96" s="977" t="s">
        <v>2110</v>
      </c>
      <c r="BL96" s="977" t="s">
        <v>2111</v>
      </c>
      <c r="BN96" s="977" t="s">
        <v>2112</v>
      </c>
    </row>
    <row r="97" spans="52:66" ht="11.25" customHeight="1">
      <c r="AZ97" s="1028" t="s">
        <v>2113</v>
      </c>
      <c r="BH97" s="978" t="s">
        <v>2114</v>
      </c>
      <c r="BJ97" s="978" t="s">
        <v>2115</v>
      </c>
      <c r="BL97" s="978" t="s">
        <v>2116</v>
      </c>
      <c r="BN97" s="978" t="s">
        <v>2117</v>
      </c>
    </row>
    <row r="98" spans="52:66" ht="11.25" customHeight="1">
      <c r="AZ98" s="1028" t="s">
        <v>2118</v>
      </c>
      <c r="BH98" s="978" t="s">
        <v>2119</v>
      </c>
      <c r="BJ98" s="978" t="s">
        <v>2120</v>
      </c>
      <c r="BL98" s="978" t="s">
        <v>2121</v>
      </c>
      <c r="BN98" s="978" t="s">
        <v>2122</v>
      </c>
    </row>
    <row r="99" spans="52:66" ht="11.25" customHeight="1">
      <c r="AZ99" s="1028" t="s">
        <v>2123</v>
      </c>
      <c r="BH99" s="978" t="s">
        <v>2124</v>
      </c>
      <c r="BJ99" s="978" t="s">
        <v>2125</v>
      </c>
      <c r="BL99" s="978" t="s">
        <v>2126</v>
      </c>
      <c r="BN99" s="978" t="s">
        <v>2127</v>
      </c>
    </row>
    <row r="100" spans="52:66" ht="11.25" customHeight="1">
      <c r="BJ100" s="978" t="s">
        <v>1736</v>
      </c>
      <c r="BL100" s="978" t="s">
        <v>1736</v>
      </c>
      <c r="BN100" s="978" t="s">
        <v>2128</v>
      </c>
    </row>
    <row r="101" spans="52:66" ht="11.25" customHeight="1">
      <c r="AZ101" s="1611" t="s">
        <v>2129</v>
      </c>
      <c r="BN101" s="978" t="s">
        <v>2130</v>
      </c>
    </row>
    <row r="102" spans="52:66" ht="11.25" customHeight="1">
      <c r="AZ102" s="1028" t="s">
        <v>2131</v>
      </c>
      <c r="BN102" s="978" t="s">
        <v>2132</v>
      </c>
    </row>
    <row r="103" spans="52:66" ht="11.25" customHeight="1">
      <c r="AZ103" s="1028" t="s">
        <v>2133</v>
      </c>
      <c r="BN103" s="978" t="s">
        <v>2134</v>
      </c>
    </row>
    <row r="104" spans="52:66" ht="11.25" customHeight="1">
      <c r="AZ104" s="1028" t="s">
        <v>740</v>
      </c>
      <c r="BN104" s="978" t="s">
        <v>2135</v>
      </c>
    </row>
    <row r="107" spans="52:66" ht="11.25" customHeight="1">
      <c r="BH107" s="977" t="s">
        <v>2136</v>
      </c>
      <c r="BJ107" s="977" t="s">
        <v>2137</v>
      </c>
      <c r="BL107" s="977" t="s">
        <v>2138</v>
      </c>
      <c r="BN107" s="977" t="s">
        <v>2139</v>
      </c>
    </row>
    <row r="108" spans="52:66" ht="11.25" customHeight="1">
      <c r="BH108" s="978" t="s">
        <v>2140</v>
      </c>
      <c r="BJ108" s="978" t="s">
        <v>2141</v>
      </c>
      <c r="BL108" s="978" t="s">
        <v>1817</v>
      </c>
      <c r="BN108" s="978" t="s">
        <v>2142</v>
      </c>
    </row>
    <row r="109" spans="52:66" ht="11.25" customHeight="1">
      <c r="BH109" s="978" t="s">
        <v>2143</v>
      </c>
    </row>
    <row r="110" spans="52:66" ht="11.25" customHeight="1">
      <c r="BH110" s="978" t="s">
        <v>2143</v>
      </c>
    </row>
    <row r="114" spans="60:60" ht="11.25" customHeight="1">
      <c r="BH114" s="977" t="s">
        <v>2144</v>
      </c>
    </row>
    <row r="115" spans="60:60" ht="11.25" customHeight="1">
      <c r="BH115" s="978" t="s">
        <v>1534</v>
      </c>
    </row>
    <row r="116" spans="60:60" ht="11.25" customHeight="1">
      <c r="BH116" s="978" t="s">
        <v>1562</v>
      </c>
    </row>
    <row r="117" spans="60:60" ht="11.25" customHeight="1">
      <c r="BH117" s="978" t="s">
        <v>1597</v>
      </c>
    </row>
    <row r="118" spans="60:60" ht="11.25" customHeight="1">
      <c r="BH118" s="978" t="s">
        <v>1630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4"/>
    <col min="2" max="2" width="43.140625" style="754" hidden="1"/>
    <col min="3" max="3" width="43.140625" style="754"/>
    <col min="4" max="5" width="36.42578125" style="754" customWidth="1"/>
    <col min="6" max="8" width="36.42578125" style="892" customWidth="1"/>
  </cols>
  <sheetData>
    <row r="1" spans="1:8" ht="9" customHeight="1">
      <c r="A1" s="760" t="s">
        <v>2145</v>
      </c>
      <c r="B1" s="760"/>
      <c r="C1" s="893" t="s">
        <v>2146</v>
      </c>
      <c r="D1" s="891" t="s">
        <v>891</v>
      </c>
      <c r="E1" s="891" t="s">
        <v>937</v>
      </c>
      <c r="F1" s="891" t="s">
        <v>989</v>
      </c>
      <c r="G1" s="891" t="s">
        <v>975</v>
      </c>
      <c r="H1" s="891" t="s">
        <v>1920</v>
      </c>
    </row>
    <row r="2" spans="1:8" ht="9" customHeight="1">
      <c r="A2" s="894" t="s">
        <v>2147</v>
      </c>
      <c r="B2" s="894"/>
      <c r="C2" s="895" t="str">
        <f>INDEX(TEMPLATE_NUMBER_FORM_LIST,MATCH(TEMPLATE_SPHERE,TEMPLATE_SPHERE_LIST,0))</f>
        <v>10</v>
      </c>
      <c r="D2" s="894" t="s">
        <v>152</v>
      </c>
      <c r="E2" s="894" t="s">
        <v>129</v>
      </c>
      <c r="F2" s="896" t="s">
        <v>129</v>
      </c>
      <c r="G2" s="894" t="s">
        <v>129</v>
      </c>
      <c r="H2" s="897"/>
    </row>
    <row r="3" spans="1:8" ht="63" customHeight="1">
      <c r="A3" s="760"/>
      <c r="B3" s="760" t="s">
        <v>97</v>
      </c>
      <c r="C3" s="89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895" t="s">
        <v>2148</v>
      </c>
      <c r="E3" s="89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896"/>
      <c r="G3" s="897"/>
      <c r="H3" s="760"/>
    </row>
    <row r="4" spans="1:8" ht="243" customHeight="1">
      <c r="A4" s="760" t="s">
        <v>2149</v>
      </c>
      <c r="B4" s="760" t="s">
        <v>100</v>
      </c>
      <c r="C4" s="895" t="str">
        <f>IF(TEMPLATE_SPHERE="HEAT",D4,IF(TEMPLATE_SPHERE="TKO",H4,E4))</f>
        <v>Форма 1. Информация об организации, осуществляющей холодное водоснабжение (общая информация)</v>
      </c>
      <c r="D4" s="894" t="s">
        <v>2150</v>
      </c>
      <c r="E4" s="89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894"/>
      <c r="G4" s="894"/>
      <c r="H4" s="760" t="s">
        <v>2151</v>
      </c>
    </row>
    <row r="5" spans="1:8" ht="117" customHeight="1">
      <c r="A5" s="760" t="s">
        <v>2152</v>
      </c>
      <c r="B5" s="760" t="s">
        <v>88</v>
      </c>
      <c r="C5" s="89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60" t="s">
        <v>2153</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897"/>
      <c r="G5" s="897"/>
      <c r="H5" s="760" t="s">
        <v>2154</v>
      </c>
    </row>
    <row r="6" spans="1:8" ht="45" customHeight="1">
      <c r="A6" s="760" t="s">
        <v>2155</v>
      </c>
      <c r="B6" s="760" t="s">
        <v>89</v>
      </c>
      <c r="C6" s="89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60" t="s">
        <v>2156</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60"/>
      <c r="G6" s="760"/>
      <c r="H6" s="897"/>
    </row>
    <row r="7" spans="1:8" ht="45" customHeight="1">
      <c r="A7" s="760" t="s">
        <v>2157</v>
      </c>
      <c r="B7" s="760" t="s">
        <v>111</v>
      </c>
      <c r="C7" s="89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0" t="s">
        <v>2158</v>
      </c>
      <c r="E7" s="760" t="s">
        <v>2159</v>
      </c>
      <c r="F7" s="897"/>
      <c r="G7" s="897"/>
      <c r="H7" s="897"/>
    </row>
    <row r="8" spans="1:8" ht="108" customHeight="1">
      <c r="A8" s="760" t="s">
        <v>2160</v>
      </c>
      <c r="B8" s="760" t="s">
        <v>90</v>
      </c>
      <c r="C8" s="89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0" t="s">
        <v>2161</v>
      </c>
      <c r="E8" s="760" t="s">
        <v>2162</v>
      </c>
      <c r="F8" s="897"/>
      <c r="G8" s="897"/>
      <c r="H8" s="897"/>
    </row>
    <row r="9" spans="1:8" ht="99" customHeight="1">
      <c r="A9" s="760" t="s">
        <v>2163</v>
      </c>
      <c r="B9" s="760"/>
      <c r="C9" s="760" t="s">
        <v>2164</v>
      </c>
      <c r="D9" s="760"/>
      <c r="E9" s="760"/>
      <c r="F9" s="897"/>
      <c r="G9" s="897"/>
      <c r="H9" s="897"/>
    </row>
    <row r="10" spans="1:8" ht="126" customHeight="1">
      <c r="A10" s="760" t="s">
        <v>2165</v>
      </c>
      <c r="B10" s="760"/>
      <c r="C10" s="760" t="s">
        <v>2166</v>
      </c>
      <c r="D10" s="760"/>
      <c r="E10" s="760"/>
      <c r="F10" s="897"/>
      <c r="G10" s="897"/>
      <c r="H10" s="897"/>
    </row>
    <row r="11" spans="1:8" ht="108" customHeight="1">
      <c r="A11" s="760" t="s">
        <v>2167</v>
      </c>
      <c r="B11" s="760"/>
      <c r="C11" s="760" t="s">
        <v>2168</v>
      </c>
      <c r="D11" s="760"/>
      <c r="E11" s="760"/>
      <c r="F11" s="897"/>
      <c r="G11" s="897"/>
      <c r="H11" s="897"/>
    </row>
    <row r="12" spans="1:8" ht="54" customHeight="1">
      <c r="A12" s="760" t="s">
        <v>2169</v>
      </c>
      <c r="B12" s="760"/>
      <c r="C12" s="760" t="s">
        <v>2170</v>
      </c>
      <c r="D12" s="760"/>
      <c r="E12" s="760"/>
      <c r="F12" s="897"/>
      <c r="G12" s="897"/>
      <c r="H12" s="897"/>
    </row>
    <row r="13" spans="1:8" ht="45" customHeight="1">
      <c r="A13" s="760" t="s">
        <v>2171</v>
      </c>
      <c r="B13" s="760"/>
      <c r="C13" s="760" t="s">
        <v>2172</v>
      </c>
      <c r="D13" s="760"/>
      <c r="E13" s="760"/>
      <c r="F13" s="897"/>
      <c r="G13" s="897"/>
      <c r="H13" s="897"/>
    </row>
    <row r="14" spans="1:8" ht="117" customHeight="1">
      <c r="A14" s="760" t="s">
        <v>2173</v>
      </c>
      <c r="B14" s="760"/>
      <c r="C14" s="760" t="s">
        <v>2174</v>
      </c>
      <c r="D14" s="760"/>
      <c r="E14" s="760"/>
      <c r="F14" s="897"/>
      <c r="G14" s="897"/>
      <c r="H14" s="897"/>
    </row>
    <row r="15" spans="1:8" ht="117" customHeight="1">
      <c r="A15" s="760" t="s">
        <v>2175</v>
      </c>
      <c r="B15" s="760"/>
      <c r="C15" s="760" t="s">
        <v>2176</v>
      </c>
      <c r="D15" s="760"/>
      <c r="E15" s="760"/>
      <c r="F15" s="897"/>
      <c r="G15" s="897"/>
      <c r="H15" s="897"/>
    </row>
    <row r="16" spans="1:8" ht="63" customHeight="1">
      <c r="A16" s="760" t="s">
        <v>2177</v>
      </c>
      <c r="B16" s="760"/>
      <c r="C16" s="760" t="s">
        <v>2178</v>
      </c>
      <c r="D16" s="760"/>
      <c r="E16" s="760"/>
      <c r="F16" s="897"/>
      <c r="G16" s="897"/>
      <c r="H16" s="897"/>
    </row>
    <row r="17" spans="1:8" ht="54" customHeight="1">
      <c r="A17" s="760" t="s">
        <v>2179</v>
      </c>
      <c r="B17" s="760"/>
      <c r="C17" s="895" t="s">
        <v>2180</v>
      </c>
      <c r="D17" s="760"/>
      <c r="E17" s="760"/>
      <c r="F17" s="897"/>
      <c r="G17" s="897"/>
      <c r="H17" s="897"/>
    </row>
    <row r="18" spans="1:8" ht="27" customHeight="1">
      <c r="A18" s="760" t="s">
        <v>2181</v>
      </c>
      <c r="B18" s="760"/>
      <c r="C18" s="895" t="s">
        <v>2182</v>
      </c>
      <c r="D18" s="760"/>
      <c r="E18" s="760"/>
      <c r="F18" s="897"/>
      <c r="G18" s="897"/>
      <c r="H18" s="897"/>
    </row>
    <row r="19" spans="1:8" ht="54" customHeight="1">
      <c r="A19" s="760" t="s">
        <v>2183</v>
      </c>
      <c r="B19" s="760"/>
      <c r="C19" s="895" t="s">
        <v>2184</v>
      </c>
      <c r="D19" s="760"/>
      <c r="E19" s="760"/>
      <c r="F19" s="897"/>
      <c r="G19" s="897"/>
      <c r="H19" s="897"/>
    </row>
    <row r="20" spans="1:8" ht="36" customHeight="1">
      <c r="A20" s="760" t="s">
        <v>2185</v>
      </c>
      <c r="B20" s="760"/>
      <c r="C20" s="895" t="s">
        <v>2186</v>
      </c>
      <c r="D20" s="760"/>
      <c r="E20" s="760"/>
      <c r="F20" s="897"/>
      <c r="G20" s="897"/>
      <c r="H20" s="897"/>
    </row>
    <row r="21" spans="1:8" ht="36" customHeight="1">
      <c r="A21" s="760" t="s">
        <v>2187</v>
      </c>
      <c r="B21" s="760"/>
      <c r="C21" s="895" t="s">
        <v>2188</v>
      </c>
      <c r="D21" s="760"/>
      <c r="E21" s="760"/>
      <c r="F21" s="897"/>
      <c r="G21" s="897"/>
      <c r="H21" s="897"/>
    </row>
    <row r="22" spans="1:8" ht="27" customHeight="1">
      <c r="A22" s="760" t="s">
        <v>2189</v>
      </c>
      <c r="B22" s="760"/>
      <c r="C22" s="895" t="s">
        <v>2190</v>
      </c>
      <c r="D22" s="760"/>
      <c r="E22" s="760"/>
      <c r="F22" s="897"/>
      <c r="G22" s="897"/>
      <c r="H22" s="897"/>
    </row>
    <row r="23" spans="1:8" ht="36" customHeight="1">
      <c r="A23" s="760" t="s">
        <v>2191</v>
      </c>
      <c r="B23" s="760"/>
      <c r="C23" s="895" t="s">
        <v>2192</v>
      </c>
      <c r="D23" s="760"/>
      <c r="E23" s="760"/>
      <c r="F23" s="897"/>
      <c r="G23" s="897"/>
      <c r="H23" s="897"/>
    </row>
    <row r="24" spans="1:8" ht="28.5" customHeight="1">
      <c r="A24" s="760" t="s">
        <v>2193</v>
      </c>
      <c r="B24" s="760"/>
      <c r="C24" s="895" t="s">
        <v>2194</v>
      </c>
      <c r="D24" s="760"/>
      <c r="E24" s="760"/>
      <c r="F24" s="897"/>
      <c r="G24" s="897"/>
      <c r="H24" s="897"/>
    </row>
    <row r="25" spans="1:8" ht="36" customHeight="1">
      <c r="A25" s="760" t="s">
        <v>2195</v>
      </c>
      <c r="B25" s="760"/>
      <c r="C25" s="895" t="s">
        <v>2196</v>
      </c>
      <c r="D25" s="760"/>
      <c r="E25" s="760"/>
      <c r="F25" s="897"/>
      <c r="G25" s="897"/>
      <c r="H25" s="897"/>
    </row>
    <row r="26" spans="1:8" ht="27" customHeight="1">
      <c r="A26" s="760" t="s">
        <v>2197</v>
      </c>
      <c r="B26" s="760"/>
      <c r="C26" s="895" t="s">
        <v>2198</v>
      </c>
      <c r="D26" s="760"/>
      <c r="E26" s="760"/>
      <c r="F26" s="897"/>
      <c r="G26" s="897"/>
      <c r="H26" s="897"/>
    </row>
    <row r="27" spans="1:8" ht="36" customHeight="1">
      <c r="A27" s="760" t="s">
        <v>2199</v>
      </c>
      <c r="B27" s="760"/>
      <c r="C27" s="895" t="s">
        <v>2200</v>
      </c>
      <c r="D27" s="760"/>
      <c r="E27" s="760"/>
      <c r="F27" s="897"/>
      <c r="G27" s="897"/>
      <c r="H27" s="897"/>
    </row>
    <row r="28" spans="1:8" ht="28.5" customHeight="1">
      <c r="A28" s="760" t="s">
        <v>2201</v>
      </c>
      <c r="B28" s="760"/>
      <c r="C28" s="895" t="s">
        <v>2202</v>
      </c>
      <c r="D28" s="760"/>
      <c r="E28" s="760"/>
      <c r="F28" s="897"/>
      <c r="G28" s="897"/>
      <c r="H28" s="897"/>
    </row>
    <row r="29" spans="1:8" ht="126" customHeight="1">
      <c r="A29" s="760" t="s">
        <v>2203</v>
      </c>
      <c r="B29" s="760" t="s">
        <v>195</v>
      </c>
      <c r="C29" s="89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60" t="s">
        <v>2204</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897"/>
      <c r="G29" s="897"/>
      <c r="H29" s="760" t="s">
        <v>2205</v>
      </c>
    </row>
    <row r="30" spans="1:8" ht="36" customHeight="1">
      <c r="A30" s="760" t="s">
        <v>2206</v>
      </c>
      <c r="B30" s="760"/>
      <c r="C30" s="89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60" t="s">
        <v>2207</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897"/>
      <c r="G30" s="897"/>
      <c r="H30" s="897"/>
    </row>
    <row r="31" spans="1:8" ht="54" customHeight="1">
      <c r="A31" s="760" t="s">
        <v>2208</v>
      </c>
      <c r="B31" s="760"/>
      <c r="C31" s="895" t="str">
        <f>IF(TEMPLATE_SPHERE="HEAT",D31,IF(TEMPLATE_SPHERE="TKO",H31,E31))</f>
        <v>Форма 1. Информация об организации, осуществляющей холодное водоснабжение (общая информация)</v>
      </c>
      <c r="D31" s="760" t="s">
        <v>2209</v>
      </c>
      <c r="E31" s="76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897"/>
      <c r="G31" s="897"/>
      <c r="H31" s="897"/>
    </row>
    <row r="32" spans="1:8" ht="198" customHeight="1">
      <c r="A32" s="760" t="s">
        <v>2210</v>
      </c>
      <c r="B32" s="760"/>
      <c r="C32" s="89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60" t="s">
        <v>2211</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897"/>
      <c r="G32" s="897"/>
      <c r="H32" s="760" t="s">
        <v>2212</v>
      </c>
    </row>
    <row r="33" spans="1:8" ht="9" customHeight="1">
      <c r="A33" s="760"/>
      <c r="B33" s="760"/>
      <c r="C33" s="895"/>
      <c r="D33" s="760"/>
      <c r="E33" s="760"/>
      <c r="F33" s="897"/>
      <c r="G33" s="897"/>
      <c r="H33" s="897"/>
    </row>
    <row r="34" spans="1:8" ht="9" customHeight="1">
      <c r="A34" s="760"/>
      <c r="B34" s="760" t="s">
        <v>164</v>
      </c>
      <c r="C34" s="895">
        <f>INDEX(TEMPLATE_NAME_FORM_LIST,B34,MATCH(TEMPLATE_SPHERE,TEMPLATE_SPHERE_LIST,0))</f>
        <v>0</v>
      </c>
      <c r="D34" s="760"/>
      <c r="E34" s="760"/>
      <c r="F34" s="897"/>
      <c r="G34" s="897"/>
      <c r="H34" s="89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4"/>
    <col min="3" max="7" width="8" style="756" customWidth="1"/>
    <col min="8" max="12" width="8.5703125" style="756" customWidth="1"/>
    <col min="13" max="14" width="27.7109375" style="756" customWidth="1"/>
    <col min="15" max="19" width="5.140625" style="756" customWidth="1"/>
    <col min="20" max="24" width="27.7109375" style="756" customWidth="1"/>
    <col min="25" max="25" width="1.85546875" style="912" customWidth="1"/>
    <col min="26" max="26" width="27.7109375" style="754" customWidth="1"/>
    <col min="27" max="27" width="27.7109375" style="765" customWidth="1"/>
    <col min="28" max="29" width="27.7109375" style="754" customWidth="1"/>
    <col min="30" max="30" width="3.85546875" style="754" customWidth="1"/>
    <col min="31" max="34" width="9.140625" style="754"/>
  </cols>
  <sheetData>
    <row r="1" spans="1:34" s="753" customFormat="1" ht="18" customHeight="1">
      <c r="A1" s="812"/>
      <c r="B1" s="812"/>
      <c r="C1" s="812" t="s">
        <v>2213</v>
      </c>
      <c r="D1" s="812"/>
      <c r="E1" s="812"/>
      <c r="F1" s="812"/>
      <c r="G1" s="812"/>
      <c r="H1" s="812" t="s">
        <v>2214</v>
      </c>
      <c r="I1" s="812"/>
      <c r="J1" s="812"/>
      <c r="K1" s="812"/>
      <c r="L1" s="812"/>
      <c r="M1" s="812" t="s">
        <v>2215</v>
      </c>
      <c r="N1" s="812" t="s">
        <v>2216</v>
      </c>
      <c r="O1" s="7931" t="s">
        <v>2217</v>
      </c>
      <c r="P1" s="7931"/>
      <c r="Q1" s="7931"/>
      <c r="R1" s="7931"/>
      <c r="S1" s="7931"/>
      <c r="T1" s="7931" t="s">
        <v>2215</v>
      </c>
      <c r="U1" s="7931"/>
      <c r="V1" s="7931"/>
      <c r="W1" s="7931"/>
      <c r="X1" s="7931"/>
      <c r="Y1" s="910"/>
      <c r="Z1" s="7931" t="s">
        <v>2218</v>
      </c>
      <c r="AA1" s="7931"/>
      <c r="AB1" s="7931"/>
      <c r="AC1" s="7931"/>
      <c r="AD1" s="7931"/>
    </row>
    <row r="2" spans="1:34" ht="18" customHeight="1">
      <c r="A2" s="760"/>
      <c r="B2" s="760"/>
      <c r="C2" s="755" t="s">
        <v>891</v>
      </c>
      <c r="D2" s="755" t="s">
        <v>937</v>
      </c>
      <c r="E2" s="755" t="s">
        <v>989</v>
      </c>
      <c r="F2" s="755" t="s">
        <v>975</v>
      </c>
      <c r="G2" s="755" t="s">
        <v>1920</v>
      </c>
      <c r="H2" s="757"/>
      <c r="I2" s="757"/>
      <c r="J2" s="757"/>
      <c r="K2" s="757"/>
      <c r="L2" s="757"/>
      <c r="M2" s="757"/>
      <c r="N2" s="757"/>
      <c r="O2" s="755" t="s">
        <v>891</v>
      </c>
      <c r="P2" s="755" t="s">
        <v>937</v>
      </c>
      <c r="Q2" s="755" t="s">
        <v>975</v>
      </c>
      <c r="R2" s="755" t="s">
        <v>989</v>
      </c>
      <c r="S2" s="755" t="s">
        <v>1920</v>
      </c>
      <c r="T2" s="755" t="s">
        <v>891</v>
      </c>
      <c r="U2" s="755" t="s">
        <v>937</v>
      </c>
      <c r="V2" s="755" t="s">
        <v>975</v>
      </c>
      <c r="W2" s="755" t="s">
        <v>989</v>
      </c>
      <c r="X2" s="755" t="s">
        <v>1920</v>
      </c>
      <c r="Y2" s="755"/>
      <c r="Z2" s="755" t="s">
        <v>891</v>
      </c>
      <c r="AA2" s="764" t="s">
        <v>937</v>
      </c>
      <c r="AB2" s="755" t="s">
        <v>975</v>
      </c>
      <c r="AC2" s="755" t="s">
        <v>989</v>
      </c>
      <c r="AD2" s="755" t="s">
        <v>1920</v>
      </c>
    </row>
    <row r="3" spans="1:34" ht="162" customHeight="1">
      <c r="A3" s="759" t="s">
        <v>22</v>
      </c>
      <c r="B3" s="759"/>
      <c r="C3" s="7935" t="s">
        <v>2219</v>
      </c>
      <c r="D3" s="7936"/>
      <c r="E3" s="7936"/>
      <c r="F3" s="7937"/>
      <c r="G3" s="757"/>
      <c r="H3" s="757"/>
      <c r="I3" s="757"/>
      <c r="J3" s="757"/>
      <c r="K3" s="757"/>
      <c r="L3" s="757"/>
      <c r="M3" s="757"/>
      <c r="N3" s="758"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57"/>
      <c r="P3" s="757"/>
      <c r="Q3" s="757"/>
      <c r="R3" s="757"/>
      <c r="S3" s="757"/>
      <c r="T3" s="757"/>
      <c r="U3" s="757"/>
      <c r="V3" s="757"/>
      <c r="W3" s="757"/>
      <c r="X3" s="757"/>
      <c r="Y3" s="911"/>
      <c r="Z3" s="760" t="s">
        <v>2220</v>
      </c>
      <c r="AA3" s="757" t="s">
        <v>2221</v>
      </c>
      <c r="AB3" s="760" t="s">
        <v>2222</v>
      </c>
      <c r="AC3" s="760" t="s">
        <v>2223</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11"/>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11"/>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11"/>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11"/>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11"/>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11"/>
      <c r="Z9" s="760"/>
      <c r="AA9" s="763"/>
      <c r="AB9" s="760"/>
      <c r="AC9" s="760"/>
      <c r="AD9" s="760"/>
    </row>
    <row r="10" spans="1:34" ht="9" customHeight="1">
      <c r="A10" s="813"/>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row>
    <row r="11" spans="1:34" ht="45" customHeight="1">
      <c r="A11" s="7932" t="s">
        <v>29</v>
      </c>
      <c r="B11" s="813">
        <v>1</v>
      </c>
      <c r="C11" s="7938" t="s">
        <v>187</v>
      </c>
      <c r="D11" s="7938" t="s">
        <v>105</v>
      </c>
      <c r="E11" s="7938" t="s">
        <v>1953</v>
      </c>
      <c r="F11" s="7938" t="s">
        <v>2224</v>
      </c>
      <c r="G11" s="7938"/>
      <c r="H11" s="812" t="s">
        <v>2225</v>
      </c>
      <c r="I11" s="812"/>
      <c r="J11" s="812"/>
      <c r="K11" s="812"/>
      <c r="L11" s="812"/>
      <c r="M11" s="758" t="str">
        <f>IF(TEMPLATE_SPHERE="HEAT",T11,U11)</f>
        <v xml:space="preserve">Количество поданных заявлений </v>
      </c>
      <c r="N11" s="758"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57"/>
      <c r="P11" s="757"/>
      <c r="Q11" s="757"/>
      <c r="R11" s="757"/>
      <c r="S11" s="757"/>
      <c r="T11" s="757" t="s">
        <v>2226</v>
      </c>
      <c r="U11" s="757" t="s">
        <v>2227</v>
      </c>
      <c r="V11" s="757"/>
      <c r="W11" s="757"/>
      <c r="X11" s="757"/>
      <c r="Y11" s="911"/>
      <c r="Z11" s="760" t="s">
        <v>2228</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60"/>
      <c r="AC11" s="760"/>
      <c r="AD11" s="760"/>
    </row>
    <row r="12" spans="1:34" ht="45" customHeight="1">
      <c r="A12" s="7932"/>
      <c r="B12" s="813">
        <v>2</v>
      </c>
      <c r="C12" s="7939"/>
      <c r="D12" s="7939"/>
      <c r="E12" s="7939"/>
      <c r="F12" s="7939"/>
      <c r="G12" s="7939"/>
      <c r="H12" s="812" t="s">
        <v>2229</v>
      </c>
      <c r="I12" s="812"/>
      <c r="J12" s="812"/>
      <c r="K12" s="812"/>
      <c r="L12" s="812"/>
      <c r="M12" s="758" t="str">
        <f>IF(TEMPLATE_SPHERE="HEAT",T12,U12)</f>
        <v xml:space="preserve">Количество исполненных заявлений </v>
      </c>
      <c r="N12" s="758"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57"/>
      <c r="P12" s="757"/>
      <c r="Q12" s="757"/>
      <c r="R12" s="757"/>
      <c r="S12" s="757"/>
      <c r="T12" s="757" t="s">
        <v>2230</v>
      </c>
      <c r="U12" s="757" t="s">
        <v>2231</v>
      </c>
      <c r="V12" s="757"/>
      <c r="W12" s="757"/>
      <c r="X12" s="757"/>
      <c r="Y12" s="911"/>
      <c r="Z12" s="760" t="s">
        <v>2232</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60"/>
      <c r="AC12" s="760"/>
      <c r="AD12" s="760"/>
    </row>
    <row r="13" spans="1:34" ht="72" customHeight="1">
      <c r="A13" s="7932"/>
      <c r="B13" s="813">
        <v>3</v>
      </c>
      <c r="C13" s="7939"/>
      <c r="D13" s="7939"/>
      <c r="E13" s="7939"/>
      <c r="F13" s="7939"/>
      <c r="G13" s="7939"/>
      <c r="H13" s="7931" t="s">
        <v>2233</v>
      </c>
      <c r="I13" s="812"/>
      <c r="J13" s="812"/>
      <c r="K13" s="812"/>
      <c r="L13" s="812"/>
      <c r="M13" s="758" t="str">
        <f>IF(TEMPLATE_SPHERE="HEAT",T13,U13)</f>
        <v>Количество заявлений о заключении договоров о подключении (технологическом присоединении)</v>
      </c>
      <c r="N13" s="758"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57"/>
      <c r="P13" s="758"/>
      <c r="Q13" s="758"/>
      <c r="R13" s="758"/>
      <c r="S13" s="757"/>
      <c r="T13" s="757" t="s">
        <v>2234</v>
      </c>
      <c r="U13" s="758" t="s">
        <v>2235</v>
      </c>
      <c r="V13" s="758"/>
      <c r="W13" s="758"/>
      <c r="X13" s="757"/>
      <c r="Y13" s="911"/>
      <c r="Z13" s="760" t="s">
        <v>2236</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60"/>
      <c r="AC13" s="760"/>
      <c r="AD13" s="760"/>
    </row>
    <row r="14" spans="1:34" ht="45" customHeight="1">
      <c r="A14" s="7932"/>
      <c r="B14" s="813">
        <v>4</v>
      </c>
      <c r="C14" s="7939"/>
      <c r="D14" s="7939"/>
      <c r="E14" s="7939"/>
      <c r="F14" s="7939"/>
      <c r="G14" s="7939"/>
      <c r="H14" s="7931"/>
      <c r="I14" s="815"/>
      <c r="J14" s="815"/>
      <c r="K14" s="815"/>
      <c r="L14" s="815"/>
      <c r="M14" s="761"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2237</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58"/>
      <c r="W14" s="758"/>
      <c r="X14" s="757"/>
      <c r="Y14" s="911"/>
      <c r="Z14" s="760" t="s">
        <v>2238</v>
      </c>
      <c r="AA14" s="763" t="s">
        <v>2238</v>
      </c>
      <c r="AB14" s="760"/>
      <c r="AC14" s="760"/>
      <c r="AD14" s="760"/>
    </row>
    <row r="15" spans="1:34" ht="108" customHeight="1">
      <c r="A15" s="7932"/>
      <c r="B15" s="813">
        <v>5</v>
      </c>
      <c r="C15" s="7939"/>
      <c r="D15" s="7939"/>
      <c r="E15" s="7939"/>
      <c r="F15" s="7939"/>
      <c r="G15" s="7939"/>
      <c r="H15" s="7933" t="s">
        <v>2239</v>
      </c>
      <c r="I15" s="814"/>
      <c r="J15" s="814"/>
      <c r="K15" s="814"/>
      <c r="L15" s="814"/>
      <c r="M15" s="763"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62"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57"/>
      <c r="P15" s="758"/>
      <c r="Q15" s="758"/>
      <c r="R15" s="758"/>
      <c r="S15" s="757"/>
      <c r="T15" s="757" t="s">
        <v>2240</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58"/>
      <c r="W15" s="758"/>
      <c r="X15" s="757"/>
      <c r="Y15" s="911"/>
      <c r="Z15" s="760" t="s">
        <v>2241</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60"/>
      <c r="AC15" s="760"/>
      <c r="AD15" s="760"/>
    </row>
    <row r="16" spans="1:34" ht="108" customHeight="1">
      <c r="A16" s="813"/>
      <c r="B16" s="813">
        <v>6</v>
      </c>
      <c r="C16" s="7940"/>
      <c r="D16" s="7940"/>
      <c r="E16" s="7940"/>
      <c r="F16" s="7940"/>
      <c r="G16" s="7940"/>
      <c r="H16" s="7934"/>
      <c r="I16" s="873"/>
      <c r="J16" s="873"/>
      <c r="K16" s="873"/>
      <c r="L16" s="873"/>
      <c r="M16" s="806"/>
      <c r="N16" s="762"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57"/>
      <c r="P16" s="758"/>
      <c r="Q16" s="758"/>
      <c r="R16" s="758"/>
      <c r="S16" s="757"/>
      <c r="T16" s="757"/>
      <c r="U16" s="758"/>
      <c r="V16" s="758"/>
      <c r="W16" s="758"/>
      <c r="X16" s="757"/>
      <c r="Y16" s="911"/>
      <c r="Z16" s="760" t="s">
        <v>2241</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60"/>
      <c r="AC16" s="760"/>
      <c r="AD16" s="760"/>
    </row>
    <row r="17" spans="1:30" ht="9" customHeight="1">
      <c r="A17" s="813"/>
      <c r="B17" s="813"/>
      <c r="C17" s="813">
        <v>22</v>
      </c>
      <c r="D17" s="813">
        <v>21</v>
      </c>
      <c r="E17" s="813">
        <v>42</v>
      </c>
      <c r="F17" s="813">
        <v>63</v>
      </c>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row>
    <row r="18" spans="1:30" ht="27" customHeight="1">
      <c r="A18" s="759" t="s">
        <v>1956</v>
      </c>
      <c r="B18" s="813">
        <v>1</v>
      </c>
      <c r="C18" s="757" t="s">
        <v>2225</v>
      </c>
      <c r="D18" s="878" t="s">
        <v>2225</v>
      </c>
      <c r="E18" s="757" t="s">
        <v>2225</v>
      </c>
      <c r="F18" s="757" t="s">
        <v>2225</v>
      </c>
      <c r="G18" s="757"/>
      <c r="H18" s="913"/>
      <c r="I18" s="916">
        <f t="shared" ref="I18:I49" si="1">INDEX(TEMPLATE_NUMBER_POINT_FHD,B18,MATCH(TEMPLATE_SPHERE,TEMPLATE_SPHERE_LIST_FOR_NOTE,0))</f>
        <v>1</v>
      </c>
      <c r="J18" s="916" t="str">
        <f t="shared" ref="J18:J49" si="2">INDEX(TEMPLATE_DATA_POINT_FHD,B18,MATCH(TEMPLATE_SPHERE,TEMPLATE_SPHERE_LIST_FOR_NOTE,0))</f>
        <v>Выручка от регулируемых видов деятельности в сфере холодного водоснабжения</v>
      </c>
      <c r="K18" s="916" t="str">
        <f t="shared" ref="K18:K49" si="3">INDEX(TEMPLATE_NOTE_POINT_FHD,B18,MATCH(TEMPLATE_SPHERE,TEMPLATE_SPHERE_LIST_FOR_NOTE,0))</f>
        <v>Указывается выручка с распределением по видам деятельности.</v>
      </c>
      <c r="L18" s="758">
        <f t="shared" ref="L18:L49" si="4">IF(I18=0,"",I18)</f>
        <v>1</v>
      </c>
      <c r="M18" s="758" t="str">
        <f t="shared" ref="M18:M49" si="5">IF(J18=0,"",J18)</f>
        <v>Выручка от регулируемых видов деятельности в сфере холодного водоснабжения</v>
      </c>
      <c r="N18" s="758" t="str">
        <f t="shared" ref="N18:N49" si="6">IF(K18=0,"",K18)</f>
        <v>Указывается выручка с распределением по видам деятельности.</v>
      </c>
      <c r="O18" s="868">
        <v>1</v>
      </c>
      <c r="P18" s="868">
        <v>1</v>
      </c>
      <c r="Q18" s="868">
        <v>1</v>
      </c>
      <c r="R18" s="868">
        <v>1</v>
      </c>
      <c r="S18" s="868"/>
      <c r="T18" s="875" t="s">
        <v>2242</v>
      </c>
      <c r="U18" s="760" t="s">
        <v>2243</v>
      </c>
      <c r="V18" s="760" t="s">
        <v>2244</v>
      </c>
      <c r="W18" s="760" t="s">
        <v>2245</v>
      </c>
      <c r="X18" s="757"/>
      <c r="Y18" s="911"/>
      <c r="Z18" s="760" t="s">
        <v>2246</v>
      </c>
      <c r="AA18" s="763" t="s">
        <v>2247</v>
      </c>
      <c r="AB18" s="763" t="s">
        <v>2247</v>
      </c>
      <c r="AC18" s="763" t="s">
        <v>2247</v>
      </c>
      <c r="AD18" s="760"/>
    </row>
    <row r="19" spans="1:30" ht="36" customHeight="1">
      <c r="A19" s="759"/>
      <c r="B19" s="813">
        <v>2</v>
      </c>
      <c r="C19" s="757" t="s">
        <v>2229</v>
      </c>
      <c r="D19" s="878" t="s">
        <v>2229</v>
      </c>
      <c r="E19" s="757" t="s">
        <v>2229</v>
      </c>
      <c r="F19" s="757" t="s">
        <v>2229</v>
      </c>
      <c r="G19" s="757"/>
      <c r="H19" s="913"/>
      <c r="I19" s="916">
        <f t="shared" si="1"/>
        <v>2</v>
      </c>
      <c r="J19" s="916" t="str">
        <f t="shared" si="2"/>
        <v>Себестоимость производимых товаров (оказываемых услуг) по регулируемым видам деятельности в сфере холодного водоснабжения, включая:</v>
      </c>
      <c r="K19" s="916"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регулируемым видам деятельности в сфере холодного водоснабжения, включая:</v>
      </c>
      <c r="N19" s="758" t="str">
        <f t="shared" si="6"/>
        <v>Указывается суммарная себестоимость производимых товаров.</v>
      </c>
      <c r="O19" s="868">
        <v>2</v>
      </c>
      <c r="P19" s="868">
        <v>2</v>
      </c>
      <c r="Q19" s="868">
        <v>2</v>
      </c>
      <c r="R19" s="868">
        <v>2</v>
      </c>
      <c r="S19" s="868"/>
      <c r="T19" s="875" t="s">
        <v>2248</v>
      </c>
      <c r="U19" s="760" t="s">
        <v>2249</v>
      </c>
      <c r="V19" s="760" t="s">
        <v>2250</v>
      </c>
      <c r="W19" s="760" t="s">
        <v>2251</v>
      </c>
      <c r="X19" s="757"/>
      <c r="Y19" s="911"/>
      <c r="Z19" s="760" t="s">
        <v>2252</v>
      </c>
      <c r="AA19" s="763" t="s">
        <v>2252</v>
      </c>
      <c r="AB19" s="763" t="s">
        <v>2252</v>
      </c>
      <c r="AC19" s="763" t="s">
        <v>2252</v>
      </c>
      <c r="AD19" s="760"/>
    </row>
    <row r="20" spans="1:30" ht="27" customHeight="1">
      <c r="A20" s="759"/>
      <c r="B20" s="813">
        <v>3</v>
      </c>
      <c r="C20" s="757">
        <v>1</v>
      </c>
      <c r="D20" s="878"/>
      <c r="E20" s="757"/>
      <c r="F20" s="757"/>
      <c r="G20" s="757"/>
      <c r="H20" s="913"/>
      <c r="I20" s="916" t="str">
        <f t="shared" si="1"/>
        <v>2.1</v>
      </c>
      <c r="J20" s="916" t="str">
        <f t="shared" si="2"/>
        <v>Расходы на оплату холодной воды, приобретаемой у других организаций для последующей подачи потребителям</v>
      </c>
      <c r="K20" s="916">
        <f t="shared" si="3"/>
        <v>0</v>
      </c>
      <c r="L20" s="758" t="str">
        <f t="shared" si="4"/>
        <v>2.1</v>
      </c>
      <c r="M20" s="758" t="str">
        <f t="shared" si="5"/>
        <v>Расходы на оплату холодной воды, приобретаемой у других организаций для последующей подачи потребителям</v>
      </c>
      <c r="N20" s="758" t="str">
        <f t="shared" si="6"/>
        <v/>
      </c>
      <c r="O20" s="868" t="s">
        <v>791</v>
      </c>
      <c r="P20" s="868" t="s">
        <v>791</v>
      </c>
      <c r="Q20" s="868" t="s">
        <v>791</v>
      </c>
      <c r="R20" s="868" t="s">
        <v>791</v>
      </c>
      <c r="S20" s="868"/>
      <c r="T20" s="875" t="s">
        <v>2253</v>
      </c>
      <c r="U20" s="760" t="s">
        <v>2254</v>
      </c>
      <c r="V20" s="760" t="s">
        <v>2255</v>
      </c>
      <c r="W20" s="760" t="s">
        <v>2256</v>
      </c>
      <c r="X20" s="757"/>
      <c r="Y20" s="911"/>
      <c r="Z20" s="760"/>
      <c r="AA20" s="763"/>
      <c r="AB20" s="760"/>
      <c r="AC20" s="760"/>
      <c r="AD20" s="760"/>
    </row>
    <row r="21" spans="1:30" ht="36" customHeight="1">
      <c r="A21" s="759"/>
      <c r="B21" s="813">
        <v>4</v>
      </c>
      <c r="C21" s="757">
        <v>2</v>
      </c>
      <c r="D21" s="878"/>
      <c r="E21" s="757"/>
      <c r="F21" s="757"/>
      <c r="G21" s="757"/>
      <c r="H21" s="913"/>
      <c r="I21" s="916">
        <f t="shared" si="1"/>
        <v>0</v>
      </c>
      <c r="J21" s="916">
        <f t="shared" si="2"/>
        <v>0</v>
      </c>
      <c r="K21" s="916">
        <f t="shared" si="3"/>
        <v>0</v>
      </c>
      <c r="L21" s="758" t="str">
        <f t="shared" si="4"/>
        <v/>
      </c>
      <c r="M21" s="758" t="str">
        <f t="shared" si="5"/>
        <v/>
      </c>
      <c r="N21" s="758" t="str">
        <f t="shared" si="6"/>
        <v/>
      </c>
      <c r="O21" s="868" t="s">
        <v>481</v>
      </c>
      <c r="P21" s="868"/>
      <c r="Q21" s="868"/>
      <c r="R21" s="868"/>
      <c r="S21" s="868"/>
      <c r="T21" s="875" t="s">
        <v>2257</v>
      </c>
      <c r="U21" s="760"/>
      <c r="V21" s="760"/>
      <c r="W21" s="760"/>
      <c r="X21" s="757"/>
      <c r="Y21" s="911"/>
      <c r="Z21" s="760" t="s">
        <v>2258</v>
      </c>
      <c r="AA21" s="763"/>
      <c r="AB21" s="760"/>
      <c r="AC21" s="760"/>
      <c r="AD21" s="760"/>
    </row>
    <row r="22" spans="1:30" ht="36" customHeight="1">
      <c r="A22" s="759"/>
      <c r="B22" s="813">
        <v>5</v>
      </c>
      <c r="C22" s="757">
        <v>3</v>
      </c>
      <c r="D22" s="878"/>
      <c r="E22" s="757"/>
      <c r="F22" s="757"/>
      <c r="G22" s="805"/>
      <c r="H22" s="869"/>
      <c r="I22" s="916">
        <f t="shared" si="1"/>
        <v>0</v>
      </c>
      <c r="J22" s="916">
        <f t="shared" si="2"/>
        <v>0</v>
      </c>
      <c r="K22" s="916">
        <f t="shared" si="3"/>
        <v>0</v>
      </c>
      <c r="L22" s="758" t="str">
        <f t="shared" si="4"/>
        <v/>
      </c>
      <c r="M22" s="758" t="str">
        <f t="shared" si="5"/>
        <v/>
      </c>
      <c r="N22" s="758" t="str">
        <f t="shared" si="6"/>
        <v/>
      </c>
      <c r="O22" s="868"/>
      <c r="P22" s="868"/>
      <c r="Q22" s="868" t="s">
        <v>481</v>
      </c>
      <c r="R22" s="868"/>
      <c r="S22" s="868"/>
      <c r="T22" s="875"/>
      <c r="U22" s="760"/>
      <c r="V22" s="760" t="s">
        <v>2259</v>
      </c>
      <c r="W22" s="760"/>
      <c r="X22" s="757"/>
      <c r="Y22" s="911"/>
      <c r="Z22" s="760"/>
      <c r="AA22" s="763"/>
      <c r="AB22" s="760"/>
      <c r="AC22" s="760"/>
      <c r="AD22" s="760"/>
    </row>
    <row r="23" spans="1:30" ht="27" customHeight="1">
      <c r="A23" s="759"/>
      <c r="B23" s="813">
        <v>6</v>
      </c>
      <c r="C23" s="757">
        <v>4</v>
      </c>
      <c r="D23" s="878"/>
      <c r="E23" s="757"/>
      <c r="F23" s="757"/>
      <c r="G23" s="805"/>
      <c r="H23" s="869"/>
      <c r="I23" s="916">
        <f t="shared" si="1"/>
        <v>0</v>
      </c>
      <c r="J23" s="916">
        <f t="shared" si="2"/>
        <v>0</v>
      </c>
      <c r="K23" s="916">
        <f t="shared" si="3"/>
        <v>0</v>
      </c>
      <c r="L23" s="758" t="str">
        <f t="shared" si="4"/>
        <v/>
      </c>
      <c r="M23" s="758" t="str">
        <f t="shared" si="5"/>
        <v/>
      </c>
      <c r="N23" s="758" t="str">
        <f t="shared" si="6"/>
        <v/>
      </c>
      <c r="O23" s="868"/>
      <c r="P23" s="868"/>
      <c r="Q23" s="868" t="s">
        <v>484</v>
      </c>
      <c r="R23" s="868"/>
      <c r="S23" s="868"/>
      <c r="T23" s="875"/>
      <c r="U23" s="760"/>
      <c r="V23" s="760" t="s">
        <v>2260</v>
      </c>
      <c r="W23" s="760"/>
      <c r="X23" s="757"/>
      <c r="Y23" s="911"/>
      <c r="Z23" s="760"/>
      <c r="AA23" s="763"/>
      <c r="AB23" s="760"/>
      <c r="AC23" s="760"/>
      <c r="AD23" s="760"/>
    </row>
    <row r="24" spans="1:30" ht="36" customHeight="1">
      <c r="A24" s="759"/>
      <c r="B24" s="813">
        <v>7</v>
      </c>
      <c r="C24" s="757">
        <v>5</v>
      </c>
      <c r="D24" s="878"/>
      <c r="E24" s="757"/>
      <c r="F24" s="757"/>
      <c r="G24" s="805"/>
      <c r="H24" s="869"/>
      <c r="I24" s="916">
        <f t="shared" si="1"/>
        <v>0</v>
      </c>
      <c r="J24" s="916">
        <f t="shared" si="2"/>
        <v>0</v>
      </c>
      <c r="K24" s="916">
        <f t="shared" si="3"/>
        <v>0</v>
      </c>
      <c r="L24" s="758" t="str">
        <f t="shared" si="4"/>
        <v/>
      </c>
      <c r="M24" s="758" t="str">
        <f t="shared" si="5"/>
        <v/>
      </c>
      <c r="N24" s="758" t="str">
        <f t="shared" si="6"/>
        <v/>
      </c>
      <c r="O24" s="868"/>
      <c r="P24" s="868"/>
      <c r="Q24" s="868" t="s">
        <v>811</v>
      </c>
      <c r="R24" s="868"/>
      <c r="S24" s="868"/>
      <c r="T24" s="875"/>
      <c r="U24" s="760"/>
      <c r="V24" s="760" t="s">
        <v>2261</v>
      </c>
      <c r="W24" s="760"/>
      <c r="X24" s="757"/>
      <c r="Y24" s="911"/>
      <c r="Z24" s="760"/>
      <c r="AA24" s="763"/>
      <c r="AB24" s="760"/>
      <c r="AC24" s="760"/>
      <c r="AD24" s="760"/>
    </row>
    <row r="25" spans="1:30" ht="36" customHeight="1">
      <c r="A25" s="759"/>
      <c r="B25" s="813">
        <v>8</v>
      </c>
      <c r="C25" s="757">
        <v>6</v>
      </c>
      <c r="D25" s="878"/>
      <c r="E25" s="757"/>
      <c r="F25" s="757"/>
      <c r="G25" s="805"/>
      <c r="H25" s="869"/>
      <c r="I25" s="916" t="str">
        <f t="shared" si="1"/>
        <v>2.2</v>
      </c>
      <c r="J25" s="916" t="str">
        <f t="shared" si="2"/>
        <v>Расходы на приобретаемую электрическую энергию (мощность), используемую в технологическом процессе</v>
      </c>
      <c r="K25" s="916">
        <f t="shared" si="3"/>
        <v>0</v>
      </c>
      <c r="L25" s="758" t="str">
        <f t="shared" si="4"/>
        <v>2.2</v>
      </c>
      <c r="M25" s="758" t="str">
        <f t="shared" si="5"/>
        <v>Расходы на приобретаемую электрическую энергию (мощность), используемую в технологическом процессе</v>
      </c>
      <c r="N25" s="758" t="str">
        <f t="shared" si="6"/>
        <v/>
      </c>
      <c r="O25" s="868" t="s">
        <v>484</v>
      </c>
      <c r="P25" s="868" t="s">
        <v>481</v>
      </c>
      <c r="Q25" s="868" t="s">
        <v>818</v>
      </c>
      <c r="R25" s="868" t="s">
        <v>481</v>
      </c>
      <c r="S25" s="868"/>
      <c r="T25" s="875" t="s">
        <v>2262</v>
      </c>
      <c r="U25" s="760" t="s">
        <v>2262</v>
      </c>
      <c r="V25" s="760" t="s">
        <v>2262</v>
      </c>
      <c r="W25" s="760" t="s">
        <v>2262</v>
      </c>
      <c r="X25" s="757"/>
      <c r="Y25" s="911"/>
      <c r="Z25" s="760"/>
      <c r="AA25" s="763"/>
      <c r="AB25" s="760"/>
      <c r="AC25" s="760"/>
      <c r="AD25" s="760"/>
    </row>
    <row r="26" spans="1:30" ht="18" customHeight="1">
      <c r="A26" s="759"/>
      <c r="B26" s="813">
        <v>9</v>
      </c>
      <c r="C26" s="757" t="s">
        <v>987</v>
      </c>
      <c r="D26" s="878"/>
      <c r="E26" s="757"/>
      <c r="F26" s="757"/>
      <c r="G26" s="805"/>
      <c r="H26" s="869"/>
      <c r="I26" s="916" t="str">
        <f t="shared" si="1"/>
        <v>2.2.1</v>
      </c>
      <c r="J26" s="916" t="str">
        <f t="shared" si="2"/>
        <v>Средневзвешенная стоимость 1 кВт.ч (с учетом мощности)</v>
      </c>
      <c r="K26" s="916">
        <f t="shared" si="3"/>
        <v>0</v>
      </c>
      <c r="L26" s="758" t="str">
        <f t="shared" si="4"/>
        <v>2.2.1</v>
      </c>
      <c r="M26" s="758" t="str">
        <f t="shared" si="5"/>
        <v>Средневзвешенная стоимость 1 кВт.ч (с учетом мощности)</v>
      </c>
      <c r="N26" s="758" t="str">
        <f t="shared" si="6"/>
        <v/>
      </c>
      <c r="O26" s="868" t="s">
        <v>807</v>
      </c>
      <c r="P26" s="868" t="s">
        <v>801</v>
      </c>
      <c r="Q26" s="868" t="s">
        <v>2263</v>
      </c>
      <c r="R26" s="868" t="s">
        <v>801</v>
      </c>
      <c r="S26" s="868"/>
      <c r="T26" s="875" t="s">
        <v>2264</v>
      </c>
      <c r="U26" s="875" t="s">
        <v>2264</v>
      </c>
      <c r="V26" s="875" t="s">
        <v>2264</v>
      </c>
      <c r="W26" s="875" t="s">
        <v>2264</v>
      </c>
      <c r="X26" s="757"/>
      <c r="Y26" s="911"/>
      <c r="Z26" s="760"/>
      <c r="AA26" s="763"/>
      <c r="AB26" s="760"/>
      <c r="AC26" s="760"/>
      <c r="AD26" s="760"/>
    </row>
    <row r="27" spans="1:30" ht="18" customHeight="1">
      <c r="A27" s="759"/>
      <c r="B27" s="813">
        <v>10</v>
      </c>
      <c r="C27" s="757" t="s">
        <v>2265</v>
      </c>
      <c r="D27" s="878"/>
      <c r="E27" s="757"/>
      <c r="F27" s="757"/>
      <c r="G27" s="805"/>
      <c r="H27" s="869"/>
      <c r="I27" s="916" t="str">
        <f t="shared" si="1"/>
        <v>2.2.2</v>
      </c>
      <c r="J27" s="916" t="str">
        <f t="shared" si="2"/>
        <v>Объём приобретения электрической энергии</v>
      </c>
      <c r="K27" s="916">
        <f t="shared" si="3"/>
        <v>0</v>
      </c>
      <c r="L27" s="758" t="str">
        <f t="shared" si="4"/>
        <v>2.2.2</v>
      </c>
      <c r="M27" s="758" t="str">
        <f t="shared" si="5"/>
        <v>Объём приобретения электрической энергии</v>
      </c>
      <c r="N27" s="758" t="str">
        <f t="shared" si="6"/>
        <v/>
      </c>
      <c r="O27" s="868" t="s">
        <v>809</v>
      </c>
      <c r="P27" s="868" t="s">
        <v>803</v>
      </c>
      <c r="Q27" s="868" t="s">
        <v>2266</v>
      </c>
      <c r="R27" s="868" t="s">
        <v>803</v>
      </c>
      <c r="S27" s="868"/>
      <c r="T27" s="875" t="s">
        <v>2267</v>
      </c>
      <c r="U27" s="875" t="s">
        <v>2267</v>
      </c>
      <c r="V27" s="875" t="s">
        <v>2267</v>
      </c>
      <c r="W27" s="875" t="s">
        <v>2267</v>
      </c>
      <c r="X27" s="757"/>
      <c r="Y27" s="911"/>
      <c r="Z27" s="760"/>
      <c r="AA27" s="763"/>
      <c r="AB27" s="760"/>
      <c r="AC27" s="760"/>
      <c r="AD27" s="760"/>
    </row>
    <row r="28" spans="1:30" ht="27" customHeight="1">
      <c r="A28" s="759"/>
      <c r="B28" s="813">
        <v>11</v>
      </c>
      <c r="C28" s="757">
        <v>7</v>
      </c>
      <c r="D28" s="878"/>
      <c r="E28" s="757"/>
      <c r="F28" s="757"/>
      <c r="G28" s="805"/>
      <c r="H28" s="869"/>
      <c r="I28" s="916">
        <f t="shared" si="1"/>
        <v>0</v>
      </c>
      <c r="J28" s="916">
        <f t="shared" si="2"/>
        <v>0</v>
      </c>
      <c r="K28" s="916">
        <f t="shared" si="3"/>
        <v>0</v>
      </c>
      <c r="L28" s="758" t="str">
        <f t="shared" si="4"/>
        <v/>
      </c>
      <c r="M28" s="758" t="str">
        <f t="shared" si="5"/>
        <v/>
      </c>
      <c r="N28" s="758" t="str">
        <f t="shared" si="6"/>
        <v/>
      </c>
      <c r="O28" s="868" t="s">
        <v>811</v>
      </c>
      <c r="P28" s="868"/>
      <c r="Q28" s="868"/>
      <c r="R28" s="868"/>
      <c r="S28" s="868"/>
      <c r="T28" s="875" t="s">
        <v>2268</v>
      </c>
      <c r="U28" s="760"/>
      <c r="V28" s="760"/>
      <c r="W28" s="760"/>
      <c r="X28" s="757"/>
      <c r="Y28" s="911"/>
      <c r="Z28" s="760"/>
      <c r="AA28" s="763"/>
      <c r="AB28" s="760"/>
      <c r="AC28" s="760"/>
      <c r="AD28" s="760"/>
    </row>
    <row r="29" spans="1:30" ht="27" customHeight="1">
      <c r="A29" s="759"/>
      <c r="B29" s="813">
        <v>12</v>
      </c>
      <c r="C29" s="757">
        <v>8</v>
      </c>
      <c r="D29" s="878"/>
      <c r="E29" s="757"/>
      <c r="F29" s="757"/>
      <c r="G29" s="805"/>
      <c r="H29" s="869"/>
      <c r="I29" s="916" t="str">
        <f t="shared" si="1"/>
        <v>2.3</v>
      </c>
      <c r="J29" s="916" t="str">
        <f t="shared" si="2"/>
        <v>Расходы на химические реагенты, используемые в технологическом процессе</v>
      </c>
      <c r="K29" s="916">
        <f t="shared" si="3"/>
        <v>0</v>
      </c>
      <c r="L29" s="758" t="str">
        <f t="shared" si="4"/>
        <v>2.3</v>
      </c>
      <c r="M29" s="758" t="str">
        <f t="shared" si="5"/>
        <v>Расходы на химические реагенты, используемые в технологическом процессе</v>
      </c>
      <c r="N29" s="758" t="str">
        <f t="shared" si="6"/>
        <v/>
      </c>
      <c r="O29" s="868" t="s">
        <v>818</v>
      </c>
      <c r="P29" s="868" t="s">
        <v>484</v>
      </c>
      <c r="Q29" s="868"/>
      <c r="R29" s="868" t="s">
        <v>484</v>
      </c>
      <c r="S29" s="868"/>
      <c r="T29" s="875" t="s">
        <v>2269</v>
      </c>
      <c r="U29" s="760" t="s">
        <v>2269</v>
      </c>
      <c r="V29" s="760"/>
      <c r="W29" s="760" t="s">
        <v>2269</v>
      </c>
      <c r="X29" s="757"/>
      <c r="Y29" s="911"/>
      <c r="Z29" s="760"/>
      <c r="AA29" s="763"/>
      <c r="AB29" s="760"/>
      <c r="AC29" s="760"/>
      <c r="AD29" s="760"/>
    </row>
    <row r="30" spans="1:30" ht="54" customHeight="1">
      <c r="A30" s="759"/>
      <c r="B30" s="813">
        <v>13</v>
      </c>
      <c r="C30" s="757">
        <v>9</v>
      </c>
      <c r="D30" s="878"/>
      <c r="E30" s="757"/>
      <c r="F30" s="757"/>
      <c r="G30" s="805"/>
      <c r="H30" s="869"/>
      <c r="I30" s="916" t="str">
        <f t="shared" si="1"/>
        <v>2.4</v>
      </c>
      <c r="J30" s="91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6" t="str">
        <f t="shared" si="3"/>
        <v>Указывается общая сумма расходов на оплату труда и отчислений на социальные нужды основного производственного персонала.</v>
      </c>
      <c r="L30" s="758" t="str">
        <f t="shared" si="4"/>
        <v>2.4</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Указывается общая сумма расходов на оплату труда и отчислений на социальные нужды основного производственного персонала.</v>
      </c>
      <c r="O30" s="868" t="s">
        <v>820</v>
      </c>
      <c r="P30" s="868" t="s">
        <v>811</v>
      </c>
      <c r="Q30" s="868" t="s">
        <v>820</v>
      </c>
      <c r="R30" s="868" t="s">
        <v>811</v>
      </c>
      <c r="S30" s="868"/>
      <c r="T30" s="875" t="s">
        <v>2270</v>
      </c>
      <c r="U30" s="760" t="s">
        <v>2270</v>
      </c>
      <c r="V30" s="760" t="s">
        <v>2270</v>
      </c>
      <c r="W30" s="760" t="s">
        <v>2270</v>
      </c>
      <c r="X30" s="757"/>
      <c r="Y30" s="911"/>
      <c r="Z30" s="760"/>
      <c r="AA30" s="763" t="s">
        <v>2271</v>
      </c>
      <c r="AB30" s="763" t="s">
        <v>2271</v>
      </c>
      <c r="AC30" s="763" t="s">
        <v>2271</v>
      </c>
      <c r="AD30" s="760"/>
    </row>
    <row r="31" spans="1:30" ht="18" customHeight="1">
      <c r="A31" s="759"/>
      <c r="B31" s="813">
        <v>14</v>
      </c>
      <c r="C31" s="757" t="s">
        <v>2272</v>
      </c>
      <c r="D31" s="878"/>
      <c r="E31" s="757"/>
      <c r="F31" s="757"/>
      <c r="G31" s="805"/>
      <c r="H31" s="869"/>
      <c r="I31" s="916" t="str">
        <f t="shared" si="1"/>
        <v>2.4.1</v>
      </c>
      <c r="J31" s="916" t="str">
        <f t="shared" si="2"/>
        <v>Расходы на оплату труда основного производственного персонала</v>
      </c>
      <c r="K31" s="916">
        <f t="shared" si="3"/>
        <v>0</v>
      </c>
      <c r="L31" s="758" t="str">
        <f t="shared" si="4"/>
        <v>2.4.1</v>
      </c>
      <c r="M31" s="758" t="str">
        <f t="shared" si="5"/>
        <v>Расходы на оплату труда основного производственного персонала</v>
      </c>
      <c r="N31" s="758" t="str">
        <f t="shared" si="6"/>
        <v/>
      </c>
      <c r="O31" s="868" t="s">
        <v>2273</v>
      </c>
      <c r="P31" s="868" t="s">
        <v>814</v>
      </c>
      <c r="Q31" s="868" t="s">
        <v>2273</v>
      </c>
      <c r="R31" s="868" t="s">
        <v>814</v>
      </c>
      <c r="S31" s="868"/>
      <c r="T31" s="876" t="s">
        <v>2274</v>
      </c>
      <c r="U31" s="760" t="s">
        <v>2274</v>
      </c>
      <c r="V31" s="760" t="s">
        <v>2274</v>
      </c>
      <c r="W31" s="760" t="s">
        <v>2274</v>
      </c>
      <c r="X31" s="757"/>
      <c r="Y31" s="911"/>
      <c r="Z31" s="760"/>
      <c r="AA31" s="763"/>
      <c r="AB31" s="763"/>
      <c r="AC31" s="763"/>
      <c r="AD31" s="760"/>
    </row>
    <row r="32" spans="1:30" ht="36" customHeight="1">
      <c r="A32" s="759"/>
      <c r="B32" s="813">
        <v>15</v>
      </c>
      <c r="C32" s="757" t="s">
        <v>2275</v>
      </c>
      <c r="D32" s="878"/>
      <c r="E32" s="757"/>
      <c r="F32" s="757"/>
      <c r="G32" s="805"/>
      <c r="H32" s="869"/>
      <c r="I32" s="916" t="str">
        <f t="shared" si="1"/>
        <v>2.4.2</v>
      </c>
      <c r="J32" s="91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6">
        <f t="shared" si="3"/>
        <v>0</v>
      </c>
      <c r="L32" s="758" t="str">
        <f t="shared" si="4"/>
        <v>2.4.2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8" t="s">
        <v>2276</v>
      </c>
      <c r="P32" s="868" t="s">
        <v>816</v>
      </c>
      <c r="Q32" s="868" t="s">
        <v>2276</v>
      </c>
      <c r="R32" s="868" t="s">
        <v>816</v>
      </c>
      <c r="S32" s="868"/>
      <c r="T32" s="877" t="s">
        <v>2277</v>
      </c>
      <c r="U32" s="760" t="s">
        <v>2277</v>
      </c>
      <c r="V32" s="760" t="s">
        <v>2277</v>
      </c>
      <c r="W32" s="760" t="s">
        <v>2277</v>
      </c>
      <c r="X32" s="757"/>
      <c r="Y32" s="911"/>
      <c r="Z32" s="760"/>
      <c r="AA32" s="763"/>
      <c r="AB32" s="763"/>
      <c r="AC32" s="763"/>
      <c r="AD32" s="760"/>
    </row>
    <row r="33" spans="1:30" ht="45" customHeight="1">
      <c r="A33" s="759"/>
      <c r="B33" s="813">
        <v>16</v>
      </c>
      <c r="C33" s="757">
        <v>10</v>
      </c>
      <c r="D33" s="878"/>
      <c r="E33" s="757"/>
      <c r="F33" s="757"/>
      <c r="G33" s="805"/>
      <c r="H33" s="869"/>
      <c r="I33" s="916" t="str">
        <f t="shared" si="1"/>
        <v>2.5</v>
      </c>
      <c r="J33" s="91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6" t="str">
        <f t="shared" si="3"/>
        <v>Указывается общая сумма расходов на оплату труда и отчислений на социальные нужды административно-управленческого персонала.</v>
      </c>
      <c r="L33" s="758" t="str">
        <f t="shared" si="4"/>
        <v>2.5</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Указывается общая сумма расходов на оплату труда и отчислений на социальные нужды административно-управленческого персонала.</v>
      </c>
      <c r="O33" s="868" t="s">
        <v>822</v>
      </c>
      <c r="P33" s="868" t="s">
        <v>818</v>
      </c>
      <c r="Q33" s="868" t="s">
        <v>822</v>
      </c>
      <c r="R33" s="868" t="s">
        <v>818</v>
      </c>
      <c r="S33" s="868"/>
      <c r="T33" s="876" t="s">
        <v>2278</v>
      </c>
      <c r="U33" s="760" t="s">
        <v>2278</v>
      </c>
      <c r="V33" s="760" t="s">
        <v>2278</v>
      </c>
      <c r="W33" s="760" t="s">
        <v>2279</v>
      </c>
      <c r="X33" s="757"/>
      <c r="Y33" s="911"/>
      <c r="Z33" s="760"/>
      <c r="AA33" s="763" t="s">
        <v>2280</v>
      </c>
      <c r="AB33" s="763" t="s">
        <v>2280</v>
      </c>
      <c r="AC33" s="763" t="s">
        <v>2280</v>
      </c>
      <c r="AD33" s="760"/>
    </row>
    <row r="34" spans="1:30" ht="27" customHeight="1">
      <c r="A34" s="759"/>
      <c r="B34" s="813">
        <v>17</v>
      </c>
      <c r="C34" s="757" t="s">
        <v>2281</v>
      </c>
      <c r="D34" s="878"/>
      <c r="E34" s="757"/>
      <c r="F34" s="757"/>
      <c r="G34" s="805"/>
      <c r="H34" s="869"/>
      <c r="I34" s="916" t="str">
        <f t="shared" si="1"/>
        <v>2.5.1</v>
      </c>
      <c r="J34" s="916" t="str">
        <f t="shared" si="2"/>
        <v>Расходы на оплату труда административно-управленческого персонала</v>
      </c>
      <c r="K34" s="916">
        <f t="shared" si="3"/>
        <v>0</v>
      </c>
      <c r="L34" s="758" t="str">
        <f t="shared" si="4"/>
        <v>2.5.1</v>
      </c>
      <c r="M34" s="758" t="str">
        <f t="shared" si="5"/>
        <v>Расходы на оплату труда административно-управленческого персонала</v>
      </c>
      <c r="N34" s="758" t="str">
        <f t="shared" si="6"/>
        <v/>
      </c>
      <c r="O34" s="868" t="s">
        <v>2282</v>
      </c>
      <c r="P34" s="868" t="s">
        <v>2263</v>
      </c>
      <c r="Q34" s="868" t="s">
        <v>2282</v>
      </c>
      <c r="R34" s="868" t="s">
        <v>2263</v>
      </c>
      <c r="S34" s="868"/>
      <c r="T34" s="877" t="s">
        <v>2283</v>
      </c>
      <c r="U34" s="760" t="s">
        <v>2283</v>
      </c>
      <c r="V34" s="760" t="s">
        <v>2283</v>
      </c>
      <c r="W34" s="760" t="s">
        <v>2284</v>
      </c>
      <c r="X34" s="757"/>
      <c r="Y34" s="911"/>
      <c r="Z34" s="760"/>
      <c r="AA34" s="763"/>
      <c r="AB34" s="760"/>
      <c r="AC34" s="760"/>
      <c r="AD34" s="760"/>
    </row>
    <row r="35" spans="1:30" ht="45" customHeight="1">
      <c r="A35" s="759"/>
      <c r="B35" s="813">
        <v>18</v>
      </c>
      <c r="C35" s="757" t="s">
        <v>2285</v>
      </c>
      <c r="D35" s="878"/>
      <c r="E35" s="757"/>
      <c r="F35" s="757"/>
      <c r="G35" s="805"/>
      <c r="H35" s="869"/>
      <c r="I35" s="916" t="str">
        <f t="shared" si="1"/>
        <v>2.5.2</v>
      </c>
      <c r="J35" s="91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6">
        <f t="shared" si="3"/>
        <v>0</v>
      </c>
      <c r="L35" s="758" t="str">
        <f t="shared" si="4"/>
        <v>2.5.2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8" t="s">
        <v>2286</v>
      </c>
      <c r="P35" s="868" t="s">
        <v>2266</v>
      </c>
      <c r="Q35" s="868" t="s">
        <v>2286</v>
      </c>
      <c r="R35" s="868" t="s">
        <v>2266</v>
      </c>
      <c r="S35" s="868"/>
      <c r="T35" s="875" t="s">
        <v>2287</v>
      </c>
      <c r="U35" s="760" t="s">
        <v>2287</v>
      </c>
      <c r="V35" s="760" t="s">
        <v>2287</v>
      </c>
      <c r="W35" s="760" t="s">
        <v>2287</v>
      </c>
      <c r="X35" s="757"/>
      <c r="Y35" s="911"/>
      <c r="Z35" s="760"/>
      <c r="AA35" s="763"/>
      <c r="AB35" s="760"/>
      <c r="AC35" s="760"/>
      <c r="AD35" s="760"/>
    </row>
    <row r="36" spans="1:30" ht="18" customHeight="1">
      <c r="A36" s="759"/>
      <c r="B36" s="813">
        <v>19</v>
      </c>
      <c r="C36" s="757">
        <v>11</v>
      </c>
      <c r="D36" s="878"/>
      <c r="E36" s="757"/>
      <c r="F36" s="757"/>
      <c r="G36" s="805"/>
      <c r="H36" s="869"/>
      <c r="I36" s="916" t="str">
        <f t="shared" si="1"/>
        <v>2.6</v>
      </c>
      <c r="J36" s="916" t="str">
        <f t="shared" si="2"/>
        <v>Расходы на амортизацию основных средств и нематериальных активов</v>
      </c>
      <c r="K36" s="916">
        <f t="shared" si="3"/>
        <v>0</v>
      </c>
      <c r="L36" s="758" t="str">
        <f t="shared" si="4"/>
        <v>2.6</v>
      </c>
      <c r="M36" s="758" t="str">
        <f t="shared" si="5"/>
        <v>Расходы на амортизацию основных средств и нематериальных активов</v>
      </c>
      <c r="N36" s="758" t="str">
        <f t="shared" si="6"/>
        <v/>
      </c>
      <c r="O36" s="868" t="s">
        <v>824</v>
      </c>
      <c r="P36" s="868" t="s">
        <v>820</v>
      </c>
      <c r="Q36" s="868" t="s">
        <v>824</v>
      </c>
      <c r="R36" s="868" t="s">
        <v>820</v>
      </c>
      <c r="S36" s="868"/>
      <c r="T36" s="875" t="s">
        <v>2288</v>
      </c>
      <c r="U36" s="760" t="s">
        <v>2288</v>
      </c>
      <c r="V36" s="760" t="s">
        <v>2288</v>
      </c>
      <c r="W36" s="760" t="s">
        <v>2288</v>
      </c>
      <c r="X36" s="757"/>
      <c r="Y36" s="911"/>
      <c r="Z36" s="760"/>
      <c r="AA36" s="763"/>
      <c r="AB36" s="760"/>
      <c r="AC36" s="760"/>
      <c r="AD36" s="760"/>
    </row>
    <row r="37" spans="1:30" ht="18" customHeight="1">
      <c r="A37" s="759"/>
      <c r="B37" s="813">
        <v>20</v>
      </c>
      <c r="C37" s="757" t="s">
        <v>2289</v>
      </c>
      <c r="D37" s="878"/>
      <c r="E37" s="757"/>
      <c r="F37" s="757"/>
      <c r="G37" s="805"/>
      <c r="H37" s="869"/>
      <c r="I37" s="916" t="str">
        <f t="shared" si="1"/>
        <v>2.6.1</v>
      </c>
      <c r="J37" s="916" t="str">
        <f t="shared" si="2"/>
        <v>Расходы на амортизацию основных средств</v>
      </c>
      <c r="K37" s="916">
        <f t="shared" si="3"/>
        <v>0</v>
      </c>
      <c r="L37" s="758" t="str">
        <f t="shared" si="4"/>
        <v>2.6.1</v>
      </c>
      <c r="M37" s="758" t="str">
        <f t="shared" si="5"/>
        <v>Расходы на амортизацию основных средств</v>
      </c>
      <c r="N37" s="758" t="str">
        <f t="shared" si="6"/>
        <v/>
      </c>
      <c r="O37" s="868" t="s">
        <v>2290</v>
      </c>
      <c r="P37" s="868" t="s">
        <v>2273</v>
      </c>
      <c r="Q37" s="868" t="s">
        <v>2290</v>
      </c>
      <c r="R37" s="868" t="s">
        <v>2273</v>
      </c>
      <c r="S37" s="868"/>
      <c r="T37" s="875" t="s">
        <v>2291</v>
      </c>
      <c r="U37" s="760" t="s">
        <v>2291</v>
      </c>
      <c r="V37" s="760" t="s">
        <v>2291</v>
      </c>
      <c r="W37" s="760" t="s">
        <v>2291</v>
      </c>
      <c r="X37" s="757"/>
      <c r="Y37" s="911"/>
      <c r="Z37" s="760"/>
      <c r="AA37" s="763"/>
      <c r="AB37" s="760"/>
      <c r="AC37" s="760"/>
      <c r="AD37" s="760"/>
    </row>
    <row r="38" spans="1:30" ht="18" customHeight="1">
      <c r="A38" s="759"/>
      <c r="B38" s="813">
        <v>21</v>
      </c>
      <c r="C38" s="757" t="s">
        <v>2292</v>
      </c>
      <c r="D38" s="878"/>
      <c r="E38" s="757"/>
      <c r="F38" s="757"/>
      <c r="G38" s="805"/>
      <c r="H38" s="869"/>
      <c r="I38" s="916" t="str">
        <f t="shared" si="1"/>
        <v>2.6.2</v>
      </c>
      <c r="J38" s="916" t="str">
        <f t="shared" si="2"/>
        <v>Расходы на амортизацию нематериальных активов</v>
      </c>
      <c r="K38" s="916">
        <f t="shared" si="3"/>
        <v>0</v>
      </c>
      <c r="L38" s="758" t="str">
        <f t="shared" si="4"/>
        <v>2.6.2</v>
      </c>
      <c r="M38" s="758" t="str">
        <f t="shared" si="5"/>
        <v>Расходы на амортизацию нематериальных активов</v>
      </c>
      <c r="N38" s="758" t="str">
        <f t="shared" si="6"/>
        <v/>
      </c>
      <c r="O38" s="868" t="s">
        <v>2293</v>
      </c>
      <c r="P38" s="868" t="s">
        <v>2276</v>
      </c>
      <c r="Q38" s="868" t="s">
        <v>2293</v>
      </c>
      <c r="R38" s="868" t="s">
        <v>2276</v>
      </c>
      <c r="S38" s="868"/>
      <c r="T38" s="875" t="s">
        <v>2294</v>
      </c>
      <c r="U38" s="760" t="s">
        <v>2294</v>
      </c>
      <c r="V38" s="760" t="s">
        <v>2294</v>
      </c>
      <c r="W38" s="760" t="s">
        <v>2294</v>
      </c>
      <c r="X38" s="757"/>
      <c r="Y38" s="911"/>
      <c r="Z38" s="760"/>
      <c r="AA38" s="763"/>
      <c r="AB38" s="760"/>
      <c r="AC38" s="760"/>
      <c r="AD38" s="760"/>
    </row>
    <row r="39" spans="1:30" ht="36" customHeight="1">
      <c r="A39" s="759"/>
      <c r="B39" s="813">
        <v>22</v>
      </c>
      <c r="C39" s="757">
        <v>12</v>
      </c>
      <c r="D39" s="878"/>
      <c r="E39" s="757"/>
      <c r="F39" s="757"/>
      <c r="G39" s="805"/>
      <c r="H39" s="869"/>
      <c r="I39" s="916" t="str">
        <f t="shared" si="1"/>
        <v>2.7</v>
      </c>
      <c r="J39" s="916" t="str">
        <f t="shared" si="2"/>
        <v>Расходы на аренду имущества, используемого для осуществления регулируемых видов деятельности в сфере холодного водоснабжения</v>
      </c>
      <c r="K39" s="916">
        <f t="shared" si="3"/>
        <v>0</v>
      </c>
      <c r="L39" s="758" t="str">
        <f t="shared" si="4"/>
        <v>2.7</v>
      </c>
      <c r="M39" s="758" t="str">
        <f t="shared" si="5"/>
        <v>Расходы на аренду имущества, используемого для осуществления регулируемых видов деятельности в сфере холодного водоснабжения</v>
      </c>
      <c r="N39" s="758" t="str">
        <f t="shared" si="6"/>
        <v/>
      </c>
      <c r="O39" s="868" t="s">
        <v>828</v>
      </c>
      <c r="P39" s="868" t="s">
        <v>822</v>
      </c>
      <c r="Q39" s="868" t="s">
        <v>828</v>
      </c>
      <c r="R39" s="868" t="s">
        <v>822</v>
      </c>
      <c r="S39" s="868"/>
      <c r="T39" s="875" t="s">
        <v>2295</v>
      </c>
      <c r="U39" s="760" t="s">
        <v>2296</v>
      </c>
      <c r="V39" s="760" t="s">
        <v>2297</v>
      </c>
      <c r="W39" s="760" t="s">
        <v>2298</v>
      </c>
      <c r="X39" s="757"/>
      <c r="Y39" s="911"/>
      <c r="Z39" s="760"/>
      <c r="AA39" s="763"/>
      <c r="AB39" s="760"/>
      <c r="AC39" s="760"/>
      <c r="AD39" s="760"/>
    </row>
    <row r="40" spans="1:30" ht="18" customHeight="1">
      <c r="A40" s="759"/>
      <c r="B40" s="813">
        <v>23</v>
      </c>
      <c r="C40" s="757">
        <v>13</v>
      </c>
      <c r="D40" s="878"/>
      <c r="E40" s="757"/>
      <c r="F40" s="757"/>
      <c r="G40" s="757"/>
      <c r="H40" s="808"/>
      <c r="I40" s="916" t="str">
        <f t="shared" si="1"/>
        <v>2.8</v>
      </c>
      <c r="J40" s="916" t="str">
        <f t="shared" si="2"/>
        <v>Общепроизводственные расходы, в том числе:</v>
      </c>
      <c r="K40" s="916" t="str">
        <f t="shared" si="3"/>
        <v>Указывается общая сумма общепроизводственных расходов.</v>
      </c>
      <c r="L40" s="758" t="str">
        <f t="shared" si="4"/>
        <v>2.8</v>
      </c>
      <c r="M40" s="758" t="str">
        <f t="shared" si="5"/>
        <v>Общепроизводственные расходы, в том числе:</v>
      </c>
      <c r="N40" s="758" t="str">
        <f t="shared" si="6"/>
        <v>Указывается общая сумма общепроизводственных расходов.</v>
      </c>
      <c r="O40" s="868" t="s">
        <v>2299</v>
      </c>
      <c r="P40" s="868" t="s">
        <v>824</v>
      </c>
      <c r="Q40" s="868" t="s">
        <v>2299</v>
      </c>
      <c r="R40" s="868" t="s">
        <v>824</v>
      </c>
      <c r="S40" s="868"/>
      <c r="T40" s="757" t="s">
        <v>2300</v>
      </c>
      <c r="U40" s="757" t="s">
        <v>2300</v>
      </c>
      <c r="V40" s="757" t="s">
        <v>2300</v>
      </c>
      <c r="W40" s="757" t="s">
        <v>2300</v>
      </c>
      <c r="X40" s="757"/>
      <c r="Y40" s="911"/>
      <c r="Z40" s="760" t="s">
        <v>2301</v>
      </c>
      <c r="AA40" s="763" t="s">
        <v>2301</v>
      </c>
      <c r="AB40" s="763" t="s">
        <v>2301</v>
      </c>
      <c r="AC40" s="763" t="s">
        <v>2301</v>
      </c>
      <c r="AD40" s="760"/>
    </row>
    <row r="41" spans="1:30" ht="27" customHeight="1">
      <c r="A41" s="759"/>
      <c r="B41" s="813">
        <v>24</v>
      </c>
      <c r="C41" s="757" t="s">
        <v>2302</v>
      </c>
      <c r="D41" s="878"/>
      <c r="E41" s="757"/>
      <c r="F41" s="757"/>
      <c r="G41" s="757"/>
      <c r="H41" s="805"/>
      <c r="I41" s="916" t="str">
        <f t="shared" si="1"/>
        <v>2.8.1</v>
      </c>
      <c r="J41" s="916" t="str">
        <f t="shared" si="2"/>
        <v>Расходы на текущий ремонт</v>
      </c>
      <c r="K41" s="916" t="str">
        <f t="shared" si="3"/>
        <v>Указываются расходы на текущий ремонт, отнесенные к общепроизводственным расходам.</v>
      </c>
      <c r="L41" s="758" t="str">
        <f t="shared" si="4"/>
        <v>2.8.1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8" t="s">
        <v>2303</v>
      </c>
      <c r="P41" s="868" t="s">
        <v>2290</v>
      </c>
      <c r="Q41" s="868" t="s">
        <v>2303</v>
      </c>
      <c r="R41" s="868" t="s">
        <v>2290</v>
      </c>
      <c r="S41" s="868"/>
      <c r="T41" s="757" t="s">
        <v>2304</v>
      </c>
      <c r="U41" s="757" t="s">
        <v>2304</v>
      </c>
      <c r="V41" s="757" t="s">
        <v>2304</v>
      </c>
      <c r="W41" s="757" t="s">
        <v>2304</v>
      </c>
      <c r="X41" s="757"/>
      <c r="Y41" s="911"/>
      <c r="Z41" s="760" t="s">
        <v>2305</v>
      </c>
      <c r="AA41" s="760" t="s">
        <v>2305</v>
      </c>
      <c r="AB41" s="760" t="s">
        <v>2305</v>
      </c>
      <c r="AC41" s="760" t="s">
        <v>2305</v>
      </c>
      <c r="AD41" s="760"/>
    </row>
    <row r="42" spans="1:30" ht="27" customHeight="1">
      <c r="A42" s="759"/>
      <c r="B42" s="813">
        <v>25</v>
      </c>
      <c r="C42" s="757" t="s">
        <v>2306</v>
      </c>
      <c r="D42" s="878"/>
      <c r="E42" s="757"/>
      <c r="F42" s="757"/>
      <c r="G42" s="757"/>
      <c r="H42" s="805"/>
      <c r="I42" s="916" t="str">
        <f t="shared" si="1"/>
        <v>2.8.2</v>
      </c>
      <c r="J42" s="916" t="str">
        <f t="shared" si="2"/>
        <v>Расходы на капитальный ремонт</v>
      </c>
      <c r="K42" s="916" t="str">
        <f t="shared" si="3"/>
        <v>Указываются расходы на капитальный ремонт, отнесенные к общепроизводственным расходам.</v>
      </c>
      <c r="L42" s="758" t="str">
        <f t="shared" si="4"/>
        <v>2.8.2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8" t="s">
        <v>2307</v>
      </c>
      <c r="P42" s="868" t="s">
        <v>2293</v>
      </c>
      <c r="Q42" s="868" t="s">
        <v>2307</v>
      </c>
      <c r="R42" s="868" t="s">
        <v>2293</v>
      </c>
      <c r="S42" s="868"/>
      <c r="T42" s="757" t="s">
        <v>2308</v>
      </c>
      <c r="U42" s="757" t="s">
        <v>2308</v>
      </c>
      <c r="V42" s="757" t="s">
        <v>2308</v>
      </c>
      <c r="W42" s="757" t="s">
        <v>2308</v>
      </c>
      <c r="X42" s="757"/>
      <c r="Y42" s="911"/>
      <c r="Z42" s="760" t="s">
        <v>2309</v>
      </c>
      <c r="AA42" s="760" t="s">
        <v>2309</v>
      </c>
      <c r="AB42" s="760" t="s">
        <v>2309</v>
      </c>
      <c r="AC42" s="760" t="s">
        <v>2309</v>
      </c>
      <c r="AD42" s="760"/>
    </row>
    <row r="43" spans="1:30" ht="18" customHeight="1">
      <c r="A43" s="759"/>
      <c r="B43" s="813">
        <v>26</v>
      </c>
      <c r="C43" s="757">
        <v>14</v>
      </c>
      <c r="D43" s="878"/>
      <c r="E43" s="757"/>
      <c r="F43" s="757"/>
      <c r="G43" s="757"/>
      <c r="H43" s="805"/>
      <c r="I43" s="916" t="str">
        <f t="shared" si="1"/>
        <v>2.9</v>
      </c>
      <c r="J43" s="916" t="str">
        <f t="shared" si="2"/>
        <v>Общехозяйственные расходы, в том числе:</v>
      </c>
      <c r="K43" s="916" t="str">
        <f t="shared" si="3"/>
        <v>Указывается общая сумма общехозяйственных расходов.</v>
      </c>
      <c r="L43" s="758" t="str">
        <f t="shared" si="4"/>
        <v>2.9</v>
      </c>
      <c r="M43" s="758" t="str">
        <f t="shared" si="5"/>
        <v>Общехозяйственные расходы, в том числе:</v>
      </c>
      <c r="N43" s="758" t="str">
        <f t="shared" si="6"/>
        <v>Указывается общая сумма общехозяйственных расходов.</v>
      </c>
      <c r="O43" s="868" t="s">
        <v>2310</v>
      </c>
      <c r="P43" s="868" t="s">
        <v>828</v>
      </c>
      <c r="Q43" s="868" t="s">
        <v>2310</v>
      </c>
      <c r="R43" s="868" t="s">
        <v>828</v>
      </c>
      <c r="S43" s="868"/>
      <c r="T43" s="757" t="s">
        <v>2311</v>
      </c>
      <c r="U43" s="757" t="s">
        <v>2311</v>
      </c>
      <c r="V43" s="757" t="s">
        <v>2311</v>
      </c>
      <c r="W43" s="757" t="s">
        <v>2311</v>
      </c>
      <c r="X43" s="757"/>
      <c r="Y43" s="911"/>
      <c r="Z43" s="760" t="s">
        <v>2312</v>
      </c>
      <c r="AA43" s="760" t="s">
        <v>2312</v>
      </c>
      <c r="AB43" s="760" t="s">
        <v>2312</v>
      </c>
      <c r="AC43" s="760" t="s">
        <v>2312</v>
      </c>
      <c r="AD43" s="760"/>
    </row>
    <row r="44" spans="1:30" ht="27" customHeight="1">
      <c r="A44" s="759"/>
      <c r="B44" s="813">
        <v>27</v>
      </c>
      <c r="C44" s="757" t="s">
        <v>2313</v>
      </c>
      <c r="D44" s="878"/>
      <c r="E44" s="757"/>
      <c r="F44" s="757"/>
      <c r="G44" s="757"/>
      <c r="H44" s="805"/>
      <c r="I44" s="916" t="str">
        <f t="shared" si="1"/>
        <v>2.9.1</v>
      </c>
      <c r="J44" s="916" t="str">
        <f t="shared" si="2"/>
        <v>Расходы на текущий ремонт</v>
      </c>
      <c r="K44" s="916" t="str">
        <f t="shared" si="3"/>
        <v>Указываются расходы на текущий ремонт, отнесенные к общехозяйственным расходам.</v>
      </c>
      <c r="L44" s="758" t="str">
        <f t="shared" si="4"/>
        <v>2.9.1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8" t="s">
        <v>2314</v>
      </c>
      <c r="P44" s="868" t="s">
        <v>2315</v>
      </c>
      <c r="Q44" s="868" t="s">
        <v>2314</v>
      </c>
      <c r="R44" s="868" t="s">
        <v>2315</v>
      </c>
      <c r="S44" s="868"/>
      <c r="T44" s="757" t="s">
        <v>2304</v>
      </c>
      <c r="U44" s="757" t="s">
        <v>2304</v>
      </c>
      <c r="V44" s="757" t="s">
        <v>2304</v>
      </c>
      <c r="W44" s="757" t="s">
        <v>2304</v>
      </c>
      <c r="X44" s="757"/>
      <c r="Y44" s="911"/>
      <c r="Z44" s="760" t="s">
        <v>2316</v>
      </c>
      <c r="AA44" s="760" t="s">
        <v>2316</v>
      </c>
      <c r="AB44" s="760" t="s">
        <v>2316</v>
      </c>
      <c r="AC44" s="760" t="s">
        <v>2316</v>
      </c>
      <c r="AD44" s="760"/>
    </row>
    <row r="45" spans="1:30" ht="27" customHeight="1">
      <c r="A45" s="759"/>
      <c r="B45" s="813">
        <v>28</v>
      </c>
      <c r="C45" s="757" t="s">
        <v>2317</v>
      </c>
      <c r="D45" s="878"/>
      <c r="E45" s="757"/>
      <c r="F45" s="757"/>
      <c r="G45" s="757"/>
      <c r="H45" s="805"/>
      <c r="I45" s="916" t="str">
        <f t="shared" si="1"/>
        <v>2.9.2</v>
      </c>
      <c r="J45" s="916" t="str">
        <f t="shared" si="2"/>
        <v>Расходы на капитальный ремонт</v>
      </c>
      <c r="K45" s="916" t="str">
        <f t="shared" si="3"/>
        <v>Указываются расходы на капитальный ремонт, отнесенные к общехозяйственным расходам.</v>
      </c>
      <c r="L45" s="758" t="str">
        <f t="shared" si="4"/>
        <v>2.9.2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8" t="s">
        <v>2318</v>
      </c>
      <c r="P45" s="868" t="s">
        <v>2319</v>
      </c>
      <c r="Q45" s="868" t="s">
        <v>2318</v>
      </c>
      <c r="R45" s="868" t="s">
        <v>2319</v>
      </c>
      <c r="S45" s="868"/>
      <c r="T45" s="757" t="s">
        <v>2308</v>
      </c>
      <c r="U45" s="757" t="s">
        <v>2308</v>
      </c>
      <c r="V45" s="757" t="s">
        <v>2308</v>
      </c>
      <c r="W45" s="757" t="s">
        <v>2308</v>
      </c>
      <c r="X45" s="757"/>
      <c r="Y45" s="911"/>
      <c r="Z45" s="760" t="s">
        <v>2320</v>
      </c>
      <c r="AA45" s="760" t="s">
        <v>2320</v>
      </c>
      <c r="AB45" s="760" t="s">
        <v>2320</v>
      </c>
      <c r="AC45" s="760" t="s">
        <v>2320</v>
      </c>
      <c r="AD45" s="760"/>
    </row>
    <row r="46" spans="1:30" ht="54" customHeight="1">
      <c r="A46" s="759"/>
      <c r="B46" s="813">
        <v>29</v>
      </c>
      <c r="C46" s="757">
        <v>15</v>
      </c>
      <c r="D46" s="878"/>
      <c r="E46" s="757"/>
      <c r="F46" s="757"/>
      <c r="G46" s="757"/>
      <c r="H46" s="805"/>
      <c r="I46" s="916" t="str">
        <f t="shared" si="1"/>
        <v>2.10</v>
      </c>
      <c r="J46" s="916" t="str">
        <f t="shared" si="2"/>
        <v>Расходы на капитальный и текущий ремонт основных средств</v>
      </c>
      <c r="K46" s="91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2.10</v>
      </c>
      <c r="M46" s="758" t="str">
        <f t="shared" si="5"/>
        <v>Расходы на капитальный и текущий ремонт основных средств</v>
      </c>
      <c r="N46" s="75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8" t="s">
        <v>2321</v>
      </c>
      <c r="P46" s="868" t="s">
        <v>2299</v>
      </c>
      <c r="Q46" s="868" t="s">
        <v>2321</v>
      </c>
      <c r="R46" s="868" t="s">
        <v>2299</v>
      </c>
      <c r="S46" s="868"/>
      <c r="T46" s="757" t="s">
        <v>2322</v>
      </c>
      <c r="U46" s="757" t="s">
        <v>2322</v>
      </c>
      <c r="V46" s="757" t="s">
        <v>2322</v>
      </c>
      <c r="W46" s="757" t="s">
        <v>2322</v>
      </c>
      <c r="X46" s="757"/>
      <c r="Y46" s="911"/>
      <c r="Z46" s="760" t="s">
        <v>2323</v>
      </c>
      <c r="AA46" s="760" t="s">
        <v>2324</v>
      </c>
      <c r="AB46" s="760" t="s">
        <v>2324</v>
      </c>
      <c r="AC46" s="760" t="s">
        <v>2324</v>
      </c>
      <c r="AD46" s="760"/>
    </row>
    <row r="47" spans="1:30" ht="54" customHeight="1">
      <c r="A47" s="759"/>
      <c r="B47" s="813">
        <v>30</v>
      </c>
      <c r="C47" s="757" t="s">
        <v>2325</v>
      </c>
      <c r="D47" s="878"/>
      <c r="E47" s="757"/>
      <c r="F47" s="757"/>
      <c r="G47" s="757"/>
      <c r="H47" s="805"/>
      <c r="I47" s="916" t="str">
        <f t="shared" si="1"/>
        <v>2.10.1</v>
      </c>
      <c r="J47" s="91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6">
        <f t="shared" si="3"/>
        <v>0</v>
      </c>
      <c r="L47" s="758" t="str">
        <f t="shared" si="4"/>
        <v>2.10.1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8" t="s">
        <v>2326</v>
      </c>
      <c r="P47" s="868" t="s">
        <v>2303</v>
      </c>
      <c r="Q47" s="868" t="s">
        <v>2326</v>
      </c>
      <c r="R47" s="868" t="s">
        <v>2303</v>
      </c>
      <c r="S47" s="868"/>
      <c r="T47" s="757" t="s">
        <v>2327</v>
      </c>
      <c r="U47" s="757" t="s">
        <v>2327</v>
      </c>
      <c r="V47" s="757" t="s">
        <v>2327</v>
      </c>
      <c r="W47" s="757" t="s">
        <v>2327</v>
      </c>
      <c r="X47" s="757"/>
      <c r="Y47" s="911"/>
      <c r="Z47" s="760"/>
      <c r="AA47" s="763"/>
      <c r="AB47" s="763"/>
      <c r="AC47" s="763"/>
      <c r="AD47" s="760"/>
    </row>
    <row r="48" spans="1:30" ht="54" customHeight="1">
      <c r="A48" s="759"/>
      <c r="B48" s="813">
        <v>31</v>
      </c>
      <c r="C48" s="757">
        <v>16</v>
      </c>
      <c r="D48" s="878"/>
      <c r="E48" s="757"/>
      <c r="F48" s="757"/>
      <c r="G48" s="757"/>
      <c r="H48" s="805"/>
      <c r="I48" s="916" t="str">
        <f t="shared" si="1"/>
        <v>2.11</v>
      </c>
      <c r="J48" s="91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1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8" t="str">
        <f t="shared" si="4"/>
        <v>2.11</v>
      </c>
      <c r="M48" s="758"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5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8"/>
      <c r="P48" s="868" t="s">
        <v>2310</v>
      </c>
      <c r="Q48" s="868" t="s">
        <v>2328</v>
      </c>
      <c r="R48" s="868" t="s">
        <v>2310</v>
      </c>
      <c r="S48" s="868"/>
      <c r="T48" s="757"/>
      <c r="U48" s="757" t="s">
        <v>2329</v>
      </c>
      <c r="V48" s="757" t="s">
        <v>2330</v>
      </c>
      <c r="W48" s="757" t="s">
        <v>2330</v>
      </c>
      <c r="X48" s="757"/>
      <c r="Y48" s="911"/>
      <c r="Z48" s="760"/>
      <c r="AA48" s="763" t="s">
        <v>2324</v>
      </c>
      <c r="AB48" s="763" t="s">
        <v>2324</v>
      </c>
      <c r="AC48" s="763" t="s">
        <v>2324</v>
      </c>
      <c r="AD48" s="760"/>
    </row>
    <row r="49" spans="1:30" ht="54" customHeight="1">
      <c r="A49" s="759"/>
      <c r="B49" s="813">
        <v>32</v>
      </c>
      <c r="C49" s="757" t="s">
        <v>2331</v>
      </c>
      <c r="D49" s="878"/>
      <c r="E49" s="757"/>
      <c r="F49" s="757"/>
      <c r="G49" s="757"/>
      <c r="H49" s="805"/>
      <c r="I49" s="916" t="str">
        <f t="shared" si="1"/>
        <v>2.11.1</v>
      </c>
      <c r="J49" s="91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6">
        <f t="shared" si="3"/>
        <v>0</v>
      </c>
      <c r="L49" s="758" t="str">
        <f t="shared" si="4"/>
        <v>2.11.1</v>
      </c>
      <c r="M49"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8" t="str">
        <f t="shared" si="6"/>
        <v/>
      </c>
      <c r="O49" s="868"/>
      <c r="P49" s="868" t="s">
        <v>2314</v>
      </c>
      <c r="Q49" s="868" t="s">
        <v>2332</v>
      </c>
      <c r="R49" s="868" t="s">
        <v>2314</v>
      </c>
      <c r="S49" s="868"/>
      <c r="T49" s="757"/>
      <c r="U49" s="757" t="s">
        <v>2327</v>
      </c>
      <c r="V49" s="757" t="s">
        <v>2327</v>
      </c>
      <c r="W49" s="757" t="s">
        <v>2327</v>
      </c>
      <c r="X49" s="757"/>
      <c r="Y49" s="911"/>
      <c r="Z49" s="760"/>
      <c r="AA49" s="763"/>
      <c r="AB49" s="763"/>
      <c r="AC49" s="763"/>
      <c r="AD49" s="760"/>
    </row>
    <row r="50" spans="1:30" ht="126" customHeight="1">
      <c r="A50" s="759"/>
      <c r="B50" s="813">
        <v>33</v>
      </c>
      <c r="C50" s="757">
        <v>17</v>
      </c>
      <c r="D50" s="878"/>
      <c r="E50" s="757"/>
      <c r="F50" s="757"/>
      <c r="G50" s="757"/>
      <c r="H50" s="805"/>
      <c r="I50" s="916" t="str">
        <f t="shared" ref="I50:I81" si="7">INDEX(TEMPLATE_NUMBER_POINT_FHD,B50,MATCH(TEMPLATE_SPHERE,TEMPLATE_SPHERE_LIST_FOR_NOTE,0))</f>
        <v>2.12</v>
      </c>
      <c r="J50" s="91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1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8" t="str">
        <f t="shared" ref="L50:L81" si="10">IF(I50=0,"",I50)</f>
        <v>2.12</v>
      </c>
      <c r="M50" s="758"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58"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8" t="s">
        <v>2328</v>
      </c>
      <c r="P50" s="868" t="s">
        <v>2321</v>
      </c>
      <c r="Q50" s="868" t="s">
        <v>2333</v>
      </c>
      <c r="R50" s="868" t="s">
        <v>2321</v>
      </c>
      <c r="S50" s="868"/>
      <c r="T50" s="757" t="s">
        <v>2334</v>
      </c>
      <c r="U50" s="757" t="s">
        <v>2335</v>
      </c>
      <c r="V50" s="757" t="s">
        <v>2336</v>
      </c>
      <c r="W50" s="757" t="s">
        <v>2337</v>
      </c>
      <c r="X50" s="757"/>
      <c r="Y50" s="911"/>
      <c r="Z50" s="760" t="s">
        <v>2338</v>
      </c>
      <c r="AA50" s="763" t="s">
        <v>2339</v>
      </c>
      <c r="AB50" s="763" t="s">
        <v>2339</v>
      </c>
      <c r="AC50" s="763" t="s">
        <v>2339</v>
      </c>
      <c r="AD50" s="760"/>
    </row>
    <row r="51" spans="1:30" ht="27" customHeight="1">
      <c r="A51" s="759"/>
      <c r="B51" s="813">
        <v>34</v>
      </c>
      <c r="C51" s="757" t="s">
        <v>2340</v>
      </c>
      <c r="D51" s="878"/>
      <c r="E51" s="757"/>
      <c r="F51" s="757"/>
      <c r="G51" s="757"/>
      <c r="H51" s="805"/>
      <c r="I51" s="916">
        <f t="shared" si="7"/>
        <v>0</v>
      </c>
      <c r="J51" s="916">
        <f t="shared" si="8"/>
        <v>0</v>
      </c>
      <c r="K51" s="916">
        <f t="shared" si="9"/>
        <v>0</v>
      </c>
      <c r="L51" s="758" t="str">
        <f t="shared" si="10"/>
        <v/>
      </c>
      <c r="M51" s="758" t="str">
        <f t="shared" si="11"/>
        <v/>
      </c>
      <c r="N51" s="758" t="str">
        <f t="shared" si="12"/>
        <v/>
      </c>
      <c r="O51" s="868" t="s">
        <v>88</v>
      </c>
      <c r="P51" s="868"/>
      <c r="Q51" s="868"/>
      <c r="R51" s="868"/>
      <c r="S51" s="868"/>
      <c r="T51" s="757" t="s">
        <v>2341</v>
      </c>
      <c r="U51" s="757"/>
      <c r="V51" s="757"/>
      <c r="W51" s="757"/>
      <c r="X51" s="757"/>
      <c r="Y51" s="911"/>
      <c r="Z51" s="760"/>
      <c r="AA51" s="763"/>
      <c r="AB51" s="763"/>
      <c r="AC51" s="763"/>
      <c r="AD51" s="760"/>
    </row>
    <row r="52" spans="1:30" ht="36" customHeight="1">
      <c r="A52" s="759"/>
      <c r="B52" s="813">
        <v>35</v>
      </c>
      <c r="C52" s="757" t="s">
        <v>2233</v>
      </c>
      <c r="D52" s="878" t="s">
        <v>2233</v>
      </c>
      <c r="E52" s="757" t="s">
        <v>2233</v>
      </c>
      <c r="F52" s="757" t="s">
        <v>2233</v>
      </c>
      <c r="G52" s="757"/>
      <c r="H52" s="805"/>
      <c r="I52" s="916" t="str">
        <f t="shared" si="7"/>
        <v>3</v>
      </c>
      <c r="J52" s="916" t="str">
        <f t="shared" si="8"/>
        <v>Чистая прибыль, полученная от регулируемого вида деятельности в сфере холодного водоснабжения, в том числе:</v>
      </c>
      <c r="K52" s="916" t="str">
        <f t="shared" si="9"/>
        <v>Указывается общая сумма чистой прибыли, полученной от регулируемого вида деятельности.</v>
      </c>
      <c r="L52" s="758" t="str">
        <f t="shared" si="10"/>
        <v>3</v>
      </c>
      <c r="M52" s="758" t="str">
        <f t="shared" si="11"/>
        <v>Чистая прибыль, полученная от регулируемого вида деятельности в сфере холодного водоснабжения, в том числе:</v>
      </c>
      <c r="N52" s="758" t="str">
        <f t="shared" si="12"/>
        <v>Указывается общая сумма чистой прибыли, полученной от регулируемого вида деятельности.</v>
      </c>
      <c r="O52" s="868" t="s">
        <v>89</v>
      </c>
      <c r="P52" s="868" t="s">
        <v>88</v>
      </c>
      <c r="Q52" s="868" t="s">
        <v>88</v>
      </c>
      <c r="R52" s="868" t="s">
        <v>88</v>
      </c>
      <c r="S52" s="868"/>
      <c r="T52" s="757" t="s">
        <v>2342</v>
      </c>
      <c r="U52" s="757" t="s">
        <v>2343</v>
      </c>
      <c r="V52" s="757" t="s">
        <v>2344</v>
      </c>
      <c r="W52" s="757" t="s">
        <v>2345</v>
      </c>
      <c r="X52" s="757"/>
      <c r="Y52" s="911"/>
      <c r="Z52" s="760" t="s">
        <v>832</v>
      </c>
      <c r="AA52" s="763" t="s">
        <v>832</v>
      </c>
      <c r="AB52" s="763" t="s">
        <v>832</v>
      </c>
      <c r="AC52" s="763" t="s">
        <v>832</v>
      </c>
      <c r="AD52" s="760"/>
    </row>
    <row r="53" spans="1:30" ht="36" customHeight="1">
      <c r="A53" s="759"/>
      <c r="B53" s="813">
        <v>36</v>
      </c>
      <c r="C53" s="757">
        <v>1</v>
      </c>
      <c r="D53" s="878"/>
      <c r="E53" s="757"/>
      <c r="F53" s="757"/>
      <c r="G53" s="757"/>
      <c r="H53" s="805"/>
      <c r="I53" s="916" t="str">
        <f t="shared" si="7"/>
        <v>3.1</v>
      </c>
      <c r="J53" s="91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6">
        <f t="shared" si="9"/>
        <v>0</v>
      </c>
      <c r="L53" s="758" t="str">
        <f t="shared" si="10"/>
        <v>3.1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8" t="s">
        <v>836</v>
      </c>
      <c r="P53" s="868" t="s">
        <v>500</v>
      </c>
      <c r="Q53" s="868" t="s">
        <v>500</v>
      </c>
      <c r="R53" s="868" t="s">
        <v>500</v>
      </c>
      <c r="S53" s="868"/>
      <c r="T53" s="757" t="s">
        <v>2346</v>
      </c>
      <c r="U53" s="757" t="s">
        <v>2346</v>
      </c>
      <c r="V53" s="757" t="s">
        <v>2346</v>
      </c>
      <c r="W53" s="757" t="s">
        <v>2346</v>
      </c>
      <c r="X53" s="757"/>
      <c r="Y53" s="911"/>
      <c r="Z53" s="760"/>
      <c r="AA53" s="763"/>
      <c r="AB53" s="760"/>
      <c r="AC53" s="760"/>
      <c r="AD53" s="760"/>
    </row>
    <row r="54" spans="1:30" ht="18" customHeight="1">
      <c r="A54" s="759"/>
      <c r="B54" s="813">
        <v>37</v>
      </c>
      <c r="C54" s="757" t="s">
        <v>2239</v>
      </c>
      <c r="D54" s="878" t="s">
        <v>2239</v>
      </c>
      <c r="E54" s="757" t="s">
        <v>2239</v>
      </c>
      <c r="F54" s="757" t="s">
        <v>2239</v>
      </c>
      <c r="G54" s="757"/>
      <c r="H54" s="805"/>
      <c r="I54" s="916" t="str">
        <f t="shared" si="7"/>
        <v>4</v>
      </c>
      <c r="J54" s="916" t="str">
        <f t="shared" si="8"/>
        <v>Изменение стоимости основных фондов, в том числе:</v>
      </c>
      <c r="K54" s="916" t="str">
        <f t="shared" si="9"/>
        <v>Указывается общее изменение стоимости основных фондов.</v>
      </c>
      <c r="L54" s="758" t="str">
        <f t="shared" si="10"/>
        <v>4</v>
      </c>
      <c r="M54" s="758" t="str">
        <f t="shared" si="11"/>
        <v>Изменение стоимости основных фондов, в том числе:</v>
      </c>
      <c r="N54" s="758" t="str">
        <f t="shared" si="12"/>
        <v>Указывается общее изменение стоимости основных фондов.</v>
      </c>
      <c r="O54" s="868" t="s">
        <v>111</v>
      </c>
      <c r="P54" s="868" t="s">
        <v>89</v>
      </c>
      <c r="Q54" s="868" t="s">
        <v>89</v>
      </c>
      <c r="R54" s="868" t="s">
        <v>89</v>
      </c>
      <c r="S54" s="868"/>
      <c r="T54" s="757" t="s">
        <v>834</v>
      </c>
      <c r="U54" s="757" t="s">
        <v>834</v>
      </c>
      <c r="V54" s="757" t="s">
        <v>834</v>
      </c>
      <c r="W54" s="757" t="s">
        <v>834</v>
      </c>
      <c r="X54" s="757"/>
      <c r="Y54" s="911"/>
      <c r="Z54" s="760" t="s">
        <v>835</v>
      </c>
      <c r="AA54" s="760" t="s">
        <v>835</v>
      </c>
      <c r="AB54" s="760" t="s">
        <v>835</v>
      </c>
      <c r="AC54" s="760" t="s">
        <v>835</v>
      </c>
      <c r="AD54" s="760"/>
    </row>
    <row r="55" spans="1:30" ht="36" customHeight="1">
      <c r="A55" s="759"/>
      <c r="B55" s="813">
        <v>38</v>
      </c>
      <c r="C55" s="757">
        <v>1</v>
      </c>
      <c r="D55" s="878"/>
      <c r="E55" s="757"/>
      <c r="F55" s="757"/>
      <c r="G55" s="757"/>
      <c r="H55" s="805"/>
      <c r="I55" s="916" t="str">
        <f t="shared" si="7"/>
        <v>4.1</v>
      </c>
      <c r="J55" s="916" t="str">
        <f t="shared" si="8"/>
        <v>Изменение стоимости основных фондов за счет их ввода в эксплуатацию (вывода из эксплуатации)</v>
      </c>
      <c r="K55" s="916" t="str">
        <f t="shared" si="9"/>
        <v>Указываются общее изменение стоимости основных фондов за счет их ввода в эксплуатацию и вывода из эксплуатации.</v>
      </c>
      <c r="L55" s="758" t="str">
        <f t="shared" si="10"/>
        <v>4.1</v>
      </c>
      <c r="M55" s="758" t="str">
        <f t="shared" si="11"/>
        <v>Изменение стоимости основных фондов за счет их ввода в эксплуатацию (вывода из эксплуатации)</v>
      </c>
      <c r="N55" s="758" t="str">
        <f t="shared" si="12"/>
        <v>Указываются общее изменение стоимости основных фондов за счет их ввода в эксплуатацию и вывода из эксплуатации.</v>
      </c>
      <c r="O55" s="868" t="s">
        <v>489</v>
      </c>
      <c r="P55" s="868" t="s">
        <v>836</v>
      </c>
      <c r="Q55" s="868" t="s">
        <v>836</v>
      </c>
      <c r="R55" s="868" t="s">
        <v>836</v>
      </c>
      <c r="S55" s="868"/>
      <c r="T55" s="757" t="s">
        <v>2347</v>
      </c>
      <c r="U55" s="757" t="s">
        <v>2348</v>
      </c>
      <c r="V55" s="757" t="s">
        <v>2348</v>
      </c>
      <c r="W55" s="757" t="s">
        <v>2348</v>
      </c>
      <c r="X55" s="757"/>
      <c r="Y55" s="911"/>
      <c r="Z55" s="760" t="s">
        <v>2349</v>
      </c>
      <c r="AA55" s="760" t="s">
        <v>2349</v>
      </c>
      <c r="AB55" s="760" t="s">
        <v>2349</v>
      </c>
      <c r="AC55" s="760" t="s">
        <v>2349</v>
      </c>
      <c r="AD55" s="760"/>
    </row>
    <row r="56" spans="1:30" ht="27" customHeight="1">
      <c r="A56" s="759"/>
      <c r="B56" s="813">
        <v>39</v>
      </c>
      <c r="C56" s="757" t="s">
        <v>1105</v>
      </c>
      <c r="D56" s="878"/>
      <c r="E56" s="757"/>
      <c r="F56" s="757"/>
      <c r="G56" s="757"/>
      <c r="H56" s="805"/>
      <c r="I56" s="916" t="str">
        <f t="shared" si="7"/>
        <v>4.1.1</v>
      </c>
      <c r="J56" s="916" t="str">
        <f t="shared" si="8"/>
        <v>Изменение стоимости основных фондов за счет их ввода в эксплуатацию</v>
      </c>
      <c r="K56" s="916" t="str">
        <f t="shared" si="9"/>
        <v>Указываются изменение стоимости основных фондов за счет их ввода в эксплуатацию.</v>
      </c>
      <c r="L56" s="758" t="str">
        <f t="shared" si="10"/>
        <v>4.1.1</v>
      </c>
      <c r="M56" s="758" t="str">
        <f t="shared" si="11"/>
        <v>Изменение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8" t="s">
        <v>1258</v>
      </c>
      <c r="P56" s="868" t="s">
        <v>839</v>
      </c>
      <c r="Q56" s="868" t="s">
        <v>839</v>
      </c>
      <c r="R56" s="868" t="s">
        <v>839</v>
      </c>
      <c r="S56" s="868"/>
      <c r="T56" s="757" t="s">
        <v>2350</v>
      </c>
      <c r="U56" s="757" t="s">
        <v>2351</v>
      </c>
      <c r="V56" s="757" t="s">
        <v>2351</v>
      </c>
      <c r="W56" s="757" t="s">
        <v>2351</v>
      </c>
      <c r="X56" s="757"/>
      <c r="Y56" s="911"/>
      <c r="Z56" s="760" t="s">
        <v>841</v>
      </c>
      <c r="AA56" s="760" t="s">
        <v>841</v>
      </c>
      <c r="AB56" s="760" t="s">
        <v>841</v>
      </c>
      <c r="AC56" s="760" t="s">
        <v>841</v>
      </c>
      <c r="AD56" s="760"/>
    </row>
    <row r="57" spans="1:30" ht="27" customHeight="1">
      <c r="A57" s="759"/>
      <c r="B57" s="813">
        <v>40</v>
      </c>
      <c r="C57" s="757" t="s">
        <v>1107</v>
      </c>
      <c r="D57" s="878"/>
      <c r="E57" s="757"/>
      <c r="F57" s="757"/>
      <c r="G57" s="757"/>
      <c r="H57" s="805"/>
      <c r="I57" s="916" t="str">
        <f t="shared" si="7"/>
        <v>4.1.2</v>
      </c>
      <c r="J57" s="916" t="str">
        <f t="shared" si="8"/>
        <v>Изменение стоимости основных фондов за счет их вывода в эксплуатацию</v>
      </c>
      <c r="K57" s="916" t="str">
        <f t="shared" si="9"/>
        <v>Указываются изменение стоимости основных фондов за счет их вывода из эксплуатации.</v>
      </c>
      <c r="L57" s="758" t="str">
        <f t="shared" si="10"/>
        <v>4.1.2</v>
      </c>
      <c r="M57" s="758" t="str">
        <f t="shared" si="11"/>
        <v>Изменение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8" t="s">
        <v>1261</v>
      </c>
      <c r="P57" s="868" t="s">
        <v>842</v>
      </c>
      <c r="Q57" s="868" t="s">
        <v>842</v>
      </c>
      <c r="R57" s="868" t="s">
        <v>842</v>
      </c>
      <c r="S57" s="868"/>
      <c r="T57" s="757" t="s">
        <v>2352</v>
      </c>
      <c r="U57" s="757" t="s">
        <v>2353</v>
      </c>
      <c r="V57" s="757" t="s">
        <v>2353</v>
      </c>
      <c r="W57" s="757" t="s">
        <v>2353</v>
      </c>
      <c r="X57" s="757"/>
      <c r="Y57" s="911"/>
      <c r="Z57" s="760" t="s">
        <v>844</v>
      </c>
      <c r="AA57" s="760" t="s">
        <v>844</v>
      </c>
      <c r="AB57" s="760" t="s">
        <v>844</v>
      </c>
      <c r="AC57" s="760" t="s">
        <v>844</v>
      </c>
      <c r="AD57" s="760"/>
    </row>
    <row r="58" spans="1:30" ht="18" customHeight="1">
      <c r="A58" s="759"/>
      <c r="B58" s="813">
        <v>41</v>
      </c>
      <c r="C58" s="757">
        <v>2</v>
      </c>
      <c r="D58" s="878"/>
      <c r="E58" s="757"/>
      <c r="F58" s="757"/>
      <c r="G58" s="757"/>
      <c r="H58" s="805"/>
      <c r="I58" s="916" t="str">
        <f t="shared" si="7"/>
        <v>4.2</v>
      </c>
      <c r="J58" s="916" t="str">
        <f t="shared" si="8"/>
        <v>Изменение стоимости основных фондов за счет их переоценки</v>
      </c>
      <c r="K58" s="916">
        <f t="shared" si="9"/>
        <v>0</v>
      </c>
      <c r="L58" s="758" t="str">
        <f t="shared" si="10"/>
        <v>4.2</v>
      </c>
      <c r="M58" s="758" t="str">
        <f t="shared" si="11"/>
        <v>Изменение стоимости основных фондов за счет их переоценки</v>
      </c>
      <c r="N58" s="758" t="str">
        <f t="shared" si="12"/>
        <v/>
      </c>
      <c r="O58" s="868" t="s">
        <v>491</v>
      </c>
      <c r="P58" s="868" t="s">
        <v>879</v>
      </c>
      <c r="Q58" s="868" t="s">
        <v>879</v>
      </c>
      <c r="R58" s="868" t="s">
        <v>879</v>
      </c>
      <c r="S58" s="868"/>
      <c r="T58" s="757" t="s">
        <v>2354</v>
      </c>
      <c r="U58" s="757" t="s">
        <v>2354</v>
      </c>
      <c r="V58" s="757" t="s">
        <v>2354</v>
      </c>
      <c r="W58" s="757" t="s">
        <v>2354</v>
      </c>
      <c r="X58" s="757"/>
      <c r="Y58" s="911"/>
      <c r="Z58" s="760"/>
      <c r="AA58" s="763"/>
      <c r="AB58" s="760"/>
      <c r="AC58" s="760"/>
      <c r="AD58" s="760"/>
    </row>
    <row r="59" spans="1:30" ht="36" customHeight="1">
      <c r="A59" s="759"/>
      <c r="B59" s="813">
        <v>42</v>
      </c>
      <c r="C59" s="757">
        <v>3</v>
      </c>
      <c r="D59" s="878" t="s">
        <v>2340</v>
      </c>
      <c r="E59" s="757" t="s">
        <v>2340</v>
      </c>
      <c r="F59" s="757" t="s">
        <v>2340</v>
      </c>
      <c r="G59" s="757"/>
      <c r="H59" s="805"/>
      <c r="I59" s="916" t="str">
        <f t="shared" si="7"/>
        <v>5</v>
      </c>
      <c r="J59" s="916" t="str">
        <f t="shared" si="8"/>
        <v>Валовая прибыль (убытки) от продажи товаров и услуг по регулируемым видам деятельности в сфере холодного водоснабжения</v>
      </c>
      <c r="K59" s="916">
        <f t="shared" si="9"/>
        <v>0</v>
      </c>
      <c r="L59" s="758" t="str">
        <f t="shared" si="10"/>
        <v>5</v>
      </c>
      <c r="M59" s="758" t="str">
        <f t="shared" si="11"/>
        <v>Валовая прибыль (убытки) от продажи товаров и услуг по регулируемым видам деятельности в сфере холодного водоснабжения</v>
      </c>
      <c r="N59" s="758" t="str">
        <f t="shared" si="12"/>
        <v/>
      </c>
      <c r="O59" s="868"/>
      <c r="P59" s="868" t="s">
        <v>111</v>
      </c>
      <c r="Q59" s="868" t="s">
        <v>111</v>
      </c>
      <c r="R59" s="868" t="s">
        <v>111</v>
      </c>
      <c r="S59" s="868"/>
      <c r="T59" s="757"/>
      <c r="U59" s="757" t="s">
        <v>2355</v>
      </c>
      <c r="V59" s="757" t="s">
        <v>2356</v>
      </c>
      <c r="W59" s="757" t="s">
        <v>2357</v>
      </c>
      <c r="X59" s="757"/>
      <c r="Y59" s="911"/>
      <c r="Z59" s="760"/>
      <c r="AA59" s="763"/>
      <c r="AB59" s="760"/>
      <c r="AC59" s="760"/>
      <c r="AD59" s="760"/>
    </row>
    <row r="60" spans="1:30" ht="81" customHeight="1">
      <c r="A60" s="759"/>
      <c r="B60" s="813">
        <v>43</v>
      </c>
      <c r="C60" s="757" t="s">
        <v>2358</v>
      </c>
      <c r="D60" s="878" t="s">
        <v>2358</v>
      </c>
      <c r="E60" s="757" t="s">
        <v>2358</v>
      </c>
      <c r="F60" s="757" t="s">
        <v>2358</v>
      </c>
      <c r="G60" s="757"/>
      <c r="H60" s="805"/>
      <c r="I60" s="916" t="str">
        <f t="shared" si="7"/>
        <v>6</v>
      </c>
      <c r="J60" s="916" t="str">
        <f t="shared" si="8"/>
        <v>Годовая бухгалтерская (финансовая) отчетность, включая бухгалтерский баланс и приложения к нему</v>
      </c>
      <c r="K60" s="91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8" t="s">
        <v>90</v>
      </c>
      <c r="P60" s="868" t="s">
        <v>90</v>
      </c>
      <c r="Q60" s="868" t="s">
        <v>90</v>
      </c>
      <c r="R60" s="868" t="s">
        <v>90</v>
      </c>
      <c r="S60" s="868"/>
      <c r="T60" s="757" t="s">
        <v>848</v>
      </c>
      <c r="U60" s="757" t="s">
        <v>848</v>
      </c>
      <c r="V60" s="757" t="s">
        <v>848</v>
      </c>
      <c r="W60" s="757" t="s">
        <v>848</v>
      </c>
      <c r="X60" s="757"/>
      <c r="Y60" s="911"/>
      <c r="Z60" s="760" t="s">
        <v>2359</v>
      </c>
      <c r="AA60" s="763" t="s">
        <v>2360</v>
      </c>
      <c r="AB60" s="760" t="s">
        <v>2361</v>
      </c>
      <c r="AC60" s="760" t="s">
        <v>2360</v>
      </c>
      <c r="AD60" s="760"/>
    </row>
    <row r="61" spans="1:30" ht="9" customHeight="1">
      <c r="A61" s="759"/>
      <c r="B61" s="813">
        <v>44</v>
      </c>
      <c r="C61" s="757"/>
      <c r="D61" s="878" t="s">
        <v>2362</v>
      </c>
      <c r="E61" s="757"/>
      <c r="F61" s="757"/>
      <c r="G61" s="757"/>
      <c r="H61" s="805"/>
      <c r="I61" s="916" t="str">
        <f t="shared" si="7"/>
        <v>7</v>
      </c>
      <c r="J61" s="916" t="str">
        <f t="shared" si="8"/>
        <v>Объём поднятой воды</v>
      </c>
      <c r="K61" s="916">
        <f t="shared" si="9"/>
        <v>0</v>
      </c>
      <c r="L61" s="758" t="str">
        <f t="shared" si="10"/>
        <v>7</v>
      </c>
      <c r="M61" s="758" t="str">
        <f t="shared" si="11"/>
        <v>Объём поднятой воды</v>
      </c>
      <c r="N61" s="758" t="str">
        <f t="shared" si="12"/>
        <v/>
      </c>
      <c r="O61" s="868"/>
      <c r="P61" s="868" t="s">
        <v>91</v>
      </c>
      <c r="Q61" s="868"/>
      <c r="R61" s="868"/>
      <c r="S61" s="868"/>
      <c r="T61" s="757"/>
      <c r="U61" s="757" t="s">
        <v>2363</v>
      </c>
      <c r="V61" s="757"/>
      <c r="W61" s="757"/>
      <c r="X61" s="757"/>
      <c r="Y61" s="911"/>
      <c r="Z61" s="760"/>
      <c r="AA61" s="763"/>
      <c r="AB61" s="760"/>
      <c r="AC61" s="760"/>
      <c r="AD61" s="760"/>
    </row>
    <row r="62" spans="1:30" ht="9" customHeight="1">
      <c r="A62" s="759"/>
      <c r="B62" s="813">
        <v>45</v>
      </c>
      <c r="C62" s="757"/>
      <c r="D62" s="878" t="s">
        <v>2364</v>
      </c>
      <c r="E62" s="757"/>
      <c r="F62" s="757"/>
      <c r="G62" s="757"/>
      <c r="H62" s="805"/>
      <c r="I62" s="916" t="str">
        <f t="shared" si="7"/>
        <v>8</v>
      </c>
      <c r="J62" s="916" t="str">
        <f t="shared" si="8"/>
        <v>Объём покупной воды</v>
      </c>
      <c r="K62" s="916">
        <f t="shared" si="9"/>
        <v>0</v>
      </c>
      <c r="L62" s="758" t="str">
        <f t="shared" si="10"/>
        <v>8</v>
      </c>
      <c r="M62" s="758" t="str">
        <f t="shared" si="11"/>
        <v>Объём покупной воды</v>
      </c>
      <c r="N62" s="758" t="str">
        <f t="shared" si="12"/>
        <v/>
      </c>
      <c r="O62" s="868"/>
      <c r="P62" s="868" t="s">
        <v>121</v>
      </c>
      <c r="Q62" s="868"/>
      <c r="R62" s="868"/>
      <c r="S62" s="868"/>
      <c r="T62" s="757"/>
      <c r="U62" s="757" t="s">
        <v>2365</v>
      </c>
      <c r="V62" s="757"/>
      <c r="W62" s="757"/>
      <c r="X62" s="757"/>
      <c r="Y62" s="911"/>
      <c r="Z62" s="760"/>
      <c r="AA62" s="763"/>
      <c r="AB62" s="760"/>
      <c r="AC62" s="760"/>
      <c r="AD62" s="760"/>
    </row>
    <row r="63" spans="1:30" ht="18" customHeight="1">
      <c r="A63" s="759"/>
      <c r="B63" s="813">
        <v>46</v>
      </c>
      <c r="C63" s="757"/>
      <c r="D63" s="878" t="s">
        <v>2366</v>
      </c>
      <c r="E63" s="757"/>
      <c r="F63" s="757"/>
      <c r="G63" s="757"/>
      <c r="H63" s="805"/>
      <c r="I63" s="916" t="str">
        <f t="shared" si="7"/>
        <v>9</v>
      </c>
      <c r="J63" s="916" t="str">
        <f t="shared" si="8"/>
        <v>Объём воды, пропущенной через очистные сооружения</v>
      </c>
      <c r="K63" s="916">
        <f t="shared" si="9"/>
        <v>0</v>
      </c>
      <c r="L63" s="758" t="str">
        <f t="shared" si="10"/>
        <v>9</v>
      </c>
      <c r="M63" s="758" t="str">
        <f t="shared" si="11"/>
        <v>Объём воды, пропущенной через очистные сооружения</v>
      </c>
      <c r="N63" s="758" t="str">
        <f t="shared" si="12"/>
        <v/>
      </c>
      <c r="O63" s="868"/>
      <c r="P63" s="868" t="s">
        <v>125</v>
      </c>
      <c r="Q63" s="868"/>
      <c r="R63" s="868"/>
      <c r="S63" s="868"/>
      <c r="T63" s="757"/>
      <c r="U63" s="757" t="s">
        <v>2367</v>
      </c>
      <c r="V63" s="757"/>
      <c r="W63" s="757"/>
      <c r="X63" s="757"/>
      <c r="Y63" s="911"/>
      <c r="Z63" s="760"/>
      <c r="AA63" s="763"/>
      <c r="AB63" s="760"/>
      <c r="AC63" s="760"/>
      <c r="AD63" s="760"/>
    </row>
    <row r="64" spans="1:30" ht="18" customHeight="1">
      <c r="A64" s="759"/>
      <c r="B64" s="813">
        <v>47</v>
      </c>
      <c r="C64" s="757"/>
      <c r="D64" s="878" t="s">
        <v>2368</v>
      </c>
      <c r="E64" s="757"/>
      <c r="F64" s="757"/>
      <c r="G64" s="757"/>
      <c r="H64" s="805"/>
      <c r="I64" s="916" t="str">
        <f t="shared" si="7"/>
        <v>10</v>
      </c>
      <c r="J64" s="916" t="str">
        <f t="shared" si="8"/>
        <v>Объём отпущенной потребителям воды, в том числе:</v>
      </c>
      <c r="K64" s="916" t="str">
        <f t="shared" si="9"/>
        <v>Указывается общий объем отпущенной потребителям воды.</v>
      </c>
      <c r="L64" s="758" t="str">
        <f t="shared" si="10"/>
        <v>10</v>
      </c>
      <c r="M64" s="758" t="str">
        <f t="shared" si="11"/>
        <v>Объём отпущенной потребителям воды, в том числе:</v>
      </c>
      <c r="N64" s="758" t="str">
        <f t="shared" si="12"/>
        <v>Указывается общий объем отпущенной потребителям воды.</v>
      </c>
      <c r="O64" s="868"/>
      <c r="P64" s="868" t="s">
        <v>129</v>
      </c>
      <c r="Q64" s="868"/>
      <c r="R64" s="868"/>
      <c r="S64" s="868"/>
      <c r="T64" s="757"/>
      <c r="U64" s="757" t="s">
        <v>2369</v>
      </c>
      <c r="V64" s="757"/>
      <c r="W64" s="757"/>
      <c r="X64" s="757"/>
      <c r="Y64" s="911"/>
      <c r="Z64" s="760"/>
      <c r="AA64" s="763" t="s">
        <v>2370</v>
      </c>
      <c r="AB64" s="760"/>
      <c r="AC64" s="760"/>
      <c r="AD64" s="760"/>
    </row>
    <row r="65" spans="1:30" ht="18" customHeight="1">
      <c r="A65" s="759"/>
      <c r="B65" s="813">
        <v>48</v>
      </c>
      <c r="C65" s="757"/>
      <c r="D65" s="878"/>
      <c r="E65" s="757"/>
      <c r="F65" s="757"/>
      <c r="G65" s="757"/>
      <c r="H65" s="805"/>
      <c r="I65" s="916" t="str">
        <f t="shared" si="7"/>
        <v>10.1</v>
      </c>
      <c r="J65" s="916" t="str">
        <f t="shared" si="8"/>
        <v>Объём отпущенной потребителям воды, определенный по приборам учета</v>
      </c>
      <c r="K65" s="916">
        <f t="shared" si="9"/>
        <v>0</v>
      </c>
      <c r="L65" s="758" t="str">
        <f t="shared" si="10"/>
        <v>10.1</v>
      </c>
      <c r="M65" s="758" t="str">
        <f t="shared" si="11"/>
        <v>Объём отпущенной потребителям воды, определенный по приборам учета</v>
      </c>
      <c r="N65" s="758" t="str">
        <f t="shared" si="12"/>
        <v/>
      </c>
      <c r="O65" s="868"/>
      <c r="P65" s="868" t="s">
        <v>2281</v>
      </c>
      <c r="Q65" s="868"/>
      <c r="R65" s="868"/>
      <c r="S65" s="868"/>
      <c r="T65" s="757"/>
      <c r="U65" s="757" t="s">
        <v>2371</v>
      </c>
      <c r="V65" s="757"/>
      <c r="W65" s="757"/>
      <c r="X65" s="757"/>
      <c r="Y65" s="911"/>
      <c r="Z65" s="760"/>
      <c r="AA65" s="763"/>
      <c r="AB65" s="760"/>
      <c r="AC65" s="760"/>
      <c r="AD65" s="760"/>
    </row>
    <row r="66" spans="1:30" ht="18" customHeight="1">
      <c r="A66" s="759"/>
      <c r="B66" s="813">
        <v>49</v>
      </c>
      <c r="C66" s="757"/>
      <c r="D66" s="878"/>
      <c r="E66" s="757"/>
      <c r="F66" s="757"/>
      <c r="G66" s="757"/>
      <c r="H66" s="805"/>
      <c r="I66" s="916" t="str">
        <f t="shared" si="7"/>
        <v>10.2</v>
      </c>
      <c r="J66" s="916" t="str">
        <f t="shared" si="8"/>
        <v>Объём отпущенной потребителям воды, определенный расчетным способом</v>
      </c>
      <c r="K66" s="916">
        <f t="shared" si="9"/>
        <v>0</v>
      </c>
      <c r="L66" s="758" t="str">
        <f t="shared" si="10"/>
        <v>10.2</v>
      </c>
      <c r="M66" s="758" t="str">
        <f t="shared" si="11"/>
        <v>Объём отпущенной потребителям воды, определенный расчетным способом</v>
      </c>
      <c r="N66" s="758" t="str">
        <f t="shared" si="12"/>
        <v/>
      </c>
      <c r="O66" s="868"/>
      <c r="P66" s="868" t="s">
        <v>2285</v>
      </c>
      <c r="Q66" s="868"/>
      <c r="R66" s="868"/>
      <c r="S66" s="868"/>
      <c r="T66" s="757"/>
      <c r="U66" s="757" t="s">
        <v>2372</v>
      </c>
      <c r="V66" s="757"/>
      <c r="W66" s="757"/>
      <c r="X66" s="757"/>
      <c r="Y66" s="911"/>
      <c r="Z66" s="760"/>
      <c r="AA66" s="763"/>
      <c r="AB66" s="760"/>
      <c r="AC66" s="760"/>
      <c r="AD66" s="760"/>
    </row>
    <row r="67" spans="1:30" ht="27" customHeight="1">
      <c r="A67" s="759"/>
      <c r="B67" s="813">
        <v>50</v>
      </c>
      <c r="C67" s="757"/>
      <c r="D67" s="878"/>
      <c r="E67" s="757"/>
      <c r="F67" s="757"/>
      <c r="G67" s="757"/>
      <c r="H67" s="805"/>
      <c r="I67" s="916" t="str">
        <f t="shared" si="7"/>
        <v>10.2.1</v>
      </c>
      <c r="J67" s="916" t="str">
        <f t="shared" si="8"/>
        <v>Объём отпущенной потребителям воды, определенный по нормативам потребления коммунальных услуг</v>
      </c>
      <c r="K67" s="916">
        <f t="shared" si="9"/>
        <v>0</v>
      </c>
      <c r="L67" s="758" t="str">
        <f t="shared" si="10"/>
        <v>10.2.1</v>
      </c>
      <c r="M67" s="758" t="str">
        <f t="shared" si="11"/>
        <v>Объём отпущенной потребителям воды, определенный по нормативам потребления коммунальных услуг</v>
      </c>
      <c r="N67" s="758" t="str">
        <f t="shared" si="12"/>
        <v/>
      </c>
      <c r="O67" s="868"/>
      <c r="P67" s="868" t="s">
        <v>2373</v>
      </c>
      <c r="Q67" s="868"/>
      <c r="R67" s="868"/>
      <c r="S67" s="868"/>
      <c r="T67" s="757"/>
      <c r="U67" s="757" t="s">
        <v>2374</v>
      </c>
      <c r="V67" s="757"/>
      <c r="W67" s="757"/>
      <c r="X67" s="757"/>
      <c r="Y67" s="911"/>
      <c r="Z67" s="760"/>
      <c r="AA67" s="763"/>
      <c r="AB67" s="760"/>
      <c r="AC67" s="760"/>
      <c r="AD67" s="760"/>
    </row>
    <row r="68" spans="1:30" ht="27" customHeight="1">
      <c r="A68" s="759"/>
      <c r="B68" s="813">
        <v>51</v>
      </c>
      <c r="C68" s="757"/>
      <c r="D68" s="878"/>
      <c r="E68" s="757"/>
      <c r="F68" s="757"/>
      <c r="G68" s="757"/>
      <c r="H68" s="805"/>
      <c r="I68" s="916" t="str">
        <f t="shared" si="7"/>
        <v>10.2.2</v>
      </c>
      <c r="J68" s="916" t="str">
        <f t="shared" si="8"/>
        <v xml:space="preserve">Объём отпущенной потребителям воды, определенный по нормативам потребления коммунальных ресурсов </v>
      </c>
      <c r="K68" s="916">
        <f t="shared" si="9"/>
        <v>0</v>
      </c>
      <c r="L68" s="758" t="str">
        <f t="shared" si="10"/>
        <v>10.2.2</v>
      </c>
      <c r="M68" s="758" t="str">
        <f t="shared" si="11"/>
        <v xml:space="preserve">Объём отпущенной потребителям воды, определенный по нормативам потребления коммунальных ресурсов </v>
      </c>
      <c r="N68" s="758" t="str">
        <f t="shared" si="12"/>
        <v/>
      </c>
      <c r="O68" s="868"/>
      <c r="P68" s="868" t="s">
        <v>2375</v>
      </c>
      <c r="Q68" s="868"/>
      <c r="R68" s="868"/>
      <c r="S68" s="868"/>
      <c r="T68" s="757"/>
      <c r="U68" s="757" t="s">
        <v>2376</v>
      </c>
      <c r="V68" s="757"/>
      <c r="W68" s="757"/>
      <c r="X68" s="757"/>
      <c r="Y68" s="911"/>
      <c r="Z68" s="760"/>
      <c r="AA68" s="763"/>
      <c r="AB68" s="760"/>
      <c r="AC68" s="760"/>
      <c r="AD68" s="760"/>
    </row>
    <row r="69" spans="1:30" ht="9" customHeight="1">
      <c r="A69" s="759"/>
      <c r="B69" s="813">
        <v>52</v>
      </c>
      <c r="C69" s="757"/>
      <c r="D69" s="878" t="s">
        <v>2377</v>
      </c>
      <c r="E69" s="757"/>
      <c r="F69" s="757"/>
      <c r="G69" s="757"/>
      <c r="H69" s="805"/>
      <c r="I69" s="916" t="str">
        <f t="shared" si="7"/>
        <v>11</v>
      </c>
      <c r="J69" s="916" t="str">
        <f t="shared" si="8"/>
        <v>Потери воды в сетях</v>
      </c>
      <c r="K69" s="916">
        <f t="shared" si="9"/>
        <v>0</v>
      </c>
      <c r="L69" s="758" t="str">
        <f t="shared" si="10"/>
        <v>11</v>
      </c>
      <c r="M69" s="758" t="str">
        <f t="shared" si="11"/>
        <v>Потери воды в сетях</v>
      </c>
      <c r="N69" s="758" t="str">
        <f t="shared" si="12"/>
        <v/>
      </c>
      <c r="O69" s="868"/>
      <c r="P69" s="868" t="s">
        <v>102</v>
      </c>
      <c r="Q69" s="868"/>
      <c r="R69" s="868"/>
      <c r="S69" s="868"/>
      <c r="T69" s="757"/>
      <c r="U69" s="757" t="s">
        <v>2378</v>
      </c>
      <c r="V69" s="757"/>
      <c r="W69" s="757"/>
      <c r="X69" s="757"/>
      <c r="Y69" s="911"/>
      <c r="Z69" s="760"/>
      <c r="AA69" s="763"/>
      <c r="AB69" s="760"/>
      <c r="AC69" s="760"/>
      <c r="AD69" s="760"/>
    </row>
    <row r="70" spans="1:30" ht="27" customHeight="1">
      <c r="A70" s="759"/>
      <c r="B70" s="813">
        <v>53</v>
      </c>
      <c r="C70" s="757"/>
      <c r="D70" s="878"/>
      <c r="E70" s="757" t="s">
        <v>2362</v>
      </c>
      <c r="F70" s="757"/>
      <c r="G70" s="757"/>
      <c r="H70" s="805"/>
      <c r="I70" s="916">
        <f t="shared" si="7"/>
        <v>0</v>
      </c>
      <c r="J70" s="916">
        <f t="shared" si="8"/>
        <v>0</v>
      </c>
      <c r="K70" s="916">
        <f t="shared" si="9"/>
        <v>0</v>
      </c>
      <c r="L70" s="758" t="str">
        <f t="shared" si="10"/>
        <v/>
      </c>
      <c r="M70" s="758" t="str">
        <f t="shared" si="11"/>
        <v/>
      </c>
      <c r="N70" s="758" t="str">
        <f t="shared" si="12"/>
        <v/>
      </c>
      <c r="O70" s="868"/>
      <c r="P70" s="868"/>
      <c r="Q70" s="868" t="s">
        <v>91</v>
      </c>
      <c r="R70" s="868"/>
      <c r="S70" s="868"/>
      <c r="T70" s="757"/>
      <c r="U70" s="757"/>
      <c r="V70" s="757" t="s">
        <v>2379</v>
      </c>
      <c r="W70" s="757"/>
      <c r="X70" s="757"/>
      <c r="Y70" s="911"/>
      <c r="Z70" s="760"/>
      <c r="AA70" s="763"/>
      <c r="AB70" s="760"/>
      <c r="AC70" s="760"/>
      <c r="AD70" s="760"/>
    </row>
    <row r="71" spans="1:30" ht="36" customHeight="1">
      <c r="A71" s="759"/>
      <c r="B71" s="813">
        <v>54</v>
      </c>
      <c r="C71" s="757"/>
      <c r="D71" s="878"/>
      <c r="E71" s="757" t="s">
        <v>2364</v>
      </c>
      <c r="F71" s="757"/>
      <c r="G71" s="757"/>
      <c r="H71" s="805"/>
      <c r="I71" s="916">
        <f t="shared" si="7"/>
        <v>0</v>
      </c>
      <c r="J71" s="916">
        <f t="shared" si="8"/>
        <v>0</v>
      </c>
      <c r="K71" s="916">
        <f t="shared" si="9"/>
        <v>0</v>
      </c>
      <c r="L71" s="758" t="str">
        <f t="shared" si="10"/>
        <v/>
      </c>
      <c r="M71" s="758" t="str">
        <f t="shared" si="11"/>
        <v/>
      </c>
      <c r="N71" s="758" t="str">
        <f t="shared" si="12"/>
        <v/>
      </c>
      <c r="O71" s="868"/>
      <c r="P71" s="868"/>
      <c r="Q71" s="868" t="s">
        <v>121</v>
      </c>
      <c r="R71" s="868"/>
      <c r="S71" s="868"/>
      <c r="T71" s="757"/>
      <c r="U71" s="757"/>
      <c r="V71" s="757" t="s">
        <v>2380</v>
      </c>
      <c r="W71" s="757"/>
      <c r="X71" s="757"/>
      <c r="Y71" s="911"/>
      <c r="Z71" s="760"/>
      <c r="AA71" s="763"/>
      <c r="AB71" s="760"/>
      <c r="AC71" s="760"/>
      <c r="AD71" s="760"/>
    </row>
    <row r="72" spans="1:30" ht="27" customHeight="1">
      <c r="A72" s="759"/>
      <c r="B72" s="813">
        <v>55</v>
      </c>
      <c r="C72" s="757"/>
      <c r="D72" s="878"/>
      <c r="E72" s="757" t="s">
        <v>2366</v>
      </c>
      <c r="F72" s="757"/>
      <c r="G72" s="757"/>
      <c r="H72" s="805"/>
      <c r="I72" s="916">
        <f t="shared" si="7"/>
        <v>0</v>
      </c>
      <c r="J72" s="916">
        <f t="shared" si="8"/>
        <v>0</v>
      </c>
      <c r="K72" s="916">
        <f t="shared" si="9"/>
        <v>0</v>
      </c>
      <c r="L72" s="758" t="str">
        <f t="shared" si="10"/>
        <v/>
      </c>
      <c r="M72" s="758" t="str">
        <f t="shared" si="11"/>
        <v/>
      </c>
      <c r="N72" s="758" t="str">
        <f t="shared" si="12"/>
        <v/>
      </c>
      <c r="O72" s="868"/>
      <c r="P72" s="868"/>
      <c r="Q72" s="868" t="s">
        <v>125</v>
      </c>
      <c r="R72" s="868"/>
      <c r="S72" s="868"/>
      <c r="T72" s="757"/>
      <c r="U72" s="757"/>
      <c r="V72" s="757" t="s">
        <v>2381</v>
      </c>
      <c r="W72" s="757"/>
      <c r="X72" s="757"/>
      <c r="Y72" s="911"/>
      <c r="Z72" s="760"/>
      <c r="AA72" s="763"/>
      <c r="AB72" s="760"/>
      <c r="AC72" s="760"/>
      <c r="AD72" s="760"/>
    </row>
    <row r="73" spans="1:30" ht="36" customHeight="1">
      <c r="A73" s="759"/>
      <c r="B73" s="813">
        <v>56</v>
      </c>
      <c r="C73" s="757"/>
      <c r="D73" s="878"/>
      <c r="E73" s="757" t="s">
        <v>2368</v>
      </c>
      <c r="F73" s="757"/>
      <c r="G73" s="757"/>
      <c r="H73" s="805"/>
      <c r="I73" s="916">
        <f t="shared" si="7"/>
        <v>0</v>
      </c>
      <c r="J73" s="916">
        <f t="shared" si="8"/>
        <v>0</v>
      </c>
      <c r="K73" s="916">
        <f t="shared" si="9"/>
        <v>0</v>
      </c>
      <c r="L73" s="758" t="str">
        <f t="shared" si="10"/>
        <v/>
      </c>
      <c r="M73" s="758" t="str">
        <f t="shared" si="11"/>
        <v/>
      </c>
      <c r="N73" s="758" t="str">
        <f t="shared" si="12"/>
        <v/>
      </c>
      <c r="O73" s="868"/>
      <c r="P73" s="868"/>
      <c r="Q73" s="868" t="s">
        <v>129</v>
      </c>
      <c r="R73" s="868"/>
      <c r="S73" s="868"/>
      <c r="T73" s="757"/>
      <c r="U73" s="757"/>
      <c r="V73" s="757" t="s">
        <v>2382</v>
      </c>
      <c r="W73" s="757"/>
      <c r="X73" s="757"/>
      <c r="Y73" s="911"/>
      <c r="Z73" s="760"/>
      <c r="AA73" s="763"/>
      <c r="AB73" s="760"/>
      <c r="AC73" s="760"/>
      <c r="AD73" s="760"/>
    </row>
    <row r="74" spans="1:30" ht="18" customHeight="1">
      <c r="A74" s="759"/>
      <c r="B74" s="813">
        <v>57</v>
      </c>
      <c r="C74" s="757"/>
      <c r="D74" s="878"/>
      <c r="E74" s="757" t="s">
        <v>2377</v>
      </c>
      <c r="F74" s="757"/>
      <c r="G74" s="757"/>
      <c r="H74" s="805"/>
      <c r="I74" s="916">
        <f t="shared" si="7"/>
        <v>0</v>
      </c>
      <c r="J74" s="916">
        <f t="shared" si="8"/>
        <v>0</v>
      </c>
      <c r="K74" s="916">
        <f t="shared" si="9"/>
        <v>0</v>
      </c>
      <c r="L74" s="758" t="str">
        <f t="shared" si="10"/>
        <v/>
      </c>
      <c r="M74" s="758" t="str">
        <f t="shared" si="11"/>
        <v/>
      </c>
      <c r="N74" s="758" t="str">
        <f t="shared" si="12"/>
        <v/>
      </c>
      <c r="O74" s="868"/>
      <c r="P74" s="868"/>
      <c r="Q74" s="868" t="s">
        <v>102</v>
      </c>
      <c r="R74" s="868"/>
      <c r="S74" s="868"/>
      <c r="T74" s="757"/>
      <c r="U74" s="757"/>
      <c r="V74" s="757" t="s">
        <v>2383</v>
      </c>
      <c r="W74" s="757"/>
      <c r="X74" s="757"/>
      <c r="Y74" s="911"/>
      <c r="Z74" s="760"/>
      <c r="AA74" s="763"/>
      <c r="AB74" s="760"/>
      <c r="AC74" s="760"/>
      <c r="AD74" s="760"/>
    </row>
    <row r="75" spans="1:30" ht="18" customHeight="1">
      <c r="A75" s="759"/>
      <c r="B75" s="813">
        <v>58</v>
      </c>
      <c r="C75" s="757"/>
      <c r="D75" s="878"/>
      <c r="E75" s="757"/>
      <c r="F75" s="757" t="s">
        <v>2362</v>
      </c>
      <c r="G75" s="757"/>
      <c r="H75" s="805"/>
      <c r="I75" s="916">
        <f t="shared" si="7"/>
        <v>0</v>
      </c>
      <c r="J75" s="916">
        <f t="shared" si="8"/>
        <v>0</v>
      </c>
      <c r="K75" s="916">
        <f t="shared" si="9"/>
        <v>0</v>
      </c>
      <c r="L75" s="758" t="str">
        <f t="shared" si="10"/>
        <v/>
      </c>
      <c r="M75" s="758" t="str">
        <f t="shared" si="11"/>
        <v/>
      </c>
      <c r="N75" s="758" t="str">
        <f t="shared" si="12"/>
        <v/>
      </c>
      <c r="O75" s="868"/>
      <c r="P75" s="868"/>
      <c r="Q75" s="868"/>
      <c r="R75" s="868" t="s">
        <v>91</v>
      </c>
      <c r="S75" s="868"/>
      <c r="T75" s="757"/>
      <c r="U75" s="757"/>
      <c r="V75" s="757"/>
      <c r="W75" s="757" t="s">
        <v>2384</v>
      </c>
      <c r="X75" s="757"/>
      <c r="Y75" s="911"/>
      <c r="Z75" s="760"/>
      <c r="AA75" s="763"/>
      <c r="AB75" s="760"/>
      <c r="AC75" s="760"/>
      <c r="AD75" s="760"/>
    </row>
    <row r="76" spans="1:30" ht="36" customHeight="1">
      <c r="A76" s="759"/>
      <c r="B76" s="813">
        <v>59</v>
      </c>
      <c r="C76" s="757"/>
      <c r="D76" s="878"/>
      <c r="E76" s="757"/>
      <c r="F76" s="757" t="s">
        <v>2364</v>
      </c>
      <c r="G76" s="757"/>
      <c r="H76" s="805"/>
      <c r="I76" s="916">
        <f t="shared" si="7"/>
        <v>0</v>
      </c>
      <c r="J76" s="916">
        <f t="shared" si="8"/>
        <v>0</v>
      </c>
      <c r="K76" s="916">
        <f t="shared" si="9"/>
        <v>0</v>
      </c>
      <c r="L76" s="758" t="str">
        <f t="shared" si="10"/>
        <v/>
      </c>
      <c r="M76" s="758" t="str">
        <f t="shared" si="11"/>
        <v/>
      </c>
      <c r="N76" s="758" t="str">
        <f t="shared" si="12"/>
        <v/>
      </c>
      <c r="O76" s="868"/>
      <c r="P76" s="868"/>
      <c r="Q76" s="868"/>
      <c r="R76" s="868" t="s">
        <v>121</v>
      </c>
      <c r="S76" s="868"/>
      <c r="T76" s="757"/>
      <c r="U76" s="757"/>
      <c r="V76" s="757"/>
      <c r="W76" s="757" t="s">
        <v>2385</v>
      </c>
      <c r="X76" s="757"/>
      <c r="Y76" s="911"/>
      <c r="Z76" s="760"/>
      <c r="AA76" s="763"/>
      <c r="AB76" s="760"/>
      <c r="AC76" s="760"/>
      <c r="AD76" s="760"/>
    </row>
    <row r="77" spans="1:30" ht="18" customHeight="1">
      <c r="A77" s="759"/>
      <c r="B77" s="813">
        <v>60</v>
      </c>
      <c r="C77" s="757"/>
      <c r="D77" s="878"/>
      <c r="E77" s="757"/>
      <c r="F77" s="757" t="s">
        <v>2366</v>
      </c>
      <c r="G77" s="757"/>
      <c r="H77" s="805"/>
      <c r="I77" s="916">
        <f t="shared" si="7"/>
        <v>0</v>
      </c>
      <c r="J77" s="916">
        <f t="shared" si="8"/>
        <v>0</v>
      </c>
      <c r="K77" s="916">
        <f t="shared" si="9"/>
        <v>0</v>
      </c>
      <c r="L77" s="758" t="str">
        <f t="shared" si="10"/>
        <v/>
      </c>
      <c r="M77" s="758" t="str">
        <f t="shared" si="11"/>
        <v/>
      </c>
      <c r="N77" s="758" t="str">
        <f t="shared" si="12"/>
        <v/>
      </c>
      <c r="O77" s="868"/>
      <c r="P77" s="868"/>
      <c r="Q77" s="868"/>
      <c r="R77" s="868" t="s">
        <v>125</v>
      </c>
      <c r="S77" s="868"/>
      <c r="T77" s="757"/>
      <c r="U77" s="757"/>
      <c r="V77" s="757"/>
      <c r="W77" s="757" t="s">
        <v>2386</v>
      </c>
      <c r="X77" s="757"/>
      <c r="Y77" s="911"/>
      <c r="Z77" s="760"/>
      <c r="AA77" s="763"/>
      <c r="AB77" s="760"/>
      <c r="AC77" s="760"/>
      <c r="AD77" s="760"/>
    </row>
    <row r="78" spans="1:30" ht="72" customHeight="1">
      <c r="A78" s="759"/>
      <c r="B78" s="813">
        <v>61</v>
      </c>
      <c r="C78" s="757" t="s">
        <v>2362</v>
      </c>
      <c r="D78" s="878"/>
      <c r="E78" s="757"/>
      <c r="F78" s="757"/>
      <c r="G78" s="757"/>
      <c r="H78" s="805"/>
      <c r="I78" s="916">
        <f t="shared" si="7"/>
        <v>0</v>
      </c>
      <c r="J78" s="916">
        <f t="shared" si="8"/>
        <v>0</v>
      </c>
      <c r="K78" s="916">
        <f t="shared" si="9"/>
        <v>0</v>
      </c>
      <c r="L78" s="758" t="str">
        <f t="shared" si="10"/>
        <v/>
      </c>
      <c r="M78" s="758" t="str">
        <f t="shared" si="11"/>
        <v/>
      </c>
      <c r="N78" s="758" t="str">
        <f t="shared" si="12"/>
        <v/>
      </c>
      <c r="O78" s="868" t="s">
        <v>91</v>
      </c>
      <c r="P78" s="868"/>
      <c r="Q78" s="868"/>
      <c r="R78" s="868"/>
      <c r="S78" s="868"/>
      <c r="T78" s="757" t="s">
        <v>2387</v>
      </c>
      <c r="U78" s="757"/>
      <c r="V78" s="757"/>
      <c r="W78" s="757"/>
      <c r="X78" s="757"/>
      <c r="Y78" s="911"/>
      <c r="Z78" s="760" t="s">
        <v>2388</v>
      </c>
      <c r="AA78" s="763"/>
      <c r="AB78" s="760"/>
      <c r="AC78" s="760"/>
      <c r="AD78" s="760"/>
    </row>
    <row r="79" spans="1:30" ht="36" customHeight="1">
      <c r="A79" s="759"/>
      <c r="B79" s="813">
        <v>62</v>
      </c>
      <c r="C79" s="757" t="s">
        <v>2364</v>
      </c>
      <c r="D79" s="878"/>
      <c r="E79" s="757"/>
      <c r="F79" s="757"/>
      <c r="G79" s="757"/>
      <c r="H79" s="805"/>
      <c r="I79" s="916">
        <f t="shared" si="7"/>
        <v>0</v>
      </c>
      <c r="J79" s="916">
        <f t="shared" si="8"/>
        <v>0</v>
      </c>
      <c r="K79" s="916">
        <f t="shared" si="9"/>
        <v>0</v>
      </c>
      <c r="L79" s="758" t="str">
        <f t="shared" si="10"/>
        <v/>
      </c>
      <c r="M79" s="758" t="str">
        <f t="shared" si="11"/>
        <v/>
      </c>
      <c r="N79" s="758" t="str">
        <f t="shared" si="12"/>
        <v/>
      </c>
      <c r="O79" s="868" t="s">
        <v>121</v>
      </c>
      <c r="P79" s="868"/>
      <c r="Q79" s="868"/>
      <c r="R79" s="868"/>
      <c r="S79" s="868"/>
      <c r="T79" s="757" t="s">
        <v>2389</v>
      </c>
      <c r="U79" s="757"/>
      <c r="V79" s="757"/>
      <c r="W79" s="757"/>
      <c r="X79" s="757"/>
      <c r="Y79" s="911"/>
      <c r="Z79" s="760" t="s">
        <v>2390</v>
      </c>
      <c r="AA79" s="763"/>
      <c r="AB79" s="760"/>
      <c r="AC79" s="760"/>
      <c r="AD79" s="760"/>
    </row>
    <row r="80" spans="1:30" ht="45" customHeight="1">
      <c r="A80" s="759"/>
      <c r="B80" s="813">
        <v>63</v>
      </c>
      <c r="C80" s="757" t="s">
        <v>2366</v>
      </c>
      <c r="D80" s="878"/>
      <c r="E80" s="757"/>
      <c r="F80" s="757"/>
      <c r="G80" s="757"/>
      <c r="H80" s="805"/>
      <c r="I80" s="916">
        <f t="shared" si="7"/>
        <v>0</v>
      </c>
      <c r="J80" s="916">
        <f t="shared" si="8"/>
        <v>0</v>
      </c>
      <c r="K80" s="916">
        <f t="shared" si="9"/>
        <v>0</v>
      </c>
      <c r="L80" s="758" t="str">
        <f t="shared" si="10"/>
        <v/>
      </c>
      <c r="M80" s="758" t="str">
        <f t="shared" si="11"/>
        <v/>
      </c>
      <c r="N80" s="758" t="str">
        <f t="shared" si="12"/>
        <v/>
      </c>
      <c r="O80" s="868" t="s">
        <v>125</v>
      </c>
      <c r="P80" s="868"/>
      <c r="Q80" s="868"/>
      <c r="R80" s="868"/>
      <c r="S80" s="868"/>
      <c r="T80" s="757" t="s">
        <v>2391</v>
      </c>
      <c r="U80" s="757"/>
      <c r="V80" s="757"/>
      <c r="W80" s="757"/>
      <c r="X80" s="757"/>
      <c r="Y80" s="911"/>
      <c r="Z80" s="760" t="s">
        <v>2392</v>
      </c>
      <c r="AA80" s="763"/>
      <c r="AB80" s="760"/>
      <c r="AC80" s="760"/>
      <c r="AD80" s="760"/>
    </row>
    <row r="81" spans="1:30" ht="36" customHeight="1">
      <c r="A81" s="759"/>
      <c r="B81" s="813">
        <v>64</v>
      </c>
      <c r="C81" s="757" t="s">
        <v>2368</v>
      </c>
      <c r="D81" s="878"/>
      <c r="E81" s="757"/>
      <c r="F81" s="757"/>
      <c r="G81" s="757"/>
      <c r="H81" s="805"/>
      <c r="I81" s="916">
        <f t="shared" si="7"/>
        <v>0</v>
      </c>
      <c r="J81" s="916">
        <f t="shared" si="8"/>
        <v>0</v>
      </c>
      <c r="K81" s="916">
        <f t="shared" si="9"/>
        <v>0</v>
      </c>
      <c r="L81" s="758" t="str">
        <f t="shared" si="10"/>
        <v/>
      </c>
      <c r="M81" s="758" t="str">
        <f t="shared" si="11"/>
        <v/>
      </c>
      <c r="N81" s="758" t="str">
        <f t="shared" si="12"/>
        <v/>
      </c>
      <c r="O81" s="868" t="s">
        <v>2272</v>
      </c>
      <c r="P81" s="868"/>
      <c r="Q81" s="868"/>
      <c r="R81" s="868"/>
      <c r="S81" s="868"/>
      <c r="T81" s="757" t="s">
        <v>2393</v>
      </c>
      <c r="U81" s="757"/>
      <c r="V81" s="757"/>
      <c r="W81" s="757"/>
      <c r="X81" s="757"/>
      <c r="Y81" s="911"/>
      <c r="Z81" s="760" t="s">
        <v>2394</v>
      </c>
      <c r="AA81" s="763"/>
      <c r="AB81" s="760"/>
      <c r="AC81" s="760"/>
      <c r="AD81" s="760"/>
    </row>
    <row r="82" spans="1:30" ht="90" customHeight="1">
      <c r="A82" s="759"/>
      <c r="B82" s="813">
        <v>65</v>
      </c>
      <c r="C82" s="757" t="s">
        <v>2377</v>
      </c>
      <c r="D82" s="878"/>
      <c r="E82" s="757"/>
      <c r="F82" s="757"/>
      <c r="G82" s="757"/>
      <c r="H82" s="805"/>
      <c r="I82" s="916">
        <f t="shared" ref="I82:I101" si="13">INDEX(TEMPLATE_NUMBER_POINT_FHD,B82,MATCH(TEMPLATE_SPHERE,TEMPLATE_SPHERE_LIST_FOR_NOTE,0))</f>
        <v>0</v>
      </c>
      <c r="J82" s="916">
        <f t="shared" ref="J82:J101" si="14">INDEX(TEMPLATE_DATA_POINT_FHD,B82,MATCH(TEMPLATE_SPHERE,TEMPLATE_SPHERE_LIST_FOR_NOTE,0))</f>
        <v>0</v>
      </c>
      <c r="K82" s="916">
        <f t="shared" ref="K82:K101" si="15">INDEX(TEMPLATE_NOTE_POINT_FHD,B82,MATCH(TEMPLATE_SPHERE,TEMPLATE_SPHERE_LIST_FOR_NOTE,0))</f>
        <v>0</v>
      </c>
      <c r="L82" s="758" t="str">
        <f t="shared" ref="L82:L101" si="16">IF(I82=0,"",I82)</f>
        <v/>
      </c>
      <c r="M82" s="758" t="str">
        <f t="shared" ref="M82:M101" si="17">IF(J82=0,"",J82)</f>
        <v/>
      </c>
      <c r="N82" s="758" t="str">
        <f t="shared" ref="N82:N101" si="18">IF(K82=0,"",K82)</f>
        <v/>
      </c>
      <c r="O82" s="868" t="s">
        <v>129</v>
      </c>
      <c r="P82" s="868"/>
      <c r="Q82" s="868"/>
      <c r="R82" s="868"/>
      <c r="S82" s="868"/>
      <c r="T82" s="757" t="s">
        <v>2395</v>
      </c>
      <c r="U82" s="757"/>
      <c r="V82" s="757"/>
      <c r="W82" s="757"/>
      <c r="X82" s="757"/>
      <c r="Y82" s="911"/>
      <c r="Z82" s="760" t="s">
        <v>2396</v>
      </c>
      <c r="AA82" s="763"/>
      <c r="AB82" s="760"/>
      <c r="AC82" s="760"/>
      <c r="AD82" s="760"/>
    </row>
    <row r="83" spans="1:30" ht="9" customHeight="1">
      <c r="A83" s="759"/>
      <c r="B83" s="813">
        <v>66</v>
      </c>
      <c r="C83" s="757"/>
      <c r="D83" s="878"/>
      <c r="E83" s="757"/>
      <c r="F83" s="757"/>
      <c r="G83" s="757"/>
      <c r="H83" s="805"/>
      <c r="I83" s="916">
        <f t="shared" si="13"/>
        <v>0</v>
      </c>
      <c r="J83" s="916">
        <f t="shared" si="14"/>
        <v>0</v>
      </c>
      <c r="K83" s="916">
        <f t="shared" si="15"/>
        <v>0</v>
      </c>
      <c r="L83" s="758" t="str">
        <f t="shared" si="16"/>
        <v/>
      </c>
      <c r="M83" s="758" t="str">
        <f t="shared" si="17"/>
        <v/>
      </c>
      <c r="N83" s="758" t="str">
        <f t="shared" si="18"/>
        <v/>
      </c>
      <c r="O83" s="868" t="s">
        <v>2281</v>
      </c>
      <c r="P83" s="868"/>
      <c r="Q83" s="868"/>
      <c r="R83" s="868"/>
      <c r="S83" s="868"/>
      <c r="T83" s="757" t="s">
        <v>2397</v>
      </c>
      <c r="U83" s="757"/>
      <c r="V83" s="757"/>
      <c r="W83" s="757"/>
      <c r="X83" s="757"/>
      <c r="Y83" s="911"/>
      <c r="Z83" s="760"/>
      <c r="AA83" s="763"/>
      <c r="AB83" s="760"/>
      <c r="AC83" s="760"/>
      <c r="AD83" s="760"/>
    </row>
    <row r="84" spans="1:30" ht="54" customHeight="1">
      <c r="A84" s="759"/>
      <c r="B84" s="813">
        <v>67</v>
      </c>
      <c r="C84" s="757"/>
      <c r="D84" s="878"/>
      <c r="E84" s="757"/>
      <c r="F84" s="757"/>
      <c r="G84" s="757"/>
      <c r="H84" s="805"/>
      <c r="I84" s="916">
        <f t="shared" si="13"/>
        <v>0</v>
      </c>
      <c r="J84" s="916">
        <f t="shared" si="14"/>
        <v>0</v>
      </c>
      <c r="K84" s="916">
        <f t="shared" si="15"/>
        <v>0</v>
      </c>
      <c r="L84" s="758" t="str">
        <f t="shared" si="16"/>
        <v/>
      </c>
      <c r="M84" s="758" t="str">
        <f t="shared" si="17"/>
        <v/>
      </c>
      <c r="N84" s="758" t="str">
        <f t="shared" si="18"/>
        <v/>
      </c>
      <c r="O84" s="868" t="s">
        <v>2398</v>
      </c>
      <c r="P84" s="868"/>
      <c r="Q84" s="868"/>
      <c r="R84" s="868"/>
      <c r="S84" s="868"/>
      <c r="T84" s="757" t="s">
        <v>2399</v>
      </c>
      <c r="U84" s="757"/>
      <c r="V84" s="757"/>
      <c r="W84" s="757"/>
      <c r="X84" s="757"/>
      <c r="Y84" s="911"/>
      <c r="Z84" s="760"/>
      <c r="AA84" s="763"/>
      <c r="AB84" s="760"/>
      <c r="AC84" s="760"/>
      <c r="AD84" s="760"/>
    </row>
    <row r="85" spans="1:30" ht="9" customHeight="1">
      <c r="A85" s="759"/>
      <c r="B85" s="813">
        <v>68</v>
      </c>
      <c r="C85" s="757"/>
      <c r="D85" s="878"/>
      <c r="E85" s="757"/>
      <c r="F85" s="757"/>
      <c r="G85" s="757"/>
      <c r="H85" s="805"/>
      <c r="I85" s="916">
        <f t="shared" si="13"/>
        <v>0</v>
      </c>
      <c r="J85" s="916">
        <f t="shared" si="14"/>
        <v>0</v>
      </c>
      <c r="K85" s="916">
        <f t="shared" si="15"/>
        <v>0</v>
      </c>
      <c r="L85" s="758" t="str">
        <f t="shared" si="16"/>
        <v/>
      </c>
      <c r="M85" s="758" t="str">
        <f t="shared" si="17"/>
        <v/>
      </c>
      <c r="N85" s="758" t="str">
        <f t="shared" si="18"/>
        <v/>
      </c>
      <c r="O85" s="868" t="s">
        <v>2285</v>
      </c>
      <c r="P85" s="868"/>
      <c r="Q85" s="868"/>
      <c r="R85" s="868"/>
      <c r="S85" s="868"/>
      <c r="T85" s="757" t="s">
        <v>2400</v>
      </c>
      <c r="U85" s="757"/>
      <c r="V85" s="757"/>
      <c r="W85" s="757"/>
      <c r="X85" s="757"/>
      <c r="Y85" s="911"/>
      <c r="Z85" s="760"/>
      <c r="AA85" s="763"/>
      <c r="AB85" s="760"/>
      <c r="AC85" s="760"/>
      <c r="AD85" s="760"/>
    </row>
    <row r="86" spans="1:30" ht="27" customHeight="1">
      <c r="A86" s="759"/>
      <c r="B86" s="813">
        <v>69</v>
      </c>
      <c r="C86" s="757"/>
      <c r="D86" s="878"/>
      <c r="E86" s="757"/>
      <c r="F86" s="757"/>
      <c r="G86" s="757"/>
      <c r="H86" s="805"/>
      <c r="I86" s="916">
        <f t="shared" si="13"/>
        <v>0</v>
      </c>
      <c r="J86" s="916">
        <f t="shared" si="14"/>
        <v>0</v>
      </c>
      <c r="K86" s="916">
        <f t="shared" si="15"/>
        <v>0</v>
      </c>
      <c r="L86" s="758" t="str">
        <f t="shared" si="16"/>
        <v/>
      </c>
      <c r="M86" s="758" t="str">
        <f t="shared" si="17"/>
        <v/>
      </c>
      <c r="N86" s="758" t="str">
        <f t="shared" si="18"/>
        <v/>
      </c>
      <c r="O86" s="868" t="s">
        <v>2401</v>
      </c>
      <c r="P86" s="868"/>
      <c r="Q86" s="868"/>
      <c r="R86" s="868"/>
      <c r="S86" s="868"/>
      <c r="T86" s="757" t="s">
        <v>2402</v>
      </c>
      <c r="U86" s="757"/>
      <c r="V86" s="757"/>
      <c r="W86" s="757"/>
      <c r="X86" s="757"/>
      <c r="Y86" s="911"/>
      <c r="Z86" s="760"/>
      <c r="AA86" s="763"/>
      <c r="AB86" s="760"/>
      <c r="AC86" s="760"/>
      <c r="AD86" s="760"/>
    </row>
    <row r="87" spans="1:30" ht="36" customHeight="1">
      <c r="A87" s="759"/>
      <c r="B87" s="813">
        <v>70</v>
      </c>
      <c r="C87" s="757" t="s">
        <v>2403</v>
      </c>
      <c r="D87" s="878"/>
      <c r="E87" s="757"/>
      <c r="F87" s="757"/>
      <c r="G87" s="757"/>
      <c r="H87" s="805"/>
      <c r="I87" s="916">
        <f t="shared" si="13"/>
        <v>0</v>
      </c>
      <c r="J87" s="916">
        <f t="shared" si="14"/>
        <v>0</v>
      </c>
      <c r="K87" s="916">
        <f t="shared" si="15"/>
        <v>0</v>
      </c>
      <c r="L87" s="758" t="str">
        <f t="shared" si="16"/>
        <v/>
      </c>
      <c r="M87" s="758" t="str">
        <f t="shared" si="17"/>
        <v/>
      </c>
      <c r="N87" s="758" t="str">
        <f t="shared" si="18"/>
        <v/>
      </c>
      <c r="O87" s="868" t="s">
        <v>102</v>
      </c>
      <c r="P87" s="868"/>
      <c r="Q87" s="868"/>
      <c r="R87" s="868"/>
      <c r="S87" s="868"/>
      <c r="T87" s="757" t="s">
        <v>2404</v>
      </c>
      <c r="U87" s="757"/>
      <c r="V87" s="757"/>
      <c r="W87" s="757"/>
      <c r="X87" s="757"/>
      <c r="Y87" s="911"/>
      <c r="Z87" s="760"/>
      <c r="AA87" s="763"/>
      <c r="AB87" s="760"/>
      <c r="AC87" s="760"/>
      <c r="AD87" s="760"/>
    </row>
    <row r="88" spans="1:30" ht="18" customHeight="1">
      <c r="A88" s="759"/>
      <c r="B88" s="813">
        <v>71</v>
      </c>
      <c r="C88" s="757" t="s">
        <v>2405</v>
      </c>
      <c r="D88" s="878"/>
      <c r="E88" s="757"/>
      <c r="F88" s="757"/>
      <c r="G88" s="757"/>
      <c r="H88" s="805"/>
      <c r="I88" s="916">
        <f t="shared" si="13"/>
        <v>0</v>
      </c>
      <c r="J88" s="916">
        <f t="shared" si="14"/>
        <v>0</v>
      </c>
      <c r="K88" s="916">
        <f t="shared" si="15"/>
        <v>0</v>
      </c>
      <c r="L88" s="758" t="str">
        <f t="shared" si="16"/>
        <v/>
      </c>
      <c r="M88" s="758" t="str">
        <f t="shared" si="17"/>
        <v/>
      </c>
      <c r="N88" s="758" t="str">
        <f t="shared" si="18"/>
        <v/>
      </c>
      <c r="O88" s="868" t="s">
        <v>136</v>
      </c>
      <c r="P88" s="868"/>
      <c r="Q88" s="868"/>
      <c r="R88" s="868"/>
      <c r="S88" s="868"/>
      <c r="T88" s="757" t="s">
        <v>2406</v>
      </c>
      <c r="U88" s="757"/>
      <c r="V88" s="757"/>
      <c r="W88" s="757"/>
      <c r="X88" s="757"/>
      <c r="Y88" s="911"/>
      <c r="Z88" s="760"/>
      <c r="AA88" s="763"/>
      <c r="AB88" s="760"/>
      <c r="AC88" s="760"/>
      <c r="AD88" s="760"/>
    </row>
    <row r="89" spans="1:30" ht="18" customHeight="1">
      <c r="A89" s="759"/>
      <c r="B89" s="813">
        <v>72</v>
      </c>
      <c r="C89" s="757" t="s">
        <v>2407</v>
      </c>
      <c r="D89" s="878" t="s">
        <v>2403</v>
      </c>
      <c r="E89" s="757" t="s">
        <v>2403</v>
      </c>
      <c r="F89" s="757" t="s">
        <v>2368</v>
      </c>
      <c r="G89" s="757"/>
      <c r="H89" s="805"/>
      <c r="I89" s="916" t="str">
        <f t="shared" si="13"/>
        <v>12</v>
      </c>
      <c r="J89" s="916" t="str">
        <f t="shared" si="14"/>
        <v>Среднесписочная численность основного производственного персонала</v>
      </c>
      <c r="K89" s="916">
        <f t="shared" si="15"/>
        <v>0</v>
      </c>
      <c r="L89" s="758" t="str">
        <f t="shared" si="16"/>
        <v>12</v>
      </c>
      <c r="M89" s="758" t="str">
        <f t="shared" si="17"/>
        <v>Среднесписочная численность основного производственного персонала</v>
      </c>
      <c r="N89" s="758" t="str">
        <f t="shared" si="18"/>
        <v/>
      </c>
      <c r="O89" s="868" t="s">
        <v>140</v>
      </c>
      <c r="P89" s="868" t="s">
        <v>136</v>
      </c>
      <c r="Q89" s="868" t="s">
        <v>136</v>
      </c>
      <c r="R89" s="868" t="s">
        <v>129</v>
      </c>
      <c r="S89" s="868"/>
      <c r="T89" s="757" t="s">
        <v>2408</v>
      </c>
      <c r="U89" s="757" t="s">
        <v>2408</v>
      </c>
      <c r="V89" s="757" t="s">
        <v>2408</v>
      </c>
      <c r="W89" s="757" t="s">
        <v>2408</v>
      </c>
      <c r="X89" s="757"/>
      <c r="Y89" s="911"/>
      <c r="Z89" s="760"/>
      <c r="AA89" s="763"/>
      <c r="AB89" s="760"/>
      <c r="AC89" s="760"/>
      <c r="AD89" s="760"/>
    </row>
    <row r="90" spans="1:30" ht="27" customHeight="1">
      <c r="A90" s="759"/>
      <c r="B90" s="813">
        <v>73</v>
      </c>
      <c r="C90" s="757" t="s">
        <v>2409</v>
      </c>
      <c r="D90" s="878"/>
      <c r="E90" s="757"/>
      <c r="F90" s="757"/>
      <c r="G90" s="757"/>
      <c r="H90" s="805"/>
      <c r="I90" s="916">
        <f t="shared" si="13"/>
        <v>0</v>
      </c>
      <c r="J90" s="916">
        <f t="shared" si="14"/>
        <v>0</v>
      </c>
      <c r="K90" s="916">
        <f t="shared" si="15"/>
        <v>0</v>
      </c>
      <c r="L90" s="758" t="str">
        <f t="shared" si="16"/>
        <v/>
      </c>
      <c r="M90" s="758" t="str">
        <f t="shared" si="17"/>
        <v/>
      </c>
      <c r="N90" s="758" t="str">
        <f t="shared" si="18"/>
        <v/>
      </c>
      <c r="O90" s="868" t="s">
        <v>144</v>
      </c>
      <c r="P90" s="868"/>
      <c r="Q90" s="868"/>
      <c r="R90" s="868"/>
      <c r="S90" s="868"/>
      <c r="T90" s="757" t="s">
        <v>2410</v>
      </c>
      <c r="U90" s="757"/>
      <c r="V90" s="757"/>
      <c r="W90" s="757"/>
      <c r="X90" s="757"/>
      <c r="Y90" s="911"/>
      <c r="Z90" s="760"/>
      <c r="AA90" s="763"/>
      <c r="AB90" s="760"/>
      <c r="AC90" s="760"/>
      <c r="AD90" s="760"/>
    </row>
    <row r="91" spans="1:30" ht="18" customHeight="1">
      <c r="A91" s="759"/>
      <c r="B91" s="813">
        <v>74</v>
      </c>
      <c r="C91" s="757"/>
      <c r="D91" s="878" t="s">
        <v>2405</v>
      </c>
      <c r="E91" s="757" t="s">
        <v>2405</v>
      </c>
      <c r="F91" s="757"/>
      <c r="G91" s="757"/>
      <c r="H91" s="805"/>
      <c r="I91" s="916" t="str">
        <f t="shared" si="13"/>
        <v>13</v>
      </c>
      <c r="J91" s="916" t="str">
        <f t="shared" si="14"/>
        <v>Удельный расход электрической энергии на подачу воды в сеть</v>
      </c>
      <c r="K91" s="916">
        <f t="shared" si="15"/>
        <v>0</v>
      </c>
      <c r="L91" s="758" t="str">
        <f t="shared" si="16"/>
        <v>13</v>
      </c>
      <c r="M91" s="758" t="str">
        <f t="shared" si="17"/>
        <v>Удельный расход электрической энергии на подачу воды в сеть</v>
      </c>
      <c r="N91" s="758" t="str">
        <f t="shared" si="18"/>
        <v/>
      </c>
      <c r="O91" s="868"/>
      <c r="P91" s="868" t="s">
        <v>140</v>
      </c>
      <c r="Q91" s="868" t="s">
        <v>140</v>
      </c>
      <c r="R91" s="868"/>
      <c r="S91" s="868"/>
      <c r="T91" s="757"/>
      <c r="U91" s="757" t="s">
        <v>2411</v>
      </c>
      <c r="V91" s="757" t="s">
        <v>2411</v>
      </c>
      <c r="W91" s="757"/>
      <c r="X91" s="757"/>
      <c r="Y91" s="911"/>
      <c r="Z91" s="760"/>
      <c r="AA91" s="763"/>
      <c r="AB91" s="760"/>
      <c r="AC91" s="760"/>
      <c r="AD91" s="760"/>
    </row>
    <row r="92" spans="1:30" ht="27" customHeight="1">
      <c r="A92" s="759"/>
      <c r="B92" s="813">
        <v>75</v>
      </c>
      <c r="C92" s="757"/>
      <c r="D92" s="878" t="s">
        <v>2407</v>
      </c>
      <c r="E92" s="757"/>
      <c r="F92" s="757"/>
      <c r="G92" s="757"/>
      <c r="H92" s="805"/>
      <c r="I92" s="916" t="str">
        <f t="shared" si="13"/>
        <v>14</v>
      </c>
      <c r="J92" s="916" t="str">
        <f t="shared" si="14"/>
        <v>Расход воды на собственные нужды, в том числе:</v>
      </c>
      <c r="K92" s="916" t="str">
        <f t="shared" si="15"/>
        <v>Указывается доля общего расхода воды на собственные нужны от объема отпуска воды потребителям.</v>
      </c>
      <c r="L92" s="758" t="str">
        <f t="shared" si="16"/>
        <v>14</v>
      </c>
      <c r="M92" s="758" t="str">
        <f t="shared" si="17"/>
        <v>Расход воды на собственные нужды, в том числе:</v>
      </c>
      <c r="N92" s="758" t="str">
        <f t="shared" si="18"/>
        <v>Указывается доля общего расхода воды на собственные нужны от объема отпуска воды потребителям.</v>
      </c>
      <c r="O92" s="868"/>
      <c r="P92" s="868" t="s">
        <v>144</v>
      </c>
      <c r="Q92" s="868"/>
      <c r="R92" s="868"/>
      <c r="S92" s="868"/>
      <c r="T92" s="757"/>
      <c r="U92" s="757" t="s">
        <v>2412</v>
      </c>
      <c r="V92" s="757"/>
      <c r="W92" s="757"/>
      <c r="X92" s="757"/>
      <c r="Y92" s="911"/>
      <c r="Z92" s="760"/>
      <c r="AA92" s="763" t="s">
        <v>2413</v>
      </c>
      <c r="AB92" s="760"/>
      <c r="AC92" s="760"/>
      <c r="AD92" s="760"/>
    </row>
    <row r="93" spans="1:30" ht="27" customHeight="1">
      <c r="A93" s="759"/>
      <c r="B93" s="813">
        <v>76</v>
      </c>
      <c r="C93" s="757"/>
      <c r="D93" s="878"/>
      <c r="E93" s="757"/>
      <c r="F93" s="757"/>
      <c r="G93" s="757"/>
      <c r="H93" s="805"/>
      <c r="I93" s="916" t="str">
        <f t="shared" si="13"/>
        <v>14.1</v>
      </c>
      <c r="J93" s="916" t="str">
        <f t="shared" si="14"/>
        <v>Расход воды на хозяйственно-бытовые нужды</v>
      </c>
      <c r="K93" s="916" t="str">
        <f t="shared" si="15"/>
        <v>Указывается доля расхода воды на хозяйственно-бытовые нужны от объема отпуска воды потребителям.</v>
      </c>
      <c r="L93" s="758" t="str">
        <f t="shared" si="16"/>
        <v>14.1</v>
      </c>
      <c r="M93" s="758" t="str">
        <f t="shared" si="17"/>
        <v>Расход воды на хозяйственно-бытовые нужды</v>
      </c>
      <c r="N93" s="758" t="str">
        <f t="shared" si="18"/>
        <v>Указывается доля расхода воды на хозяйственно-бытовые нужны от объема отпуска воды потребителям.</v>
      </c>
      <c r="O93" s="868"/>
      <c r="P93" s="868" t="s">
        <v>2313</v>
      </c>
      <c r="Q93" s="868"/>
      <c r="R93" s="868"/>
      <c r="S93" s="868"/>
      <c r="T93" s="757"/>
      <c r="U93" s="757" t="s">
        <v>2414</v>
      </c>
      <c r="V93" s="757"/>
      <c r="W93" s="757"/>
      <c r="X93" s="757"/>
      <c r="Y93" s="911"/>
      <c r="Z93" s="760"/>
      <c r="AA93" s="763" t="s">
        <v>2415</v>
      </c>
      <c r="AB93" s="760"/>
      <c r="AC93" s="760"/>
      <c r="AD93" s="760"/>
    </row>
    <row r="94" spans="1:30" ht="45" customHeight="1">
      <c r="A94" s="759"/>
      <c r="B94" s="813">
        <v>77</v>
      </c>
      <c r="C94" s="757"/>
      <c r="D94" s="878" t="s">
        <v>2409</v>
      </c>
      <c r="E94" s="757"/>
      <c r="F94" s="757"/>
      <c r="G94" s="757"/>
      <c r="H94" s="805"/>
      <c r="I94" s="916" t="str">
        <f t="shared" si="13"/>
        <v>15</v>
      </c>
      <c r="J94" s="916" t="str">
        <f t="shared" si="14"/>
        <v>Показатель использования производственных объектов (по объему перекачки), в том числе:</v>
      </c>
      <c r="K94" s="91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58" t="str">
        <f t="shared" si="16"/>
        <v>15</v>
      </c>
      <c r="M94" s="758" t="str">
        <f t="shared" si="17"/>
        <v>Показатель использования производственных объектов (по объему перекачки), в том числе:</v>
      </c>
      <c r="N94" s="758"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68"/>
      <c r="P94" s="868" t="s">
        <v>148</v>
      </c>
      <c r="Q94" s="868"/>
      <c r="R94" s="868"/>
      <c r="S94" s="868"/>
      <c r="T94" s="757"/>
      <c r="U94" s="757" t="s">
        <v>2416</v>
      </c>
      <c r="V94" s="757"/>
      <c r="W94" s="757"/>
      <c r="X94" s="757"/>
      <c r="Y94" s="911"/>
      <c r="Z94" s="760"/>
      <c r="AA94" s="763" t="s">
        <v>2417</v>
      </c>
      <c r="AB94" s="760"/>
      <c r="AC94" s="760"/>
      <c r="AD94" s="760"/>
    </row>
    <row r="95" spans="1:30" ht="99" customHeight="1">
      <c r="A95" s="759"/>
      <c r="B95" s="813">
        <v>78</v>
      </c>
      <c r="C95" s="757" t="s">
        <v>2418</v>
      </c>
      <c r="D95" s="878"/>
      <c r="E95" s="757"/>
      <c r="F95" s="757"/>
      <c r="G95" s="757"/>
      <c r="H95" s="805"/>
      <c r="I95" s="916">
        <f t="shared" si="13"/>
        <v>0</v>
      </c>
      <c r="J95" s="916">
        <f t="shared" si="14"/>
        <v>0</v>
      </c>
      <c r="K95" s="916">
        <f t="shared" si="15"/>
        <v>0</v>
      </c>
      <c r="L95" s="758" t="str">
        <f t="shared" si="16"/>
        <v/>
      </c>
      <c r="M95" s="758" t="str">
        <f t="shared" si="17"/>
        <v/>
      </c>
      <c r="N95" s="758" t="str">
        <f t="shared" si="18"/>
        <v/>
      </c>
      <c r="O95" s="868" t="s">
        <v>148</v>
      </c>
      <c r="P95" s="868"/>
      <c r="Q95" s="868"/>
      <c r="R95" s="868"/>
      <c r="S95" s="868"/>
      <c r="T95" s="757" t="s">
        <v>2419</v>
      </c>
      <c r="U95" s="757"/>
      <c r="V95" s="757"/>
      <c r="W95" s="757"/>
      <c r="X95" s="757"/>
      <c r="Y95" s="911"/>
      <c r="Z95" s="760"/>
      <c r="AA95" s="763"/>
      <c r="AB95" s="760"/>
      <c r="AC95" s="760"/>
      <c r="AD95" s="760"/>
    </row>
    <row r="96" spans="1:30" ht="99" customHeight="1">
      <c r="A96" s="759"/>
      <c r="B96" s="813">
        <v>79</v>
      </c>
      <c r="C96" s="757" t="s">
        <v>1375</v>
      </c>
      <c r="D96" s="878"/>
      <c r="E96" s="757"/>
      <c r="F96" s="757"/>
      <c r="G96" s="757"/>
      <c r="H96" s="805"/>
      <c r="I96" s="916">
        <f t="shared" si="13"/>
        <v>0</v>
      </c>
      <c r="J96" s="916">
        <f t="shared" si="14"/>
        <v>0</v>
      </c>
      <c r="K96" s="916">
        <f t="shared" si="15"/>
        <v>0</v>
      </c>
      <c r="L96" s="758" t="str">
        <f t="shared" si="16"/>
        <v/>
      </c>
      <c r="M96" s="758" t="str">
        <f t="shared" si="17"/>
        <v/>
      </c>
      <c r="N96" s="758" t="str">
        <f t="shared" si="18"/>
        <v/>
      </c>
      <c r="O96" s="868" t="s">
        <v>152</v>
      </c>
      <c r="P96" s="868"/>
      <c r="Q96" s="868"/>
      <c r="R96" s="868"/>
      <c r="S96" s="868"/>
      <c r="T96" s="757" t="s">
        <v>2420</v>
      </c>
      <c r="U96" s="757"/>
      <c r="V96" s="757"/>
      <c r="W96" s="757"/>
      <c r="X96" s="757"/>
      <c r="Y96" s="911"/>
      <c r="Z96" s="760" t="s">
        <v>2421</v>
      </c>
      <c r="AA96" s="763"/>
      <c r="AB96" s="760"/>
      <c r="AC96" s="760"/>
      <c r="AD96" s="760"/>
    </row>
    <row r="97" spans="1:30" ht="63" customHeight="1">
      <c r="A97" s="759"/>
      <c r="B97" s="813">
        <v>80</v>
      </c>
      <c r="C97" s="757" t="s">
        <v>2422</v>
      </c>
      <c r="D97" s="878"/>
      <c r="E97" s="757"/>
      <c r="F97" s="757"/>
      <c r="G97" s="757"/>
      <c r="H97" s="805"/>
      <c r="I97" s="916">
        <f t="shared" si="13"/>
        <v>0</v>
      </c>
      <c r="J97" s="916">
        <f t="shared" si="14"/>
        <v>0</v>
      </c>
      <c r="K97" s="916">
        <f t="shared" si="15"/>
        <v>0</v>
      </c>
      <c r="L97" s="758" t="str">
        <f t="shared" si="16"/>
        <v/>
      </c>
      <c r="M97" s="758" t="str">
        <f t="shared" si="17"/>
        <v/>
      </c>
      <c r="N97" s="758" t="str">
        <f t="shared" si="18"/>
        <v/>
      </c>
      <c r="O97" s="868" t="s">
        <v>156</v>
      </c>
      <c r="P97" s="868"/>
      <c r="Q97" s="868"/>
      <c r="R97" s="868"/>
      <c r="S97" s="868"/>
      <c r="T97" s="757" t="s">
        <v>2423</v>
      </c>
      <c r="U97" s="757"/>
      <c r="V97" s="757"/>
      <c r="W97" s="757"/>
      <c r="X97" s="757"/>
      <c r="Y97" s="911"/>
      <c r="Z97" s="760" t="s">
        <v>2424</v>
      </c>
      <c r="AA97" s="763"/>
      <c r="AB97" s="760"/>
      <c r="AC97" s="760"/>
      <c r="AD97" s="760"/>
    </row>
    <row r="98" spans="1:30" ht="63" customHeight="1">
      <c r="A98" s="759"/>
      <c r="B98" s="813">
        <v>81</v>
      </c>
      <c r="C98" s="757" t="s">
        <v>2425</v>
      </c>
      <c r="D98" s="878"/>
      <c r="E98" s="757"/>
      <c r="F98" s="757"/>
      <c r="G98" s="757"/>
      <c r="H98" s="805"/>
      <c r="I98" s="916">
        <f t="shared" si="13"/>
        <v>0</v>
      </c>
      <c r="J98" s="916">
        <f t="shared" si="14"/>
        <v>0</v>
      </c>
      <c r="K98" s="916">
        <f t="shared" si="15"/>
        <v>0</v>
      </c>
      <c r="L98" s="758" t="str">
        <f t="shared" si="16"/>
        <v/>
      </c>
      <c r="M98" s="758" t="str">
        <f t="shared" si="17"/>
        <v/>
      </c>
      <c r="N98" s="758" t="str">
        <f t="shared" si="18"/>
        <v/>
      </c>
      <c r="O98" s="868" t="s">
        <v>160</v>
      </c>
      <c r="P98" s="868"/>
      <c r="Q98" s="868"/>
      <c r="R98" s="868"/>
      <c r="S98" s="868"/>
      <c r="T98" s="757" t="s">
        <v>2426</v>
      </c>
      <c r="U98" s="757"/>
      <c r="V98" s="757"/>
      <c r="W98" s="757"/>
      <c r="X98" s="757"/>
      <c r="Y98" s="911"/>
      <c r="Z98" s="760" t="s">
        <v>2424</v>
      </c>
      <c r="AA98" s="763"/>
      <c r="AB98" s="760"/>
      <c r="AC98" s="760"/>
      <c r="AD98" s="760"/>
    </row>
    <row r="99" spans="1:30" ht="90" customHeight="1">
      <c r="A99" s="759"/>
      <c r="B99" s="813">
        <v>82</v>
      </c>
      <c r="C99" s="757" t="s">
        <v>2427</v>
      </c>
      <c r="D99" s="878"/>
      <c r="E99" s="757"/>
      <c r="F99" s="757"/>
      <c r="G99" s="757"/>
      <c r="H99" s="805"/>
      <c r="I99" s="916">
        <f t="shared" si="13"/>
        <v>0</v>
      </c>
      <c r="J99" s="916">
        <f t="shared" si="14"/>
        <v>0</v>
      </c>
      <c r="K99" s="916">
        <f t="shared" si="15"/>
        <v>0</v>
      </c>
      <c r="L99" s="758" t="str">
        <f t="shared" si="16"/>
        <v/>
      </c>
      <c r="M99" s="758" t="str">
        <f t="shared" si="17"/>
        <v/>
      </c>
      <c r="N99" s="758" t="str">
        <f t="shared" si="18"/>
        <v/>
      </c>
      <c r="O99" s="868" t="s">
        <v>164</v>
      </c>
      <c r="P99" s="868"/>
      <c r="Q99" s="868"/>
      <c r="R99" s="868"/>
      <c r="S99" s="868"/>
      <c r="T99" s="757" t="s">
        <v>2428</v>
      </c>
      <c r="U99" s="757"/>
      <c r="V99" s="757"/>
      <c r="W99" s="757"/>
      <c r="X99" s="757"/>
      <c r="Y99" s="911"/>
      <c r="Z99" s="760" t="s">
        <v>972</v>
      </c>
      <c r="AA99" s="763"/>
      <c r="AB99" s="760"/>
      <c r="AC99" s="760"/>
      <c r="AD99" s="760"/>
    </row>
    <row r="100" spans="1:30" ht="27" customHeight="1">
      <c r="A100" s="759"/>
      <c r="B100" s="813">
        <v>83</v>
      </c>
      <c r="C100" s="757"/>
      <c r="D100" s="878"/>
      <c r="E100" s="757"/>
      <c r="F100" s="757"/>
      <c r="G100" s="757"/>
      <c r="H100" s="805"/>
      <c r="I100" s="916">
        <f t="shared" si="13"/>
        <v>0</v>
      </c>
      <c r="J100" s="916">
        <f t="shared" si="14"/>
        <v>0</v>
      </c>
      <c r="K100" s="916">
        <f t="shared" si="15"/>
        <v>0</v>
      </c>
      <c r="L100" s="758" t="str">
        <f t="shared" si="16"/>
        <v/>
      </c>
      <c r="M100" s="758" t="str">
        <f t="shared" si="17"/>
        <v/>
      </c>
      <c r="N100" s="758" t="str">
        <f t="shared" si="18"/>
        <v/>
      </c>
      <c r="O100" s="868" t="s">
        <v>2429</v>
      </c>
      <c r="P100" s="868"/>
      <c r="Q100" s="868"/>
      <c r="R100" s="868"/>
      <c r="S100" s="868"/>
      <c r="T100" s="757" t="s">
        <v>2430</v>
      </c>
      <c r="U100" s="757"/>
      <c r="V100" s="757"/>
      <c r="W100" s="757"/>
      <c r="X100" s="757"/>
      <c r="Y100" s="911"/>
      <c r="Z100" s="760" t="s">
        <v>972</v>
      </c>
      <c r="AA100" s="763"/>
      <c r="AB100" s="760"/>
      <c r="AC100" s="760"/>
      <c r="AD100" s="760"/>
    </row>
    <row r="101" spans="1:30" ht="27" customHeight="1">
      <c r="A101" s="759"/>
      <c r="B101" s="813">
        <v>84</v>
      </c>
      <c r="C101" s="757"/>
      <c r="D101" s="878"/>
      <c r="E101" s="757"/>
      <c r="F101" s="757"/>
      <c r="G101" s="757"/>
      <c r="H101" s="805"/>
      <c r="I101" s="916">
        <f t="shared" si="13"/>
        <v>0</v>
      </c>
      <c r="J101" s="916">
        <f t="shared" si="14"/>
        <v>0</v>
      </c>
      <c r="K101" s="916">
        <f t="shared" si="15"/>
        <v>0</v>
      </c>
      <c r="L101" s="758" t="str">
        <f t="shared" si="16"/>
        <v/>
      </c>
      <c r="M101" s="758" t="str">
        <f t="shared" si="17"/>
        <v/>
      </c>
      <c r="N101" s="758" t="str">
        <f t="shared" si="18"/>
        <v/>
      </c>
      <c r="O101" s="868" t="s">
        <v>2431</v>
      </c>
      <c r="P101" s="868"/>
      <c r="Q101" s="868"/>
      <c r="R101" s="868"/>
      <c r="S101" s="868"/>
      <c r="T101" s="757" t="s">
        <v>2432</v>
      </c>
      <c r="U101" s="757"/>
      <c r="V101" s="757"/>
      <c r="W101" s="757"/>
      <c r="X101" s="757"/>
      <c r="Y101" s="911"/>
      <c r="Z101" s="760" t="s">
        <v>972</v>
      </c>
      <c r="AA101" s="763"/>
      <c r="AB101" s="760"/>
      <c r="AC101" s="760"/>
      <c r="AD101" s="760"/>
    </row>
    <row r="102" spans="1:30" ht="9" customHeight="1">
      <c r="A102" s="759"/>
      <c r="B102" s="759"/>
      <c r="C102" s="757"/>
      <c r="D102" s="757"/>
      <c r="E102" s="757"/>
      <c r="F102" s="757"/>
      <c r="G102" s="757"/>
      <c r="H102" s="805"/>
      <c r="I102" s="805"/>
      <c r="J102" s="805"/>
      <c r="K102" s="805"/>
      <c r="L102" s="805"/>
      <c r="M102" s="757"/>
      <c r="N102" s="804"/>
      <c r="O102" s="868"/>
      <c r="P102" s="868"/>
      <c r="Q102" s="868"/>
      <c r="R102" s="868"/>
      <c r="S102" s="757"/>
      <c r="T102" s="757"/>
      <c r="U102" s="757"/>
      <c r="V102" s="757"/>
      <c r="W102" s="757"/>
      <c r="X102" s="757"/>
      <c r="Y102" s="911"/>
      <c r="Z102" s="760"/>
      <c r="AA102" s="763"/>
      <c r="AB102" s="760"/>
      <c r="AC102" s="760"/>
      <c r="AD102" s="760"/>
    </row>
    <row r="103" spans="1:30" ht="9" customHeight="1">
      <c r="A103" s="759"/>
      <c r="B103" s="759"/>
      <c r="C103" s="757"/>
      <c r="D103" s="757"/>
      <c r="E103" s="757"/>
      <c r="F103" s="757"/>
      <c r="G103" s="757"/>
      <c r="H103" s="805"/>
      <c r="I103" s="805"/>
      <c r="J103" s="805"/>
      <c r="K103" s="805"/>
      <c r="L103" s="805"/>
      <c r="M103" s="757"/>
      <c r="N103" s="804"/>
      <c r="O103" s="868"/>
      <c r="P103" s="868"/>
      <c r="Q103" s="868"/>
      <c r="R103" s="868"/>
      <c r="S103" s="757"/>
      <c r="T103" s="757"/>
      <c r="U103" s="757"/>
      <c r="V103" s="757"/>
      <c r="W103" s="757"/>
      <c r="X103" s="757"/>
      <c r="Y103" s="911"/>
      <c r="Z103" s="760"/>
      <c r="AA103" s="763"/>
      <c r="AB103" s="760"/>
      <c r="AC103" s="760"/>
      <c r="AD103" s="760"/>
    </row>
    <row r="104" spans="1:30" ht="9" customHeight="1">
      <c r="A104" s="759"/>
      <c r="B104" s="759"/>
      <c r="C104" s="757"/>
      <c r="D104" s="757"/>
      <c r="E104" s="757"/>
      <c r="F104" s="757"/>
      <c r="G104" s="757"/>
      <c r="H104" s="805"/>
      <c r="I104" s="805"/>
      <c r="J104" s="805"/>
      <c r="K104" s="805"/>
      <c r="L104" s="805"/>
      <c r="M104" s="757"/>
      <c r="N104" s="804"/>
      <c r="O104" s="868"/>
      <c r="P104" s="868"/>
      <c r="Q104" s="868"/>
      <c r="R104" s="868"/>
      <c r="S104" s="757"/>
      <c r="T104" s="757"/>
      <c r="U104" s="757"/>
      <c r="V104" s="757"/>
      <c r="W104" s="757"/>
      <c r="X104" s="757"/>
      <c r="Y104" s="911"/>
      <c r="Z104" s="760"/>
      <c r="AA104" s="763"/>
      <c r="AB104" s="760"/>
      <c r="AC104" s="760"/>
      <c r="AD104" s="760"/>
    </row>
    <row r="105" spans="1:30" ht="9" customHeight="1">
      <c r="A105" s="759"/>
      <c r="B105" s="759"/>
      <c r="C105" s="757"/>
      <c r="D105" s="757"/>
      <c r="E105" s="757"/>
      <c r="F105" s="757"/>
      <c r="G105" s="757"/>
      <c r="H105" s="805"/>
      <c r="I105" s="805"/>
      <c r="J105" s="805"/>
      <c r="K105" s="805"/>
      <c r="L105" s="805"/>
      <c r="M105" s="757"/>
      <c r="N105" s="804"/>
      <c r="O105" s="868"/>
      <c r="P105" s="868"/>
      <c r="Q105" s="868"/>
      <c r="R105" s="868"/>
      <c r="S105" s="757"/>
      <c r="T105" s="757"/>
      <c r="U105" s="757"/>
      <c r="V105" s="757"/>
      <c r="W105" s="757"/>
      <c r="X105" s="757"/>
      <c r="Y105" s="911"/>
      <c r="Z105" s="760"/>
      <c r="AA105" s="763"/>
      <c r="AB105" s="760"/>
      <c r="AC105" s="760"/>
      <c r="AD105" s="760"/>
    </row>
    <row r="106" spans="1:30" ht="9" customHeight="1">
      <c r="A106" s="759"/>
      <c r="B106" s="759"/>
      <c r="C106" s="757"/>
      <c r="D106" s="757"/>
      <c r="E106" s="757"/>
      <c r="F106" s="757"/>
      <c r="G106" s="757"/>
      <c r="H106" s="805"/>
      <c r="I106" s="805"/>
      <c r="J106" s="805"/>
      <c r="K106" s="805"/>
      <c r="L106" s="805"/>
      <c r="M106" s="757"/>
      <c r="N106" s="804"/>
      <c r="O106" s="868"/>
      <c r="P106" s="868"/>
      <c r="Q106" s="868"/>
      <c r="R106" s="868"/>
      <c r="S106" s="757"/>
      <c r="T106" s="757"/>
      <c r="U106" s="757"/>
      <c r="V106" s="757"/>
      <c r="W106" s="757"/>
      <c r="X106" s="757"/>
      <c r="Y106" s="911"/>
      <c r="Z106" s="760"/>
      <c r="AA106" s="763"/>
      <c r="AB106" s="760"/>
      <c r="AC106" s="760"/>
      <c r="AD106" s="760"/>
    </row>
    <row r="107" spans="1:30" ht="9" customHeight="1">
      <c r="A107" s="759"/>
      <c r="B107" s="759"/>
      <c r="C107" s="757"/>
      <c r="D107" s="757"/>
      <c r="E107" s="757"/>
      <c r="F107" s="757"/>
      <c r="G107" s="757"/>
      <c r="H107" s="805"/>
      <c r="I107" s="805"/>
      <c r="J107" s="805"/>
      <c r="K107" s="805"/>
      <c r="L107" s="805"/>
      <c r="M107" s="757"/>
      <c r="N107" s="804"/>
      <c r="O107" s="868"/>
      <c r="P107" s="868"/>
      <c r="Q107" s="868"/>
      <c r="R107" s="868"/>
      <c r="S107" s="757"/>
      <c r="T107" s="757"/>
      <c r="U107" s="757"/>
      <c r="V107" s="757"/>
      <c r="W107" s="757"/>
      <c r="X107" s="757"/>
      <c r="Y107" s="911"/>
      <c r="Z107" s="760"/>
      <c r="AA107" s="763"/>
      <c r="AB107" s="760"/>
      <c r="AC107" s="760"/>
      <c r="AD107" s="760"/>
    </row>
    <row r="108" spans="1:30" ht="9" customHeight="1">
      <c r="A108" s="759"/>
      <c r="B108" s="759"/>
      <c r="C108" s="757"/>
      <c r="D108" s="757"/>
      <c r="E108" s="757"/>
      <c r="F108" s="757"/>
      <c r="G108" s="757"/>
      <c r="H108" s="805"/>
      <c r="I108" s="805"/>
      <c r="J108" s="805"/>
      <c r="K108" s="805"/>
      <c r="L108" s="805"/>
      <c r="M108" s="757"/>
      <c r="N108" s="804"/>
      <c r="O108" s="868"/>
      <c r="P108" s="868"/>
      <c r="Q108" s="868"/>
      <c r="R108" s="868"/>
      <c r="S108" s="757"/>
      <c r="T108" s="757"/>
      <c r="U108" s="757"/>
      <c r="V108" s="757"/>
      <c r="W108" s="757"/>
      <c r="X108" s="757"/>
      <c r="Y108" s="911"/>
      <c r="Z108" s="760"/>
      <c r="AA108" s="763"/>
      <c r="AB108" s="760"/>
      <c r="AC108" s="760"/>
      <c r="AD108" s="760"/>
    </row>
    <row r="109" spans="1:30" ht="9" customHeight="1">
      <c r="A109" s="759"/>
      <c r="B109" s="759"/>
      <c r="C109" s="757"/>
      <c r="D109" s="757"/>
      <c r="E109" s="757"/>
      <c r="F109" s="757"/>
      <c r="G109" s="757"/>
      <c r="H109" s="805"/>
      <c r="I109" s="805"/>
      <c r="J109" s="805"/>
      <c r="K109" s="805"/>
      <c r="L109" s="805"/>
      <c r="M109" s="757"/>
      <c r="N109" s="804"/>
      <c r="O109" s="868"/>
      <c r="P109" s="868"/>
      <c r="Q109" s="868"/>
      <c r="R109" s="868"/>
      <c r="S109" s="757"/>
      <c r="T109" s="757"/>
      <c r="U109" s="757"/>
      <c r="V109" s="757"/>
      <c r="W109" s="757"/>
      <c r="X109" s="757"/>
      <c r="Y109" s="911"/>
      <c r="Z109" s="760"/>
      <c r="AA109" s="763"/>
      <c r="AB109" s="760"/>
      <c r="AC109" s="760"/>
      <c r="AD109" s="760"/>
    </row>
    <row r="110" spans="1:30" ht="9" customHeight="1">
      <c r="A110" s="759"/>
      <c r="B110" s="759"/>
      <c r="C110" s="757"/>
      <c r="D110" s="757"/>
      <c r="E110" s="757"/>
      <c r="F110" s="757"/>
      <c r="G110" s="757"/>
      <c r="H110" s="805"/>
      <c r="I110" s="805"/>
      <c r="J110" s="805"/>
      <c r="K110" s="805"/>
      <c r="L110" s="805"/>
      <c r="M110" s="757"/>
      <c r="N110" s="804"/>
      <c r="O110" s="868"/>
      <c r="P110" s="868"/>
      <c r="Q110" s="868"/>
      <c r="R110" s="868"/>
      <c r="S110" s="757"/>
      <c r="T110" s="757"/>
      <c r="U110" s="757"/>
      <c r="V110" s="757"/>
      <c r="W110" s="757"/>
      <c r="X110" s="757"/>
      <c r="Y110" s="911"/>
      <c r="Z110" s="760"/>
      <c r="AA110" s="763"/>
      <c r="AB110" s="760"/>
      <c r="AC110" s="760"/>
      <c r="AD110" s="760"/>
    </row>
    <row r="111" spans="1:30" ht="9" customHeight="1">
      <c r="A111" s="759"/>
      <c r="B111" s="759"/>
      <c r="C111" s="757"/>
      <c r="D111" s="757"/>
      <c r="E111" s="757"/>
      <c r="F111" s="757"/>
      <c r="G111" s="757"/>
      <c r="H111" s="805"/>
      <c r="I111" s="805"/>
      <c r="J111" s="805"/>
      <c r="K111" s="805"/>
      <c r="L111" s="805"/>
      <c r="M111" s="757"/>
      <c r="N111" s="804"/>
      <c r="O111" s="868"/>
      <c r="P111" s="868"/>
      <c r="Q111" s="868"/>
      <c r="R111" s="868"/>
      <c r="S111" s="757"/>
      <c r="T111" s="757"/>
      <c r="U111" s="757"/>
      <c r="V111" s="757"/>
      <c r="W111" s="757"/>
      <c r="X111" s="757"/>
      <c r="Y111" s="911"/>
      <c r="Z111" s="760"/>
      <c r="AA111" s="763"/>
      <c r="AB111" s="760"/>
      <c r="AC111" s="760"/>
      <c r="AD111" s="760"/>
    </row>
    <row r="112" spans="1:30" ht="9" customHeight="1">
      <c r="A112" s="759"/>
      <c r="B112" s="759"/>
      <c r="C112" s="757"/>
      <c r="D112" s="757"/>
      <c r="E112" s="757"/>
      <c r="F112" s="757"/>
      <c r="G112" s="757"/>
      <c r="H112" s="805"/>
      <c r="I112" s="805"/>
      <c r="J112" s="805"/>
      <c r="K112" s="805"/>
      <c r="L112" s="805"/>
      <c r="M112" s="757"/>
      <c r="N112" s="804"/>
      <c r="O112" s="868"/>
      <c r="P112" s="868"/>
      <c r="Q112" s="868"/>
      <c r="R112" s="868"/>
      <c r="S112" s="757"/>
      <c r="T112" s="757"/>
      <c r="U112" s="757"/>
      <c r="V112" s="757"/>
      <c r="W112" s="757"/>
      <c r="X112" s="757"/>
      <c r="Y112" s="911"/>
      <c r="Z112" s="760"/>
      <c r="AA112" s="763"/>
      <c r="AB112" s="760"/>
      <c r="AC112" s="760"/>
      <c r="AD112" s="760"/>
    </row>
    <row r="113" spans="1:30" ht="9" customHeight="1">
      <c r="A113" s="759"/>
      <c r="B113" s="759"/>
      <c r="C113" s="757"/>
      <c r="D113" s="757"/>
      <c r="E113" s="757"/>
      <c r="F113" s="757"/>
      <c r="G113" s="757"/>
      <c r="H113" s="805"/>
      <c r="I113" s="805"/>
      <c r="J113" s="805"/>
      <c r="K113" s="805"/>
      <c r="L113" s="805"/>
      <c r="M113" s="757"/>
      <c r="N113" s="804"/>
      <c r="O113" s="868"/>
      <c r="P113" s="868"/>
      <c r="Q113" s="868"/>
      <c r="R113" s="868"/>
      <c r="S113" s="757"/>
      <c r="T113" s="757"/>
      <c r="U113" s="757"/>
      <c r="V113" s="757"/>
      <c r="W113" s="757"/>
      <c r="X113" s="757"/>
      <c r="Y113" s="911"/>
      <c r="Z113" s="760"/>
      <c r="AA113" s="763"/>
      <c r="AB113" s="760"/>
      <c r="AC113" s="760"/>
      <c r="AD113" s="760"/>
    </row>
    <row r="114" spans="1:30" ht="9" customHeight="1">
      <c r="A114" s="759"/>
      <c r="B114" s="759"/>
      <c r="C114" s="757"/>
      <c r="D114" s="757"/>
      <c r="E114" s="757"/>
      <c r="F114" s="757"/>
      <c r="G114" s="757"/>
      <c r="H114" s="805"/>
      <c r="I114" s="805"/>
      <c r="J114" s="805"/>
      <c r="K114" s="805"/>
      <c r="L114" s="805"/>
      <c r="M114" s="757"/>
      <c r="N114" s="804"/>
      <c r="O114" s="868"/>
      <c r="P114" s="868"/>
      <c r="Q114" s="868"/>
      <c r="R114" s="868"/>
      <c r="S114" s="757"/>
      <c r="T114" s="757"/>
      <c r="U114" s="757"/>
      <c r="V114" s="757"/>
      <c r="W114" s="757"/>
      <c r="X114" s="757"/>
      <c r="Y114" s="911"/>
      <c r="Z114" s="760"/>
      <c r="AA114" s="763"/>
      <c r="AB114" s="760"/>
      <c r="AC114" s="760"/>
      <c r="AD114" s="760"/>
    </row>
    <row r="115" spans="1:30" ht="9" customHeight="1">
      <c r="A115" s="759"/>
      <c r="B115" s="759"/>
      <c r="C115" s="757"/>
      <c r="D115" s="757"/>
      <c r="E115" s="757"/>
      <c r="F115" s="757"/>
      <c r="G115" s="757"/>
      <c r="H115" s="805"/>
      <c r="I115" s="805"/>
      <c r="J115" s="805"/>
      <c r="K115" s="805"/>
      <c r="L115" s="805"/>
      <c r="M115" s="757"/>
      <c r="N115" s="804"/>
      <c r="O115" s="868"/>
      <c r="P115" s="868"/>
      <c r="Q115" s="868"/>
      <c r="R115" s="868"/>
      <c r="S115" s="757"/>
      <c r="T115" s="757"/>
      <c r="U115" s="757"/>
      <c r="V115" s="757"/>
      <c r="W115" s="757"/>
      <c r="X115" s="757"/>
      <c r="Y115" s="911"/>
      <c r="Z115" s="760"/>
      <c r="AA115" s="763"/>
      <c r="AB115" s="760"/>
      <c r="AC115" s="760"/>
      <c r="AD115" s="760"/>
    </row>
    <row r="116" spans="1:30" ht="9" customHeight="1">
      <c r="A116" s="759"/>
      <c r="B116" s="759"/>
      <c r="C116" s="757"/>
      <c r="D116" s="757"/>
      <c r="E116" s="757"/>
      <c r="F116" s="757"/>
      <c r="G116" s="757"/>
      <c r="H116" s="805"/>
      <c r="I116" s="805"/>
      <c r="J116" s="805"/>
      <c r="K116" s="805"/>
      <c r="L116" s="805"/>
      <c r="M116" s="757"/>
      <c r="N116" s="804"/>
      <c r="O116" s="868"/>
      <c r="P116" s="868"/>
      <c r="Q116" s="868"/>
      <c r="R116" s="868"/>
      <c r="S116" s="757"/>
      <c r="T116" s="757"/>
      <c r="U116" s="757"/>
      <c r="V116" s="757"/>
      <c r="W116" s="757"/>
      <c r="X116" s="757"/>
      <c r="Y116" s="911"/>
      <c r="Z116" s="760"/>
      <c r="AA116" s="763"/>
      <c r="AB116" s="760"/>
      <c r="AC116" s="760"/>
      <c r="AD116" s="760"/>
    </row>
    <row r="117" spans="1:30" ht="9" customHeight="1">
      <c r="A117" s="759"/>
      <c r="B117" s="759"/>
      <c r="C117" s="757"/>
      <c r="D117" s="757"/>
      <c r="E117" s="757"/>
      <c r="F117" s="757"/>
      <c r="G117" s="757"/>
      <c r="H117" s="805"/>
      <c r="I117" s="805"/>
      <c r="J117" s="805"/>
      <c r="K117" s="805"/>
      <c r="L117" s="805"/>
      <c r="M117" s="757"/>
      <c r="N117" s="804"/>
      <c r="O117" s="868"/>
      <c r="P117" s="868"/>
      <c r="Q117" s="868"/>
      <c r="R117" s="868"/>
      <c r="S117" s="757"/>
      <c r="T117" s="757"/>
      <c r="U117" s="757"/>
      <c r="V117" s="757"/>
      <c r="W117" s="757"/>
      <c r="X117" s="757"/>
      <c r="Y117" s="911"/>
      <c r="Z117" s="760"/>
      <c r="AA117" s="763"/>
      <c r="AB117" s="760"/>
      <c r="AC117" s="760"/>
      <c r="AD117" s="760"/>
    </row>
    <row r="118" spans="1:30" ht="9" customHeight="1">
      <c r="A118" s="759"/>
      <c r="B118" s="759"/>
      <c r="C118" s="757"/>
      <c r="D118" s="757"/>
      <c r="E118" s="757"/>
      <c r="F118" s="757"/>
      <c r="G118" s="757"/>
      <c r="H118" s="805"/>
      <c r="I118" s="805"/>
      <c r="J118" s="805"/>
      <c r="K118" s="805"/>
      <c r="L118" s="805"/>
      <c r="M118" s="757"/>
      <c r="N118" s="804"/>
      <c r="O118" s="868"/>
      <c r="P118" s="868"/>
      <c r="Q118" s="868"/>
      <c r="R118" s="868"/>
      <c r="S118" s="757"/>
      <c r="T118" s="757"/>
      <c r="U118" s="757"/>
      <c r="V118" s="757"/>
      <c r="W118" s="757"/>
      <c r="X118" s="757"/>
      <c r="Y118" s="911"/>
      <c r="Z118" s="760"/>
      <c r="AA118" s="763"/>
      <c r="AB118" s="760"/>
      <c r="AC118" s="760"/>
      <c r="AD118" s="760"/>
    </row>
    <row r="119" spans="1:30" ht="9" customHeight="1">
      <c r="A119" s="759"/>
      <c r="B119" s="759"/>
      <c r="C119" s="757"/>
      <c r="D119" s="757"/>
      <c r="E119" s="757"/>
      <c r="F119" s="757"/>
      <c r="G119" s="757"/>
      <c r="H119" s="805"/>
      <c r="I119" s="805"/>
      <c r="J119" s="805"/>
      <c r="K119" s="805"/>
      <c r="L119" s="805"/>
      <c r="M119" s="757"/>
      <c r="N119" s="804"/>
      <c r="O119" s="868"/>
      <c r="P119" s="868"/>
      <c r="Q119" s="868"/>
      <c r="R119" s="868"/>
      <c r="S119" s="757"/>
      <c r="T119" s="757"/>
      <c r="U119" s="757"/>
      <c r="V119" s="757"/>
      <c r="W119" s="757"/>
      <c r="X119" s="757"/>
      <c r="Y119" s="911"/>
      <c r="Z119" s="760"/>
      <c r="AA119" s="763"/>
      <c r="AB119" s="760"/>
      <c r="AC119" s="760"/>
      <c r="AD119" s="760"/>
    </row>
    <row r="120" spans="1:30" ht="9" customHeight="1">
      <c r="A120" s="759"/>
      <c r="B120" s="759"/>
      <c r="C120" s="757"/>
      <c r="D120" s="757"/>
      <c r="E120" s="757"/>
      <c r="F120" s="757"/>
      <c r="G120" s="757"/>
      <c r="H120" s="805"/>
      <c r="I120" s="805"/>
      <c r="J120" s="805"/>
      <c r="K120" s="805"/>
      <c r="L120" s="805"/>
      <c r="M120" s="757"/>
      <c r="N120" s="804"/>
      <c r="O120" s="868"/>
      <c r="P120" s="868"/>
      <c r="Q120" s="868"/>
      <c r="R120" s="868"/>
      <c r="S120" s="757"/>
      <c r="T120" s="757"/>
      <c r="U120" s="757"/>
      <c r="V120" s="757"/>
      <c r="W120" s="757"/>
      <c r="X120" s="757"/>
      <c r="Y120" s="911"/>
      <c r="Z120" s="760"/>
      <c r="AA120" s="763"/>
      <c r="AB120" s="760"/>
      <c r="AC120" s="760"/>
      <c r="AD120" s="760"/>
    </row>
    <row r="121" spans="1:30" ht="9" customHeight="1">
      <c r="A121" s="759"/>
      <c r="B121" s="759"/>
      <c r="C121" s="757"/>
      <c r="D121" s="757"/>
      <c r="E121" s="757"/>
      <c r="F121" s="757"/>
      <c r="G121" s="757"/>
      <c r="H121" s="805"/>
      <c r="I121" s="805"/>
      <c r="J121" s="805"/>
      <c r="K121" s="805"/>
      <c r="L121" s="805"/>
      <c r="M121" s="757"/>
      <c r="N121" s="804"/>
      <c r="O121" s="868"/>
      <c r="P121" s="868"/>
      <c r="Q121" s="868"/>
      <c r="R121" s="868"/>
      <c r="S121" s="757"/>
      <c r="T121" s="757"/>
      <c r="U121" s="757"/>
      <c r="V121" s="757"/>
      <c r="W121" s="757"/>
      <c r="X121" s="757"/>
      <c r="Y121" s="911"/>
      <c r="Z121" s="760"/>
      <c r="AA121" s="763"/>
      <c r="AB121" s="760"/>
      <c r="AC121" s="760"/>
      <c r="AD121" s="760"/>
    </row>
    <row r="122" spans="1:30" ht="9" customHeight="1">
      <c r="A122" s="759"/>
      <c r="B122" s="759"/>
      <c r="C122" s="757"/>
      <c r="D122" s="757"/>
      <c r="E122" s="757"/>
      <c r="F122" s="757"/>
      <c r="G122" s="757"/>
      <c r="H122" s="805"/>
      <c r="I122" s="805"/>
      <c r="J122" s="805"/>
      <c r="K122" s="805"/>
      <c r="L122" s="805"/>
      <c r="M122" s="757"/>
      <c r="N122" s="804"/>
      <c r="O122" s="868"/>
      <c r="P122" s="868"/>
      <c r="Q122" s="868"/>
      <c r="R122" s="868"/>
      <c r="S122" s="757"/>
      <c r="T122" s="757"/>
      <c r="U122" s="757"/>
      <c r="V122" s="757"/>
      <c r="W122" s="757"/>
      <c r="X122" s="757"/>
      <c r="Y122" s="911"/>
      <c r="Z122" s="760"/>
      <c r="AA122" s="763"/>
      <c r="AB122" s="760"/>
      <c r="AC122" s="760"/>
      <c r="AD122" s="760"/>
    </row>
    <row r="123" spans="1:30" ht="9" customHeight="1">
      <c r="A123" s="759"/>
      <c r="B123" s="759"/>
      <c r="C123" s="757"/>
      <c r="D123" s="757"/>
      <c r="E123" s="757"/>
      <c r="F123" s="757"/>
      <c r="G123" s="757"/>
      <c r="H123" s="805"/>
      <c r="I123" s="805"/>
      <c r="J123" s="805"/>
      <c r="K123" s="805"/>
      <c r="L123" s="805"/>
      <c r="M123" s="757"/>
      <c r="N123" s="804"/>
      <c r="O123" s="868"/>
      <c r="P123" s="868"/>
      <c r="Q123" s="868"/>
      <c r="R123" s="868"/>
      <c r="S123" s="757"/>
      <c r="T123" s="757"/>
      <c r="U123" s="757"/>
      <c r="V123" s="757"/>
      <c r="W123" s="757"/>
      <c r="X123" s="757"/>
      <c r="Y123" s="911"/>
      <c r="Z123" s="760"/>
      <c r="AA123" s="763"/>
      <c r="AB123" s="760"/>
      <c r="AC123" s="760"/>
      <c r="AD123" s="760"/>
    </row>
    <row r="124" spans="1:30" ht="9" customHeight="1">
      <c r="A124" s="759"/>
      <c r="B124" s="759"/>
      <c r="C124" s="757"/>
      <c r="D124" s="757"/>
      <c r="E124" s="757"/>
      <c r="F124" s="757"/>
      <c r="G124" s="757"/>
      <c r="H124" s="805"/>
      <c r="I124" s="805"/>
      <c r="J124" s="805"/>
      <c r="K124" s="805"/>
      <c r="L124" s="805"/>
      <c r="M124" s="757"/>
      <c r="N124" s="804"/>
      <c r="O124" s="868"/>
      <c r="P124" s="868"/>
      <c r="Q124" s="868"/>
      <c r="R124" s="868"/>
      <c r="S124" s="757"/>
      <c r="T124" s="757"/>
      <c r="U124" s="757"/>
      <c r="V124" s="757"/>
      <c r="W124" s="757"/>
      <c r="X124" s="757"/>
      <c r="Y124" s="911"/>
      <c r="Z124" s="760"/>
      <c r="AA124" s="763"/>
      <c r="AB124" s="760"/>
      <c r="AC124" s="760"/>
      <c r="AD124" s="760"/>
    </row>
    <row r="125" spans="1:30" ht="9" customHeight="1">
      <c r="A125" s="759"/>
      <c r="B125" s="759"/>
      <c r="C125" s="757"/>
      <c r="D125" s="757"/>
      <c r="E125" s="757"/>
      <c r="F125" s="757"/>
      <c r="G125" s="757"/>
      <c r="H125" s="805"/>
      <c r="I125" s="805"/>
      <c r="J125" s="805"/>
      <c r="K125" s="805"/>
      <c r="L125" s="805"/>
      <c r="M125" s="757"/>
      <c r="N125" s="804"/>
      <c r="O125" s="868"/>
      <c r="P125" s="868"/>
      <c r="Q125" s="868"/>
      <c r="R125" s="868"/>
      <c r="S125" s="757"/>
      <c r="T125" s="757"/>
      <c r="U125" s="757"/>
      <c r="V125" s="757"/>
      <c r="W125" s="757"/>
      <c r="X125" s="757"/>
      <c r="Y125" s="911"/>
      <c r="Z125" s="760"/>
      <c r="AA125" s="763"/>
      <c r="AB125" s="760"/>
      <c r="AC125" s="760"/>
      <c r="AD125" s="760"/>
    </row>
    <row r="126" spans="1:30" ht="9" customHeight="1">
      <c r="A126" s="759"/>
      <c r="B126" s="759"/>
      <c r="C126" s="757"/>
      <c r="D126" s="757"/>
      <c r="E126" s="757"/>
      <c r="F126" s="757"/>
      <c r="G126" s="757"/>
      <c r="H126" s="805"/>
      <c r="I126" s="805"/>
      <c r="J126" s="805"/>
      <c r="K126" s="805"/>
      <c r="L126" s="805"/>
      <c r="M126" s="757"/>
      <c r="N126" s="804"/>
      <c r="O126" s="868"/>
      <c r="P126" s="868"/>
      <c r="Q126" s="868"/>
      <c r="R126" s="868"/>
      <c r="S126" s="757"/>
      <c r="T126" s="757"/>
      <c r="U126" s="757"/>
      <c r="V126" s="757"/>
      <c r="W126" s="757"/>
      <c r="X126" s="757"/>
      <c r="Y126" s="911"/>
      <c r="Z126" s="760"/>
      <c r="AA126" s="763"/>
      <c r="AB126" s="760"/>
      <c r="AC126" s="760"/>
      <c r="AD126" s="760"/>
    </row>
    <row r="127" spans="1:30" ht="9" customHeight="1">
      <c r="A127" s="759"/>
      <c r="B127" s="759"/>
      <c r="C127" s="757"/>
      <c r="D127" s="757"/>
      <c r="E127" s="757"/>
      <c r="F127" s="757"/>
      <c r="G127" s="757"/>
      <c r="H127" s="805"/>
      <c r="I127" s="805"/>
      <c r="J127" s="805"/>
      <c r="K127" s="805"/>
      <c r="L127" s="805"/>
      <c r="M127" s="757"/>
      <c r="N127" s="804"/>
      <c r="O127" s="868"/>
      <c r="P127" s="868"/>
      <c r="Q127" s="868"/>
      <c r="R127" s="868"/>
      <c r="S127" s="757"/>
      <c r="T127" s="757"/>
      <c r="U127" s="757"/>
      <c r="V127" s="757"/>
      <c r="W127" s="757"/>
      <c r="X127" s="757"/>
      <c r="Y127" s="911"/>
      <c r="Z127" s="760"/>
      <c r="AA127" s="763"/>
      <c r="AB127" s="760"/>
      <c r="AC127" s="760"/>
      <c r="AD127" s="760"/>
    </row>
    <row r="128" spans="1:30" ht="9" customHeight="1">
      <c r="A128" s="759"/>
      <c r="B128" s="759"/>
      <c r="C128" s="757"/>
      <c r="D128" s="757"/>
      <c r="E128" s="757"/>
      <c r="F128" s="757"/>
      <c r="G128" s="757"/>
      <c r="H128" s="805"/>
      <c r="I128" s="805"/>
      <c r="J128" s="805"/>
      <c r="K128" s="805"/>
      <c r="L128" s="805"/>
      <c r="M128" s="757"/>
      <c r="N128" s="804"/>
      <c r="O128" s="868"/>
      <c r="P128" s="868"/>
      <c r="Q128" s="868"/>
      <c r="R128" s="868"/>
      <c r="S128" s="757"/>
      <c r="T128" s="757"/>
      <c r="U128" s="757"/>
      <c r="V128" s="757"/>
      <c r="W128" s="757"/>
      <c r="X128" s="757"/>
      <c r="Y128" s="911"/>
      <c r="Z128" s="760"/>
      <c r="AA128" s="763"/>
      <c r="AB128" s="760"/>
      <c r="AC128" s="760"/>
      <c r="AD128" s="760"/>
    </row>
    <row r="129" spans="1:30" ht="9" customHeight="1">
      <c r="A129" s="759"/>
      <c r="B129" s="759"/>
      <c r="C129" s="757"/>
      <c r="D129" s="757"/>
      <c r="E129" s="757"/>
      <c r="F129" s="757"/>
      <c r="G129" s="757"/>
      <c r="H129" s="805"/>
      <c r="I129" s="805"/>
      <c r="J129" s="805"/>
      <c r="K129" s="805"/>
      <c r="L129" s="805"/>
      <c r="M129" s="757"/>
      <c r="N129" s="804"/>
      <c r="O129" s="868"/>
      <c r="P129" s="868"/>
      <c r="Q129" s="868"/>
      <c r="R129" s="868"/>
      <c r="S129" s="757"/>
      <c r="T129" s="757"/>
      <c r="U129" s="757"/>
      <c r="V129" s="757"/>
      <c r="W129" s="757"/>
      <c r="X129" s="757"/>
      <c r="Y129" s="911"/>
      <c r="Z129" s="760"/>
      <c r="AA129" s="763"/>
      <c r="AB129" s="760"/>
      <c r="AC129" s="760"/>
      <c r="AD129" s="760"/>
    </row>
    <row r="130" spans="1:30" ht="9" customHeight="1">
      <c r="A130" s="759"/>
      <c r="B130" s="759"/>
      <c r="C130" s="757"/>
      <c r="D130" s="757"/>
      <c r="E130" s="757"/>
      <c r="F130" s="757"/>
      <c r="G130" s="757"/>
      <c r="H130" s="805"/>
      <c r="I130" s="805"/>
      <c r="J130" s="805"/>
      <c r="K130" s="805"/>
      <c r="L130" s="805"/>
      <c r="M130" s="757"/>
      <c r="N130" s="804"/>
      <c r="O130" s="870"/>
      <c r="P130" s="870"/>
      <c r="Q130" s="870"/>
      <c r="R130" s="870"/>
      <c r="S130" s="757"/>
      <c r="T130" s="757"/>
      <c r="U130" s="757"/>
      <c r="V130" s="757"/>
      <c r="W130" s="757"/>
      <c r="X130" s="757"/>
      <c r="Y130" s="911"/>
      <c r="Z130" s="760"/>
      <c r="AA130" s="763"/>
      <c r="AB130" s="760"/>
      <c r="AC130" s="760"/>
      <c r="AD130" s="760"/>
    </row>
    <row r="131" spans="1:30" ht="9" customHeight="1">
      <c r="A131" s="759"/>
      <c r="B131" s="759"/>
      <c r="C131" s="757"/>
      <c r="D131" s="757"/>
      <c r="E131" s="757"/>
      <c r="F131" s="757"/>
      <c r="G131" s="757"/>
      <c r="H131" s="805"/>
      <c r="I131" s="805"/>
      <c r="J131" s="805"/>
      <c r="K131" s="805"/>
      <c r="L131" s="805"/>
      <c r="M131" s="757"/>
      <c r="N131" s="804"/>
      <c r="O131" s="871"/>
      <c r="P131" s="871"/>
      <c r="Q131" s="871"/>
      <c r="R131" s="871"/>
      <c r="S131" s="757"/>
      <c r="T131" s="757"/>
      <c r="U131" s="757"/>
      <c r="V131" s="757"/>
      <c r="W131" s="757"/>
      <c r="X131" s="757"/>
      <c r="Y131" s="911"/>
      <c r="Z131" s="760"/>
      <c r="AA131" s="763"/>
      <c r="AB131" s="760"/>
      <c r="AC131" s="760"/>
      <c r="AD131" s="760"/>
    </row>
    <row r="132" spans="1:30" ht="9" customHeight="1">
      <c r="A132" s="759"/>
      <c r="B132" s="759"/>
      <c r="C132" s="757"/>
      <c r="D132" s="757"/>
      <c r="E132" s="757"/>
      <c r="F132" s="757"/>
      <c r="G132" s="757"/>
      <c r="H132" s="805"/>
      <c r="I132" s="805"/>
      <c r="J132" s="805"/>
      <c r="K132" s="805"/>
      <c r="L132" s="805"/>
      <c r="M132" s="757"/>
      <c r="N132" s="804"/>
      <c r="O132" s="870"/>
      <c r="P132" s="870"/>
      <c r="Q132" s="870"/>
      <c r="R132" s="870"/>
      <c r="S132" s="757"/>
      <c r="T132" s="757"/>
      <c r="U132" s="757"/>
      <c r="V132" s="757"/>
      <c r="W132" s="757"/>
      <c r="X132" s="757"/>
      <c r="Y132" s="911"/>
      <c r="Z132" s="760"/>
      <c r="AA132" s="763"/>
      <c r="AB132" s="760"/>
      <c r="AC132" s="760"/>
      <c r="AD132" s="760"/>
    </row>
    <row r="133" spans="1:30" ht="9" customHeight="1">
      <c r="A133" s="759"/>
      <c r="B133" s="759"/>
      <c r="C133" s="757"/>
      <c r="D133" s="757"/>
      <c r="E133" s="757"/>
      <c r="F133" s="757"/>
      <c r="G133" s="757"/>
      <c r="H133" s="805"/>
      <c r="I133" s="805"/>
      <c r="J133" s="805"/>
      <c r="K133" s="805"/>
      <c r="L133" s="805"/>
      <c r="M133" s="757"/>
      <c r="N133" s="804"/>
      <c r="O133" s="871"/>
      <c r="P133" s="871"/>
      <c r="Q133" s="871"/>
      <c r="R133" s="871"/>
      <c r="S133" s="757"/>
      <c r="T133" s="757"/>
      <c r="U133" s="757"/>
      <c r="V133" s="757"/>
      <c r="W133" s="757"/>
      <c r="X133" s="757"/>
      <c r="Y133" s="911"/>
      <c r="Z133" s="760"/>
      <c r="AA133" s="763"/>
      <c r="AB133" s="760"/>
      <c r="AC133" s="760"/>
      <c r="AD133" s="760"/>
    </row>
    <row r="134" spans="1:30" ht="9" customHeight="1">
      <c r="A134" s="759"/>
      <c r="B134" s="759"/>
      <c r="C134" s="757"/>
      <c r="D134" s="757"/>
      <c r="E134" s="757"/>
      <c r="F134" s="757"/>
      <c r="G134" s="757"/>
      <c r="H134" s="805"/>
      <c r="I134" s="805"/>
      <c r="J134" s="805"/>
      <c r="K134" s="805"/>
      <c r="L134" s="805"/>
      <c r="M134" s="757"/>
      <c r="N134" s="804"/>
      <c r="O134" s="868"/>
      <c r="P134" s="868"/>
      <c r="Q134" s="868"/>
      <c r="R134" s="868"/>
      <c r="S134" s="757"/>
      <c r="T134" s="757"/>
      <c r="U134" s="757"/>
      <c r="V134" s="757"/>
      <c r="W134" s="757"/>
      <c r="X134" s="757"/>
      <c r="Y134" s="911"/>
      <c r="Z134" s="760"/>
      <c r="AA134" s="763"/>
      <c r="AB134" s="760"/>
      <c r="AC134" s="760"/>
      <c r="AD134" s="760"/>
    </row>
    <row r="135" spans="1:30" ht="9" customHeight="1">
      <c r="A135" s="759"/>
      <c r="B135" s="759"/>
      <c r="C135" s="757"/>
      <c r="D135" s="757"/>
      <c r="E135" s="757"/>
      <c r="F135" s="757"/>
      <c r="G135" s="757"/>
      <c r="H135" s="805"/>
      <c r="I135" s="805"/>
      <c r="J135" s="805"/>
      <c r="K135" s="805"/>
      <c r="L135" s="805"/>
      <c r="M135" s="757"/>
      <c r="N135" s="804"/>
      <c r="O135" s="868"/>
      <c r="P135" s="868"/>
      <c r="Q135" s="868"/>
      <c r="R135" s="868"/>
      <c r="S135" s="757"/>
      <c r="T135" s="757"/>
      <c r="U135" s="757"/>
      <c r="V135" s="757"/>
      <c r="W135" s="757"/>
      <c r="X135" s="757"/>
      <c r="Y135" s="911"/>
      <c r="Z135" s="760"/>
      <c r="AA135" s="763"/>
      <c r="AB135" s="760"/>
      <c r="AC135" s="760"/>
      <c r="AD135" s="760"/>
    </row>
    <row r="136" spans="1:30" ht="9" customHeight="1">
      <c r="A136" s="759"/>
      <c r="B136" s="759"/>
      <c r="C136" s="757"/>
      <c r="D136" s="757"/>
      <c r="E136" s="757"/>
      <c r="F136" s="757"/>
      <c r="G136" s="757"/>
      <c r="H136" s="805"/>
      <c r="I136" s="805"/>
      <c r="J136" s="805"/>
      <c r="K136" s="805"/>
      <c r="L136" s="805"/>
      <c r="M136" s="757"/>
      <c r="N136" s="804"/>
      <c r="O136" s="868"/>
      <c r="P136" s="868"/>
      <c r="Q136" s="868"/>
      <c r="R136" s="868"/>
      <c r="S136" s="757"/>
      <c r="T136" s="757"/>
      <c r="U136" s="757"/>
      <c r="V136" s="757"/>
      <c r="W136" s="757"/>
      <c r="X136" s="757"/>
      <c r="Y136" s="911"/>
      <c r="Z136" s="760"/>
      <c r="AA136" s="763"/>
      <c r="AB136" s="760"/>
      <c r="AC136" s="760"/>
      <c r="AD136" s="760"/>
    </row>
    <row r="137" spans="1:30" ht="9" customHeight="1">
      <c r="A137" s="759"/>
      <c r="B137" s="759"/>
      <c r="C137" s="757"/>
      <c r="D137" s="757"/>
      <c r="E137" s="757"/>
      <c r="F137" s="757"/>
      <c r="G137" s="757"/>
      <c r="H137" s="805"/>
      <c r="I137" s="805"/>
      <c r="J137" s="805"/>
      <c r="K137" s="805"/>
      <c r="L137" s="805"/>
      <c r="M137" s="757"/>
      <c r="N137" s="804"/>
      <c r="O137" s="872"/>
      <c r="P137" s="872"/>
      <c r="Q137" s="872"/>
      <c r="R137" s="872"/>
      <c r="S137" s="757"/>
      <c r="T137" s="757"/>
      <c r="U137" s="757"/>
      <c r="V137" s="757"/>
      <c r="W137" s="757"/>
      <c r="X137" s="757"/>
      <c r="Y137" s="911"/>
      <c r="Z137" s="760"/>
      <c r="AA137" s="763"/>
      <c r="AB137" s="760"/>
      <c r="AC137" s="760"/>
      <c r="AD137" s="760"/>
    </row>
    <row r="138" spans="1:30" ht="9" customHeight="1">
      <c r="A138" s="759"/>
      <c r="B138" s="759"/>
      <c r="C138" s="757"/>
      <c r="D138" s="757"/>
      <c r="E138" s="757"/>
      <c r="F138" s="757"/>
      <c r="G138" s="757"/>
      <c r="H138" s="805"/>
      <c r="I138" s="805"/>
      <c r="J138" s="805"/>
      <c r="K138" s="805"/>
      <c r="L138" s="805"/>
      <c r="M138" s="757"/>
      <c r="N138" s="804"/>
      <c r="O138" s="869"/>
      <c r="P138" s="869"/>
      <c r="Q138" s="869"/>
      <c r="R138" s="869"/>
      <c r="S138" s="757"/>
      <c r="T138" s="757"/>
      <c r="U138" s="757"/>
      <c r="V138" s="757"/>
      <c r="W138" s="757"/>
      <c r="X138" s="757"/>
      <c r="Y138" s="911"/>
      <c r="Z138" s="760"/>
      <c r="AA138" s="763"/>
      <c r="AB138" s="760"/>
      <c r="AC138" s="760"/>
      <c r="AD138" s="760"/>
    </row>
    <row r="139" spans="1:30" ht="9" customHeight="1">
      <c r="A139" s="759"/>
      <c r="B139" s="759"/>
      <c r="C139" s="757"/>
      <c r="D139" s="757"/>
      <c r="E139" s="757"/>
      <c r="F139" s="757"/>
      <c r="G139" s="757"/>
      <c r="H139" s="805"/>
      <c r="I139" s="805"/>
      <c r="J139" s="805"/>
      <c r="K139" s="805"/>
      <c r="L139" s="805"/>
      <c r="M139" s="757"/>
      <c r="N139" s="804"/>
      <c r="O139" s="757"/>
      <c r="P139" s="757"/>
      <c r="Q139" s="757"/>
      <c r="R139" s="757"/>
      <c r="S139" s="757"/>
      <c r="T139" s="757"/>
      <c r="U139" s="757"/>
      <c r="V139" s="757"/>
      <c r="W139" s="757"/>
      <c r="X139" s="757"/>
      <c r="Y139" s="911"/>
      <c r="Z139" s="760"/>
      <c r="AA139" s="763"/>
      <c r="AB139" s="760"/>
      <c r="AC139" s="760"/>
      <c r="AD139" s="760"/>
    </row>
    <row r="140" spans="1:30" ht="9" customHeight="1">
      <c r="A140" s="759"/>
      <c r="B140" s="759"/>
      <c r="C140" s="757"/>
      <c r="D140" s="757"/>
      <c r="E140" s="757"/>
      <c r="F140" s="757"/>
      <c r="G140" s="757"/>
      <c r="H140" s="805"/>
      <c r="I140" s="805"/>
      <c r="J140" s="805"/>
      <c r="K140" s="805"/>
      <c r="L140" s="805"/>
      <c r="M140" s="757"/>
      <c r="N140" s="804"/>
      <c r="O140" s="757"/>
      <c r="P140" s="757"/>
      <c r="Q140" s="757"/>
      <c r="R140" s="757"/>
      <c r="S140" s="757"/>
      <c r="T140" s="757"/>
      <c r="U140" s="757"/>
      <c r="V140" s="757"/>
      <c r="W140" s="757"/>
      <c r="X140" s="757"/>
      <c r="Y140" s="911"/>
      <c r="Z140" s="760"/>
      <c r="AA140" s="763"/>
      <c r="AB140" s="760"/>
      <c r="AC140" s="760"/>
      <c r="AD140" s="760"/>
    </row>
    <row r="141" spans="1:30" ht="9" customHeight="1">
      <c r="A141" s="759"/>
      <c r="B141" s="759"/>
      <c r="C141" s="757"/>
      <c r="D141" s="757"/>
      <c r="E141" s="757"/>
      <c r="F141" s="757"/>
      <c r="G141" s="757"/>
      <c r="H141" s="805"/>
      <c r="I141" s="805"/>
      <c r="J141" s="805"/>
      <c r="K141" s="805"/>
      <c r="L141" s="805"/>
      <c r="M141" s="757"/>
      <c r="N141" s="804"/>
      <c r="O141" s="757"/>
      <c r="P141" s="757"/>
      <c r="Q141" s="757"/>
      <c r="R141" s="757"/>
      <c r="S141" s="757"/>
      <c r="T141" s="757"/>
      <c r="U141" s="757"/>
      <c r="V141" s="757"/>
      <c r="W141" s="757"/>
      <c r="X141" s="757"/>
      <c r="Y141" s="911"/>
      <c r="Z141" s="760"/>
      <c r="AA141" s="763"/>
      <c r="AB141" s="760"/>
      <c r="AC141" s="760"/>
      <c r="AD141" s="760"/>
    </row>
    <row r="142" spans="1:30" ht="9" customHeight="1">
      <c r="A142" s="759"/>
      <c r="B142" s="759"/>
      <c r="C142" s="757"/>
      <c r="D142" s="757"/>
      <c r="E142" s="757"/>
      <c r="F142" s="757"/>
      <c r="G142" s="757"/>
      <c r="H142" s="805"/>
      <c r="I142" s="805"/>
      <c r="J142" s="805"/>
      <c r="K142" s="805"/>
      <c r="L142" s="805"/>
      <c r="M142" s="757"/>
      <c r="N142" s="804"/>
      <c r="O142" s="757"/>
      <c r="P142" s="757"/>
      <c r="Q142" s="757"/>
      <c r="R142" s="757"/>
      <c r="S142" s="757"/>
      <c r="T142" s="757"/>
      <c r="U142" s="757"/>
      <c r="V142" s="757"/>
      <c r="W142" s="757"/>
      <c r="X142" s="757"/>
      <c r="Y142" s="911"/>
      <c r="Z142" s="760"/>
      <c r="AA142" s="763"/>
      <c r="AB142" s="760"/>
      <c r="AC142" s="760"/>
      <c r="AD142" s="760"/>
    </row>
    <row r="143" spans="1:30" ht="9" customHeight="1">
      <c r="A143" s="759"/>
      <c r="B143" s="759"/>
      <c r="C143" s="757"/>
      <c r="D143" s="757"/>
      <c r="E143" s="757"/>
      <c r="F143" s="757"/>
      <c r="G143" s="757"/>
      <c r="H143" s="805"/>
      <c r="I143" s="805"/>
      <c r="J143" s="805"/>
      <c r="K143" s="805"/>
      <c r="L143" s="805"/>
      <c r="M143" s="757"/>
      <c r="N143" s="804"/>
      <c r="O143" s="757"/>
      <c r="P143" s="757"/>
      <c r="Q143" s="757"/>
      <c r="R143" s="757"/>
      <c r="S143" s="757"/>
      <c r="T143" s="757"/>
      <c r="U143" s="757"/>
      <c r="V143" s="757"/>
      <c r="W143" s="757"/>
      <c r="X143" s="757"/>
      <c r="Y143" s="911"/>
      <c r="Z143" s="760"/>
      <c r="AA143" s="763"/>
      <c r="AB143" s="760"/>
      <c r="AC143" s="760"/>
      <c r="AD143" s="760"/>
    </row>
    <row r="144" spans="1:30" ht="9" customHeight="1">
      <c r="A144" s="759"/>
      <c r="B144" s="759"/>
      <c r="C144" s="757"/>
      <c r="D144" s="757"/>
      <c r="E144" s="757"/>
      <c r="F144" s="757"/>
      <c r="G144" s="757"/>
      <c r="H144" s="805"/>
      <c r="I144" s="805"/>
      <c r="J144" s="805"/>
      <c r="K144" s="805"/>
      <c r="L144" s="805"/>
      <c r="M144" s="757"/>
      <c r="N144" s="804"/>
      <c r="O144" s="757"/>
      <c r="P144" s="757"/>
      <c r="Q144" s="757"/>
      <c r="R144" s="757"/>
      <c r="S144" s="757"/>
      <c r="T144" s="757"/>
      <c r="U144" s="757"/>
      <c r="V144" s="757"/>
      <c r="W144" s="757"/>
      <c r="X144" s="757"/>
      <c r="Y144" s="911"/>
      <c r="Z144" s="760"/>
      <c r="AA144" s="763"/>
      <c r="AB144" s="760"/>
      <c r="AC144" s="760"/>
      <c r="AD144" s="760"/>
    </row>
    <row r="145" spans="1:30" ht="9" customHeight="1">
      <c r="A145" s="759"/>
      <c r="B145" s="759"/>
      <c r="C145" s="757"/>
      <c r="D145" s="757"/>
      <c r="E145" s="757"/>
      <c r="F145" s="757"/>
      <c r="G145" s="757"/>
      <c r="H145" s="805"/>
      <c r="I145" s="805"/>
      <c r="J145" s="805"/>
      <c r="K145" s="805"/>
      <c r="L145" s="805"/>
      <c r="M145" s="757"/>
      <c r="N145" s="804"/>
      <c r="O145" s="757"/>
      <c r="P145" s="757"/>
      <c r="Q145" s="757"/>
      <c r="R145" s="757"/>
      <c r="S145" s="757"/>
      <c r="T145" s="757"/>
      <c r="U145" s="757"/>
      <c r="V145" s="757"/>
      <c r="W145" s="757"/>
      <c r="X145" s="757"/>
      <c r="Y145" s="911"/>
      <c r="Z145" s="760"/>
      <c r="AA145" s="763"/>
      <c r="AB145" s="760"/>
      <c r="AC145" s="760"/>
      <c r="AD145" s="760"/>
    </row>
    <row r="146" spans="1:30" ht="9" customHeight="1">
      <c r="A146" s="759"/>
      <c r="B146" s="759"/>
      <c r="C146" s="757"/>
      <c r="D146" s="757"/>
      <c r="E146" s="757"/>
      <c r="F146" s="757"/>
      <c r="G146" s="757"/>
      <c r="H146" s="805"/>
      <c r="I146" s="805"/>
      <c r="J146" s="805"/>
      <c r="K146" s="805"/>
      <c r="L146" s="805"/>
      <c r="M146" s="757"/>
      <c r="N146" s="804"/>
      <c r="O146" s="757"/>
      <c r="P146" s="757"/>
      <c r="Q146" s="757"/>
      <c r="R146" s="757"/>
      <c r="S146" s="757"/>
      <c r="T146" s="757"/>
      <c r="U146" s="757"/>
      <c r="V146" s="757"/>
      <c r="W146" s="757"/>
      <c r="X146" s="757"/>
      <c r="Y146" s="911"/>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1962</v>
      </c>
      <c r="B148" s="759"/>
      <c r="C148" s="757" t="s">
        <v>2433</v>
      </c>
      <c r="D148" s="757" t="s">
        <v>191</v>
      </c>
      <c r="E148" s="757" t="s">
        <v>112</v>
      </c>
      <c r="F148" s="757" t="s">
        <v>2434</v>
      </c>
      <c r="G148" s="757"/>
      <c r="H148" s="757"/>
      <c r="I148" s="874"/>
      <c r="J148" s="874"/>
      <c r="K148" s="874"/>
      <c r="L148" s="874"/>
      <c r="M148" s="80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62"/>
      <c r="O148" s="757"/>
      <c r="P148" s="758"/>
      <c r="Q148" s="758"/>
      <c r="R148" s="758"/>
      <c r="S148" s="757"/>
      <c r="T148" s="757" t="s">
        <v>2435</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58"/>
      <c r="W148" s="758"/>
      <c r="X148" s="757" t="s">
        <v>2436</v>
      </c>
      <c r="Y148" s="911"/>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1965</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11"/>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1968</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11"/>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1973</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11"/>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2.28515625" style="1287" hidden="1" customWidth="1"/>
    <col min="6" max="8" width="12.28515625" style="1696" hidden="1" customWidth="1"/>
    <col min="9" max="9" width="3.7109375" style="1817" customWidth="1"/>
    <col min="10" max="11" width="3.7109375" style="265" customWidth="1"/>
    <col min="12" max="12" width="12.7109375" style="1820"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1:29" ht="14.25" hidden="1" customHeight="1">
      <c r="R1" s="249"/>
      <c r="S1" s="249"/>
    </row>
    <row r="2" spans="1:29" ht="14.25" hidden="1" customHeight="1">
      <c r="V2" s="249"/>
    </row>
    <row r="3" spans="1:29" ht="14.25" hidden="1" customHeight="1"/>
    <row r="4" spans="1:29" ht="14.25" customHeight="1">
      <c r="J4" s="300"/>
      <c r="K4" s="300"/>
      <c r="L4" s="1200"/>
      <c r="M4" s="286"/>
      <c r="N4" s="286"/>
      <c r="O4" s="433"/>
      <c r="P4" s="433"/>
      <c r="Q4" s="433"/>
      <c r="R4" s="433"/>
      <c r="S4" s="433"/>
      <c r="T4" s="433"/>
      <c r="U4" s="433"/>
      <c r="V4" s="433"/>
    </row>
    <row r="5" spans="1:29" ht="64.5" customHeight="1">
      <c r="J5" s="300"/>
      <c r="K5" s="300"/>
      <c r="L5" s="7941" t="s">
        <v>2437</v>
      </c>
      <c r="M5" s="7941"/>
      <c r="N5" s="7941"/>
      <c r="O5" s="7941"/>
      <c r="P5" s="7941"/>
      <c r="Q5" s="7941"/>
      <c r="R5" s="7941"/>
      <c r="S5" s="7941"/>
      <c r="T5" s="7941"/>
      <c r="U5" s="7941"/>
      <c r="V5" s="1157"/>
    </row>
    <row r="6" spans="1:29" ht="14.25" customHeight="1">
      <c r="J6" s="300"/>
      <c r="K6" s="300"/>
      <c r="L6" s="7942" t="str">
        <f>IF(org=0,"Не определено",org)</f>
        <v>ГУП СК "Ставрополькрайводоканал"</v>
      </c>
      <c r="M6" s="7942"/>
      <c r="N6" s="7942"/>
      <c r="O6" s="7942"/>
      <c r="P6" s="7942"/>
      <c r="Q6" s="7942"/>
      <c r="R6" s="7942"/>
      <c r="S6" s="7942"/>
      <c r="T6" s="7942"/>
      <c r="U6" s="7942"/>
      <c r="V6" s="1157"/>
    </row>
    <row r="7" spans="1:29" ht="14.25" customHeight="1">
      <c r="J7" s="300"/>
      <c r="K7" s="300"/>
      <c r="L7" s="1200"/>
      <c r="M7" s="286"/>
      <c r="N7" s="286"/>
      <c r="O7" s="242"/>
      <c r="P7" s="242"/>
      <c r="Q7" s="242"/>
      <c r="R7" s="242"/>
      <c r="S7" s="242"/>
      <c r="T7" s="242"/>
      <c r="U7" s="242"/>
      <c r="V7" s="242"/>
      <c r="W7" s="433"/>
    </row>
    <row r="8" spans="1:29" s="1771" customFormat="1" ht="45" customHeight="1">
      <c r="A8" s="1289"/>
      <c r="B8" s="1289"/>
      <c r="C8" s="1289"/>
      <c r="D8" s="1289"/>
      <c r="E8" s="1289"/>
      <c r="F8" s="1289"/>
      <c r="G8" s="1289"/>
      <c r="H8" s="1289"/>
      <c r="L8" s="1201"/>
      <c r="M8" s="209" t="s">
        <v>38</v>
      </c>
      <c r="N8" s="218"/>
      <c r="O8" s="7682" t="str">
        <f>IF(TITLE_NAME_OR_PR_CHANGE="",IF(TITLE_NAME_OR_PR="","",TITLE_NAME_OR_PR),TITLE_NAME_OR_PR_CHANGE)</f>
        <v>Региональная тарифная комиссия Ставропольского края</v>
      </c>
      <c r="P8" s="7682"/>
      <c r="Q8" s="7682"/>
      <c r="R8" s="7682"/>
      <c r="S8" s="7682"/>
      <c r="T8" s="7682"/>
      <c r="U8" s="7682"/>
      <c r="V8" s="248"/>
      <c r="W8" s="248"/>
      <c r="X8" s="196"/>
      <c r="Y8" s="292"/>
      <c r="Z8" s="292"/>
      <c r="AA8" s="292"/>
      <c r="AB8" s="292"/>
      <c r="AC8" s="292"/>
    </row>
    <row r="9" spans="1:29" s="1771" customFormat="1" ht="22.5" customHeight="1">
      <c r="A9" s="1289"/>
      <c r="B9" s="1289"/>
      <c r="C9" s="1289"/>
      <c r="D9" s="1289"/>
      <c r="E9" s="1289"/>
      <c r="F9" s="1289"/>
      <c r="G9" s="1289"/>
      <c r="H9" s="1289"/>
      <c r="L9" s="1201"/>
      <c r="M9" s="209" t="s">
        <v>597</v>
      </c>
      <c r="N9" s="218"/>
      <c r="O9" s="7682">
        <f>IF(TITLE_DATE_CHANGE_PERIOD="",IF(TITLE_DATE_PR="","",TITLE_DATE_PR),TITLE_DATE_CHANGE_PERIOD)</f>
        <v>45278</v>
      </c>
      <c r="P9" s="7682"/>
      <c r="Q9" s="7682"/>
      <c r="R9" s="7682"/>
      <c r="S9" s="7682"/>
      <c r="T9" s="7682"/>
      <c r="U9" s="7682"/>
      <c r="V9" s="248"/>
      <c r="W9" s="248"/>
      <c r="X9" s="196"/>
      <c r="Y9" s="292"/>
      <c r="Z9" s="292"/>
      <c r="AA9" s="292"/>
      <c r="AB9" s="292"/>
      <c r="AC9" s="292"/>
    </row>
    <row r="10" spans="1:29" s="1771" customFormat="1" ht="22.5" customHeight="1">
      <c r="A10" s="1289"/>
      <c r="B10" s="1289"/>
      <c r="C10" s="1289"/>
      <c r="D10" s="1289"/>
      <c r="E10" s="1289"/>
      <c r="F10" s="1289"/>
      <c r="G10" s="1289"/>
      <c r="H10" s="1289"/>
      <c r="L10" s="1165"/>
      <c r="M10" s="209" t="s">
        <v>598</v>
      </c>
      <c r="N10" s="218"/>
      <c r="O10" s="7682" t="str">
        <f>IF(TITLE_NUMBER_PR_CHANGE="",IF(TITLE_NUMBER_PR="","",TITLE_NUMBER_PR),TITLE_NUMBER_PR_CHANGE)</f>
        <v>79/2</v>
      </c>
      <c r="P10" s="7682"/>
      <c r="Q10" s="7682"/>
      <c r="R10" s="7682"/>
      <c r="S10" s="7682"/>
      <c r="T10" s="7682"/>
      <c r="U10" s="7682"/>
      <c r="V10" s="248"/>
      <c r="W10" s="248"/>
      <c r="X10" s="196"/>
      <c r="Y10" s="292"/>
      <c r="Z10" s="292"/>
      <c r="AA10" s="292"/>
      <c r="AB10" s="292"/>
      <c r="AC10" s="292"/>
    </row>
    <row r="11" spans="1:29" s="1771" customFormat="1" ht="22.5" customHeight="1">
      <c r="A11" s="1289"/>
      <c r="B11" s="1289"/>
      <c r="C11" s="1289"/>
      <c r="D11" s="1289"/>
      <c r="E11" s="1289"/>
      <c r="F11" s="1289"/>
      <c r="G11" s="1289"/>
      <c r="H11" s="1289"/>
      <c r="L11" s="1165"/>
      <c r="M11" s="209" t="s">
        <v>40</v>
      </c>
      <c r="N11" s="218"/>
      <c r="O11" s="7682" t="str">
        <f>IF(TITLE_IST_PUB_CHANGE="",IF(TITLE_IST_PUB="","",TITLE_IST_PUB),TITLE_IST_PUB_CHANGE)</f>
        <v>http://pravo.stavregion.ru/</v>
      </c>
      <c r="P11" s="7682"/>
      <c r="Q11" s="7682"/>
      <c r="R11" s="7682"/>
      <c r="S11" s="7682"/>
      <c r="T11" s="7682"/>
      <c r="U11" s="7682"/>
      <c r="V11" s="248"/>
      <c r="W11" s="248"/>
      <c r="X11" s="196"/>
      <c r="Y11" s="292"/>
      <c r="Z11" s="292"/>
      <c r="AA11" s="292"/>
      <c r="AB11" s="292"/>
      <c r="AC11" s="292"/>
    </row>
    <row r="12" spans="1:29" s="1771" customFormat="1" ht="11.25" hidden="1" customHeight="1">
      <c r="A12" s="1289"/>
      <c r="B12" s="1289"/>
      <c r="C12" s="1289"/>
      <c r="D12" s="1289"/>
      <c r="E12" s="1289"/>
      <c r="F12" s="1289"/>
      <c r="G12" s="1289"/>
      <c r="H12" s="1289"/>
      <c r="L12" s="7943"/>
      <c r="M12" s="7943"/>
      <c r="N12" s="1211"/>
      <c r="O12" s="248"/>
      <c r="P12" s="248"/>
      <c r="Q12" s="248"/>
      <c r="R12" s="248"/>
      <c r="S12" s="248"/>
      <c r="T12" s="248"/>
      <c r="U12" s="248"/>
      <c r="V12" s="194" t="s">
        <v>601</v>
      </c>
      <c r="Y12" s="292"/>
      <c r="Z12" s="292"/>
      <c r="AA12" s="292"/>
      <c r="AB12" s="292"/>
      <c r="AC12" s="292"/>
    </row>
    <row r="13" spans="1:29" ht="14.25" customHeight="1">
      <c r="J13" s="300"/>
      <c r="K13" s="300"/>
      <c r="L13" s="1200"/>
      <c r="M13" s="286"/>
      <c r="N13" s="1158"/>
      <c r="O13" s="7683"/>
      <c r="P13" s="7683"/>
      <c r="Q13" s="7683"/>
      <c r="R13" s="7683"/>
      <c r="S13" s="7683"/>
      <c r="T13" s="7683"/>
      <c r="U13" s="7683"/>
      <c r="V13" s="7683"/>
    </row>
    <row r="14" spans="1:29" ht="14.25" customHeight="1">
      <c r="J14" s="300"/>
      <c r="K14" s="300"/>
      <c r="L14" s="7559" t="s">
        <v>474</v>
      </c>
      <c r="M14" s="7559"/>
      <c r="N14" s="7559"/>
      <c r="O14" s="7559"/>
      <c r="P14" s="7559"/>
      <c r="Q14" s="7559"/>
      <c r="R14" s="7559"/>
      <c r="S14" s="7559"/>
      <c r="T14" s="7559"/>
      <c r="U14" s="7559"/>
      <c r="V14" s="7559"/>
      <c r="W14" s="7559"/>
      <c r="X14" s="7559" t="s">
        <v>475</v>
      </c>
    </row>
    <row r="15" spans="1:29" ht="14.25" customHeight="1">
      <c r="J15" s="300"/>
      <c r="K15" s="300"/>
      <c r="L15" s="7697" t="s">
        <v>86</v>
      </c>
      <c r="M15" s="7649" t="s">
        <v>602</v>
      </c>
      <c r="N15" s="215"/>
      <c r="O15" s="7698" t="s">
        <v>2438</v>
      </c>
      <c r="P15" s="7699"/>
      <c r="Q15" s="7699"/>
      <c r="R15" s="7699"/>
      <c r="S15" s="7699"/>
      <c r="T15" s="7699"/>
      <c r="U15" s="7700"/>
      <c r="V15" s="7701" t="s">
        <v>604</v>
      </c>
      <c r="W15" s="7704" t="s">
        <v>1372</v>
      </c>
      <c r="X15" s="7559"/>
    </row>
    <row r="16" spans="1:29" ht="33.75" customHeight="1">
      <c r="J16" s="300"/>
      <c r="K16" s="300"/>
      <c r="L16" s="7697"/>
      <c r="M16" s="7649"/>
      <c r="N16" s="942"/>
      <c r="O16" s="7619" t="s">
        <v>607</v>
      </c>
      <c r="P16" s="7619" t="s">
        <v>608</v>
      </c>
      <c r="Q16" s="7530" t="s">
        <v>609</v>
      </c>
      <c r="R16" s="7529"/>
      <c r="S16" s="7530" t="s">
        <v>622</v>
      </c>
      <c r="T16" s="7536"/>
      <c r="U16" s="7529"/>
      <c r="V16" s="7702"/>
      <c r="W16" s="7705"/>
      <c r="X16" s="7559"/>
    </row>
    <row r="17" spans="1:29" ht="33.75" customHeight="1">
      <c r="A17" s="1291" t="s">
        <v>248</v>
      </c>
      <c r="B17" s="1291" t="s">
        <v>249</v>
      </c>
      <c r="C17" s="1291" t="s">
        <v>250</v>
      </c>
      <c r="D17" s="1291" t="s">
        <v>251</v>
      </c>
      <c r="E17" s="1291"/>
      <c r="J17" s="300"/>
      <c r="K17" s="300"/>
      <c r="L17" s="7697"/>
      <c r="M17" s="7649"/>
      <c r="N17" s="216"/>
      <c r="O17" s="7668"/>
      <c r="P17" s="7668"/>
      <c r="Q17" s="1133" t="s">
        <v>618</v>
      </c>
      <c r="R17" s="1133" t="s">
        <v>619</v>
      </c>
      <c r="S17" s="1216" t="s">
        <v>620</v>
      </c>
      <c r="T17" s="7657" t="s">
        <v>621</v>
      </c>
      <c r="U17" s="7659"/>
      <c r="V17" s="7703"/>
      <c r="W17" s="7706"/>
      <c r="X17" s="7559"/>
    </row>
    <row r="18" spans="1:29" s="1561" customFormat="1" ht="11.25" customHeight="1">
      <c r="A18" s="1291"/>
      <c r="B18" s="1291"/>
      <c r="C18" s="1291"/>
      <c r="D18" s="1291"/>
      <c r="E18" s="1291"/>
      <c r="F18" s="1283"/>
      <c r="G18" s="1283"/>
      <c r="H18" s="1283"/>
      <c r="I18" s="1160"/>
      <c r="J18" s="1161"/>
      <c r="K18" s="1176">
        <v>1</v>
      </c>
      <c r="L18" s="1202" t="s">
        <v>97</v>
      </c>
      <c r="M18" s="1177" t="s">
        <v>100</v>
      </c>
      <c r="N18" s="1159" t="str">
        <f ca="1">OFFSET(N18,0,-1)</f>
        <v>2</v>
      </c>
      <c r="O18" s="1213">
        <f ca="1">OFFSET(O18,0,-1)+1</f>
        <v>3</v>
      </c>
      <c r="P18" s="1213"/>
      <c r="Q18" s="1213">
        <f ca="1">OFFSET(Q18,0,-1)+1</f>
        <v>1</v>
      </c>
      <c r="R18" s="1213">
        <f ca="1">OFFSET(R18,0,-1)+1</f>
        <v>2</v>
      </c>
      <c r="S18" s="1213">
        <f ca="1">OFFSET(S18,0,-1)+1</f>
        <v>3</v>
      </c>
      <c r="T18" s="7696">
        <f ca="1">OFFSET(T18,0,-1)+1</f>
        <v>4</v>
      </c>
      <c r="U18" s="7696"/>
      <c r="V18" s="1213">
        <f ca="1">OFFSET(V18,0,-2)+1</f>
        <v>5</v>
      </c>
      <c r="W18" s="1159">
        <f ca="1">OFFSET(W18,0,-1)</f>
        <v>5</v>
      </c>
      <c r="X18" s="1213">
        <f ca="1">OFFSET(X18,0,-1)+1</f>
        <v>6</v>
      </c>
      <c r="Y18" s="435"/>
      <c r="Z18" s="435"/>
      <c r="AA18" s="435"/>
      <c r="AB18" s="435"/>
      <c r="AC18" s="435"/>
    </row>
    <row r="19" spans="1:29" ht="21" customHeight="1">
      <c r="A19" s="1284" t="s">
        <v>276</v>
      </c>
      <c r="B19" s="1284" t="s">
        <v>277</v>
      </c>
      <c r="C19" s="1284" t="s">
        <v>278</v>
      </c>
      <c r="D19" s="1284" t="s">
        <v>279</v>
      </c>
      <c r="E19" s="1284"/>
      <c r="F19" s="1286"/>
      <c r="G19" s="1286"/>
      <c r="H19" s="1286"/>
      <c r="I19" s="282"/>
      <c r="J19" s="281"/>
      <c r="K19" s="276"/>
      <c r="L19" s="1217">
        <f>INDEX(PT_DIFFERENTIATION_NUM_NTAR,MATCH(A19,PT_DIFFERENTIATION_NTAR_ID,0))</f>
        <v>0</v>
      </c>
      <c r="M19" s="212" t="s">
        <v>237</v>
      </c>
      <c r="N19" s="214"/>
      <c r="O19" s="7944" t="str">
        <f>INDEX(PT_DIFFERENTIATION_NTAR,MATCH(A19,PT_DIFFERENTIATION_NTAR_ID,0))</f>
        <v/>
      </c>
      <c r="P19" s="7944"/>
      <c r="Q19" s="7944"/>
      <c r="R19" s="7944"/>
      <c r="S19" s="7944"/>
      <c r="T19" s="7944"/>
      <c r="U19" s="7944"/>
      <c r="V19" s="7944"/>
      <c r="W19" s="7944"/>
      <c r="X19" s="1182" t="s">
        <v>572</v>
      </c>
      <c r="Z19" s="424"/>
      <c r="AA19" s="424" t="str">
        <f t="shared" ref="AA19:AA32" si="0">IF(M19="","",M19)</f>
        <v>Наименование тарифа</v>
      </c>
      <c r="AB19" s="424"/>
      <c r="AC19" s="424"/>
    </row>
    <row r="20" spans="1:29" ht="21" customHeight="1">
      <c r="A20" s="1284" t="s">
        <v>276</v>
      </c>
      <c r="B20" s="1284" t="s">
        <v>277</v>
      </c>
      <c r="C20" s="1284" t="s">
        <v>278</v>
      </c>
      <c r="D20" s="1284" t="s">
        <v>279</v>
      </c>
      <c r="E20" s="1284"/>
      <c r="F20" s="1286"/>
      <c r="G20" s="1286"/>
      <c r="H20" s="1286"/>
      <c r="I20" s="1214"/>
      <c r="J20" s="273"/>
      <c r="K20" s="274"/>
      <c r="L20" s="1217" t="str">
        <f>INDEX(PT_DIFFERENTIATION_NUM_TER,MATCH(B19,PT_DIFFERENTIATION_TER_ID,0))</f>
        <v>.</v>
      </c>
      <c r="M20" s="224" t="s">
        <v>573</v>
      </c>
      <c r="N20" s="214"/>
      <c r="O20" s="7944" t="str">
        <f>INDEX(PT_DIFFERENTIATION_TER,MATCH(B19,PT_DIFFERENTIATION_TER_ID,0))</f>
        <v/>
      </c>
      <c r="P20" s="7944"/>
      <c r="Q20" s="7944"/>
      <c r="R20" s="7944"/>
      <c r="S20" s="7944"/>
      <c r="T20" s="7944"/>
      <c r="U20" s="7944"/>
      <c r="V20" s="7944"/>
      <c r="W20" s="7944"/>
      <c r="X20" s="1182" t="s">
        <v>574</v>
      </c>
      <c r="Z20" s="424"/>
      <c r="AA20" s="424" t="str">
        <f t="shared" si="0"/>
        <v>Территория действия тарифа</v>
      </c>
      <c r="AB20" s="424"/>
      <c r="AC20" s="424"/>
    </row>
    <row r="21" spans="1:29" ht="22.5" customHeight="1">
      <c r="A21" s="1284" t="s">
        <v>276</v>
      </c>
      <c r="B21" s="1284" t="s">
        <v>277</v>
      </c>
      <c r="C21" s="1284" t="s">
        <v>278</v>
      </c>
      <c r="D21" s="1284" t="s">
        <v>279</v>
      </c>
      <c r="E21" s="1284"/>
      <c r="F21" s="1286"/>
      <c r="G21" s="1286"/>
      <c r="H21" s="1286"/>
      <c r="I21" s="275"/>
      <c r="J21" s="273"/>
      <c r="K21" s="274"/>
      <c r="L21" s="1217" t="str">
        <f>INDEX(PT_DIFFERENTIATION_NUM_CS,MATCH(C19,PT_DIFFERENTIATION_CS_ID,0))</f>
        <v>..</v>
      </c>
      <c r="M21" s="225" t="s">
        <v>575</v>
      </c>
      <c r="N21" s="214"/>
      <c r="O21" s="7944" t="str">
        <f>INDEX(PT_DIFFERENTIATION_CS,MATCH(C19,PT_DIFFERENTIATION_CS_ID,0))</f>
        <v/>
      </c>
      <c r="P21" s="7944"/>
      <c r="Q21" s="7944"/>
      <c r="R21" s="7944"/>
      <c r="S21" s="7944"/>
      <c r="T21" s="7944"/>
      <c r="U21" s="7944"/>
      <c r="V21" s="7944"/>
      <c r="W21" s="7944"/>
      <c r="X21" s="1182" t="s">
        <v>576</v>
      </c>
      <c r="Z21" s="424"/>
      <c r="AA21" s="424" t="str">
        <f t="shared" si="0"/>
        <v xml:space="preserve">Наименование системы теплоснабжения </v>
      </c>
      <c r="AB21" s="424"/>
      <c r="AC21" s="424"/>
    </row>
    <row r="22" spans="1:29" ht="21" customHeight="1">
      <c r="A22" s="1284" t="s">
        <v>276</v>
      </c>
      <c r="B22" s="1284" t="s">
        <v>277</v>
      </c>
      <c r="C22" s="1284" t="s">
        <v>278</v>
      </c>
      <c r="D22" s="1284" t="s">
        <v>279</v>
      </c>
      <c r="E22" s="1284"/>
      <c r="F22" s="1286"/>
      <c r="G22" s="1286"/>
      <c r="H22" s="1286"/>
      <c r="I22" s="275"/>
      <c r="J22" s="273"/>
      <c r="K22" s="274"/>
      <c r="L22" s="1217" t="str">
        <f>INDEX(PT_DIFFERENTIATION_NUM_IST_TE,MATCH(D19,PT_DIFFERENTIATION_IST_TE_ID,0))</f>
        <v>...</v>
      </c>
      <c r="M22" s="226" t="s">
        <v>577</v>
      </c>
      <c r="N22" s="214"/>
      <c r="O22" s="7944" t="str">
        <f>INDEX(PT_DIFFERENTIATION_IST_TE,MATCH(D19,PT_DIFFERENTIATION_IST_TE_ID,0))</f>
        <v/>
      </c>
      <c r="P22" s="7944"/>
      <c r="Q22" s="7944"/>
      <c r="R22" s="7944"/>
      <c r="S22" s="7944"/>
      <c r="T22" s="7944"/>
      <c r="U22" s="7944"/>
      <c r="V22" s="7944"/>
      <c r="W22" s="7944"/>
      <c r="X22" s="1182" t="s">
        <v>578</v>
      </c>
      <c r="Z22" s="424"/>
      <c r="AA22" s="424" t="str">
        <f t="shared" si="0"/>
        <v xml:space="preserve">Источник тепловой энергии  </v>
      </c>
      <c r="AB22" s="424"/>
      <c r="AC22" s="424"/>
    </row>
    <row r="23" spans="1:29" ht="94.5" customHeight="1">
      <c r="A23" s="1284" t="s">
        <v>276</v>
      </c>
      <c r="B23" s="1284" t="s">
        <v>277</v>
      </c>
      <c r="C23" s="1284" t="s">
        <v>278</v>
      </c>
      <c r="D23" s="1284" t="s">
        <v>279</v>
      </c>
      <c r="E23" s="1284"/>
      <c r="F23" s="7534" t="str">
        <f>L22&amp;".1"</f>
        <v>....1</v>
      </c>
      <c r="I23" s="7688">
        <v>1</v>
      </c>
      <c r="J23" s="1215"/>
      <c r="K23" s="277"/>
      <c r="L23" s="1217" t="str">
        <f>$F$23</f>
        <v>....1</v>
      </c>
      <c r="M23" s="200" t="s">
        <v>580</v>
      </c>
      <c r="N23" s="214"/>
      <c r="O23" s="7945"/>
      <c r="P23" s="7945"/>
      <c r="Q23" s="7945"/>
      <c r="R23" s="7945"/>
      <c r="S23" s="7945"/>
      <c r="T23" s="7945"/>
      <c r="U23" s="7945"/>
      <c r="V23" s="7945"/>
      <c r="W23" s="7945"/>
      <c r="X23" s="1182" t="s">
        <v>581</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284" t="s">
        <v>276</v>
      </c>
      <c r="B24" s="1284" t="s">
        <v>277</v>
      </c>
      <c r="C24" s="1284" t="s">
        <v>278</v>
      </c>
      <c r="D24" s="1284" t="s">
        <v>279</v>
      </c>
      <c r="E24" s="1284"/>
      <c r="F24" s="7534"/>
      <c r="G24" s="7534" t="str">
        <f>F23&amp;".1"</f>
        <v>....1.1</v>
      </c>
      <c r="I24" s="7688"/>
      <c r="J24" s="7688">
        <v>1</v>
      </c>
      <c r="K24" s="278"/>
      <c r="L24" s="1217" t="str">
        <f>$G$24</f>
        <v>....1.1</v>
      </c>
      <c r="M24" s="201" t="s">
        <v>583</v>
      </c>
      <c r="N24" s="214"/>
      <c r="O24" s="7946"/>
      <c r="P24" s="7947"/>
      <c r="Q24" s="7947"/>
      <c r="R24" s="7947"/>
      <c r="S24" s="7947"/>
      <c r="T24" s="7947"/>
      <c r="U24" s="7947"/>
      <c r="V24" s="7947"/>
      <c r="W24" s="7948"/>
      <c r="X24" s="1182" t="s">
        <v>584</v>
      </c>
      <c r="Z24" s="424"/>
      <c r="AA24" s="424" t="str">
        <f t="shared" si="0"/>
        <v>Группа потребителей</v>
      </c>
      <c r="AB24" s="424"/>
      <c r="AC24" s="424"/>
    </row>
    <row r="25" spans="1:29" ht="11.25" customHeight="1">
      <c r="A25" s="1284" t="s">
        <v>276</v>
      </c>
      <c r="B25" s="1284" t="s">
        <v>277</v>
      </c>
      <c r="C25" s="1284" t="s">
        <v>278</v>
      </c>
      <c r="D25" s="1284" t="s">
        <v>279</v>
      </c>
      <c r="E25" s="1284"/>
      <c r="F25" s="7534"/>
      <c r="G25" s="7534"/>
      <c r="H25" s="7534" t="str">
        <f>G24&amp;".1"</f>
        <v>....1.1.1</v>
      </c>
      <c r="I25" s="7688"/>
      <c r="J25" s="7688"/>
      <c r="K25" s="278">
        <v>1</v>
      </c>
      <c r="L25" s="1217" t="str">
        <f>$H$25</f>
        <v>....1.1.1</v>
      </c>
      <c r="M25" s="1183"/>
      <c r="N25" s="214"/>
      <c r="O25" s="666"/>
      <c r="P25" s="246"/>
      <c r="Q25" s="666"/>
      <c r="R25" s="1181"/>
      <c r="S25" s="7692"/>
      <c r="T25" s="7540" t="s">
        <v>60</v>
      </c>
      <c r="U25" s="7692"/>
      <c r="V25" s="7540" t="s">
        <v>55</v>
      </c>
      <c r="W25" s="246"/>
      <c r="X25" s="7684" t="s">
        <v>586</v>
      </c>
      <c r="Y25" s="435" t="e">
        <f ca="1">STRCHECKDATE(O26:W26)</f>
        <v>#NAME?</v>
      </c>
      <c r="Z25" s="424"/>
      <c r="AA25" s="424" t="str">
        <f t="shared" si="0"/>
        <v/>
      </c>
      <c r="AB25" s="424"/>
      <c r="AC25" s="424"/>
    </row>
    <row r="26" spans="1:29" ht="11.25" customHeight="1">
      <c r="A26" s="1284" t="s">
        <v>276</v>
      </c>
      <c r="B26" s="1284" t="s">
        <v>277</v>
      </c>
      <c r="C26" s="1284" t="s">
        <v>278</v>
      </c>
      <c r="D26" s="1284" t="s">
        <v>279</v>
      </c>
      <c r="E26" s="1284"/>
      <c r="F26" s="7534"/>
      <c r="G26" s="7534"/>
      <c r="H26" s="7534"/>
      <c r="I26" s="7688"/>
      <c r="J26" s="7688"/>
      <c r="K26" s="278"/>
      <c r="L26" s="1218"/>
      <c r="M26" s="214"/>
      <c r="N26" s="214"/>
      <c r="O26" s="246"/>
      <c r="P26" s="246"/>
      <c r="Q26" s="246"/>
      <c r="R26" s="250" t="str">
        <f>S25&amp;"-"&amp;U25</f>
        <v>-</v>
      </c>
      <c r="S26" s="7693"/>
      <c r="T26" s="7540"/>
      <c r="U26" s="7693"/>
      <c r="V26" s="7540"/>
      <c r="W26" s="246"/>
      <c r="X26" s="7685"/>
      <c r="Z26" s="424"/>
      <c r="AA26" s="424" t="str">
        <f t="shared" si="0"/>
        <v/>
      </c>
      <c r="AB26" s="424"/>
      <c r="AC26" s="424"/>
    </row>
    <row r="27" spans="1:29" ht="15" customHeight="1">
      <c r="A27" s="1284" t="s">
        <v>276</v>
      </c>
      <c r="B27" s="1284" t="s">
        <v>277</v>
      </c>
      <c r="C27" s="1284" t="s">
        <v>278</v>
      </c>
      <c r="D27" s="1284" t="s">
        <v>279</v>
      </c>
      <c r="E27" s="1284"/>
      <c r="F27" s="7534"/>
      <c r="G27" s="7534"/>
      <c r="I27" s="7688"/>
      <c r="J27" s="7688"/>
      <c r="K27" s="277"/>
      <c r="L27" s="1203"/>
      <c r="M27" s="203" t="s">
        <v>587</v>
      </c>
      <c r="N27" s="291"/>
      <c r="O27" s="291"/>
      <c r="P27" s="291"/>
      <c r="Q27" s="291"/>
      <c r="R27" s="291"/>
      <c r="S27" s="291"/>
      <c r="T27" s="291"/>
      <c r="U27" s="291"/>
      <c r="V27" s="291"/>
      <c r="W27" s="245"/>
      <c r="X27" s="7686"/>
      <c r="Z27" s="424"/>
      <c r="AA27" s="424" t="str">
        <f t="shared" si="0"/>
        <v>Добавить вид теплоносителя (параметры теплоносителя)</v>
      </c>
      <c r="AB27" s="424"/>
      <c r="AC27" s="424"/>
    </row>
    <row r="28" spans="1:29" ht="15" customHeight="1">
      <c r="A28" s="1284" t="s">
        <v>276</v>
      </c>
      <c r="B28" s="1284" t="s">
        <v>277</v>
      </c>
      <c r="C28" s="1284" t="s">
        <v>278</v>
      </c>
      <c r="D28" s="1284" t="s">
        <v>279</v>
      </c>
      <c r="E28" s="1284"/>
      <c r="F28" s="7534"/>
      <c r="I28" s="7688"/>
      <c r="J28" s="1215"/>
      <c r="K28" s="277"/>
      <c r="L28" s="1203"/>
      <c r="M28" s="202" t="s">
        <v>588</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284" t="s">
        <v>276</v>
      </c>
      <c r="B29" s="1284" t="s">
        <v>277</v>
      </c>
      <c r="C29" s="1284" t="s">
        <v>278</v>
      </c>
      <c r="D29" s="1284" t="s">
        <v>279</v>
      </c>
      <c r="E29" s="1284"/>
      <c r="F29" s="1286"/>
      <c r="G29" s="1286"/>
      <c r="H29" s="460"/>
      <c r="I29" s="281"/>
      <c r="J29" s="299"/>
      <c r="K29" s="276"/>
      <c r="L29" s="1203"/>
      <c r="M29" s="288" t="s">
        <v>589</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284" t="s">
        <v>276</v>
      </c>
      <c r="B30" s="1284" t="s">
        <v>277</v>
      </c>
      <c r="C30" s="1284" t="s">
        <v>278</v>
      </c>
      <c r="D30" s="1284"/>
      <c r="E30" s="1284" t="s">
        <v>755</v>
      </c>
      <c r="F30" s="1286"/>
      <c r="G30" s="1286"/>
      <c r="H30" s="460"/>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284" t="s">
        <v>276</v>
      </c>
      <c r="B31" s="1284" t="s">
        <v>277</v>
      </c>
      <c r="C31" s="1284"/>
      <c r="D31" s="1284"/>
      <c r="E31" s="1284" t="s">
        <v>2439</v>
      </c>
      <c r="F31" s="1432"/>
      <c r="G31" s="1432"/>
      <c r="H31" s="460"/>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284" t="s">
        <v>2440</v>
      </c>
      <c r="B32" s="1284"/>
      <c r="C32" s="1284"/>
      <c r="D32" s="1284"/>
      <c r="E32" s="1284" t="s">
        <v>222</v>
      </c>
      <c r="F32" s="1432"/>
      <c r="G32" s="1432"/>
      <c r="H32" s="460"/>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27" customFormat="1" ht="11.25" customHeight="1">
      <c r="A33" s="1284"/>
      <c r="B33" s="1284"/>
      <c r="C33" s="1284"/>
      <c r="D33" s="1284"/>
      <c r="E33" s="1284" t="s">
        <v>402</v>
      </c>
      <c r="F33" s="1433"/>
      <c r="G33" s="1434"/>
      <c r="H33" s="460"/>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5"/>
      <c r="G34" s="1065"/>
      <c r="H34" s="460"/>
      <c r="I34" s="1060"/>
      <c r="J34" s="1060"/>
      <c r="K34" s="1060"/>
      <c r="Y34" s="1060"/>
      <c r="Z34" s="1060"/>
      <c r="AA34" s="1060"/>
      <c r="AB34" s="1060"/>
      <c r="AC34" s="1060"/>
    </row>
    <row r="35" spans="1:29" ht="27" customHeight="1">
      <c r="H35" s="460"/>
      <c r="L35" s="1212" t="s">
        <v>887</v>
      </c>
      <c r="M35" s="7709" t="s">
        <v>2441</v>
      </c>
      <c r="N35" s="7709"/>
      <c r="O35" s="7709"/>
      <c r="P35" s="7709"/>
      <c r="Q35" s="7709"/>
      <c r="R35" s="7709"/>
      <c r="S35" s="7709"/>
      <c r="T35" s="7709"/>
      <c r="U35" s="7709"/>
      <c r="V35" s="7709"/>
      <c r="W35" s="7709"/>
      <c r="X35" s="7709"/>
    </row>
    <row r="36" spans="1:29" ht="104.25" customHeight="1">
      <c r="H36" s="460"/>
      <c r="I36" s="1227"/>
      <c r="M36" s="7709" t="s">
        <v>2442</v>
      </c>
      <c r="N36" s="7709"/>
      <c r="O36" s="7709"/>
      <c r="P36" s="7709"/>
      <c r="Q36" s="7709"/>
      <c r="R36" s="7709"/>
      <c r="S36" s="7709"/>
      <c r="T36" s="7709"/>
      <c r="U36" s="7709"/>
      <c r="V36" s="7709"/>
      <c r="W36" s="7709"/>
      <c r="X36" s="7709"/>
    </row>
    <row r="37" spans="1:29" ht="14.25" customHeight="1">
      <c r="H37" s="460"/>
    </row>
    <row r="38" spans="1:29" ht="14.25" customHeight="1">
      <c r="H38" s="460"/>
    </row>
    <row r="39" spans="1:29" ht="14.25" customHeight="1">
      <c r="H39" s="460"/>
    </row>
    <row r="40" spans="1:29" ht="14.25" customHeight="1">
      <c r="H40" s="460"/>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5" customWidth="1"/>
    <col min="2" max="2" width="10.7109375" style="1555" customWidth="1"/>
    <col min="3" max="3" width="10" style="1555" customWidth="1"/>
    <col min="4" max="4" width="12.85546875" style="1555" customWidth="1"/>
    <col min="5" max="5" width="12.28515625" style="1555" customWidth="1"/>
    <col min="6" max="8" width="12.28515625" style="1817" customWidth="1"/>
    <col min="9" max="9" width="3.7109375" style="1817" customWidth="1"/>
    <col min="10" max="11" width="3.7109375" style="265" customWidth="1"/>
    <col min="12" max="12" width="12.7109375" style="1820"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6:29" ht="14.25" hidden="1" customHeight="1">
      <c r="R1" s="249"/>
      <c r="S1" s="249"/>
    </row>
    <row r="2" spans="6:29" ht="14.25" hidden="1" customHeight="1">
      <c r="V2" s="249"/>
    </row>
    <row r="3" spans="6:29" ht="14.25" hidden="1" customHeight="1"/>
    <row r="4" spans="6:29" ht="14.25" customHeight="1">
      <c r="J4" s="300"/>
      <c r="K4" s="300"/>
      <c r="L4" s="1200"/>
      <c r="M4" s="286"/>
      <c r="N4" s="286"/>
      <c r="O4" s="433"/>
      <c r="P4" s="433"/>
      <c r="Q4" s="433"/>
      <c r="R4" s="433"/>
      <c r="S4" s="433"/>
      <c r="T4" s="433"/>
      <c r="U4" s="433"/>
      <c r="V4" s="433"/>
    </row>
    <row r="5" spans="6:29" ht="64.5" customHeight="1">
      <c r="J5" s="300"/>
      <c r="K5" s="300"/>
      <c r="L5" s="7941" t="s">
        <v>2437</v>
      </c>
      <c r="M5" s="7941"/>
      <c r="N5" s="7941"/>
      <c r="O5" s="7941"/>
      <c r="P5" s="7941"/>
      <c r="Q5" s="7941"/>
      <c r="R5" s="7941"/>
      <c r="S5" s="7941"/>
      <c r="T5" s="7941"/>
      <c r="U5" s="7941"/>
      <c r="V5" s="1157"/>
    </row>
    <row r="6" spans="6:29" ht="14.25" customHeight="1">
      <c r="J6" s="300"/>
      <c r="K6" s="300"/>
      <c r="L6" s="7942" t="str">
        <f>IF(org=0,"Не определено",org)</f>
        <v>ГУП СК "Ставрополькрайводоканал"</v>
      </c>
      <c r="M6" s="7942"/>
      <c r="N6" s="7942"/>
      <c r="O6" s="7942"/>
      <c r="P6" s="7942"/>
      <c r="Q6" s="7942"/>
      <c r="R6" s="7942"/>
      <c r="S6" s="7942"/>
      <c r="T6" s="7942"/>
      <c r="U6" s="7942"/>
      <c r="V6" s="1157"/>
    </row>
    <row r="7" spans="6:29" ht="14.25" customHeight="1">
      <c r="J7" s="300"/>
      <c r="K7" s="300"/>
      <c r="L7" s="1200"/>
      <c r="M7" s="286"/>
      <c r="N7" s="286"/>
      <c r="O7" s="242"/>
      <c r="P7" s="242"/>
      <c r="Q7" s="242"/>
      <c r="R7" s="242"/>
      <c r="S7" s="242"/>
      <c r="T7" s="242"/>
      <c r="U7" s="242"/>
      <c r="V7" s="242"/>
      <c r="W7" s="433"/>
    </row>
    <row r="8" spans="6:29" s="1771" customFormat="1" ht="45" customHeight="1">
      <c r="F8" s="1163"/>
      <c r="G8" s="1163"/>
      <c r="H8" s="1163"/>
      <c r="L8" s="1201"/>
      <c r="M8" s="209" t="s">
        <v>38</v>
      </c>
      <c r="N8" s="218"/>
      <c r="O8" s="7682" t="str">
        <f>IF(TITLE_NAME_OR_PR_CHANGE="",IF(TITLE_NAME_OR_PR="","",TITLE_NAME_OR_PR),TITLE_NAME_OR_PR_CHANGE)</f>
        <v>Региональная тарифная комиссия Ставропольского края</v>
      </c>
      <c r="P8" s="7682"/>
      <c r="Q8" s="7682"/>
      <c r="R8" s="7682"/>
      <c r="S8" s="7682"/>
      <c r="T8" s="7682"/>
      <c r="U8" s="7682"/>
      <c r="V8" s="248"/>
      <c r="W8" s="248"/>
      <c r="X8" s="196"/>
      <c r="Y8" s="292"/>
      <c r="Z8" s="292"/>
      <c r="AA8" s="292"/>
      <c r="AB8" s="292"/>
      <c r="AC8" s="292"/>
    </row>
    <row r="9" spans="6:29" s="1771" customFormat="1" ht="22.5" customHeight="1">
      <c r="F9" s="1163"/>
      <c r="G9" s="1163"/>
      <c r="H9" s="1163"/>
      <c r="L9" s="1201"/>
      <c r="M9" s="209" t="s">
        <v>597</v>
      </c>
      <c r="N9" s="218"/>
      <c r="O9" s="7682">
        <f>IF(TITLE_DATE_CHANGE_PERIOD="",IF(TITLE_DATE_PR="","",TITLE_DATE_PR),TITLE_DATE_CHANGE_PERIOD)</f>
        <v>45278</v>
      </c>
      <c r="P9" s="7682"/>
      <c r="Q9" s="7682"/>
      <c r="R9" s="7682"/>
      <c r="S9" s="7682"/>
      <c r="T9" s="7682"/>
      <c r="U9" s="7682"/>
      <c r="V9" s="248"/>
      <c r="W9" s="248"/>
      <c r="X9" s="196"/>
      <c r="Y9" s="292"/>
      <c r="Z9" s="292"/>
      <c r="AA9" s="292"/>
      <c r="AB9" s="292"/>
      <c r="AC9" s="292"/>
    </row>
    <row r="10" spans="6:29" s="1771" customFormat="1" ht="22.5" customHeight="1">
      <c r="F10" s="1163"/>
      <c r="G10" s="1163"/>
      <c r="H10" s="1163"/>
      <c r="L10" s="1165"/>
      <c r="M10" s="209" t="s">
        <v>598</v>
      </c>
      <c r="N10" s="218"/>
      <c r="O10" s="7682" t="str">
        <f>IF(TITLE_NUMBER_PR_CHANGE="",IF(TITLE_NUMBER_PR="","",TITLE_NUMBER_PR),TITLE_NUMBER_PR_CHANGE)</f>
        <v>79/2</v>
      </c>
      <c r="P10" s="7682"/>
      <c r="Q10" s="7682"/>
      <c r="R10" s="7682"/>
      <c r="S10" s="7682"/>
      <c r="T10" s="7682"/>
      <c r="U10" s="7682"/>
      <c r="V10" s="248"/>
      <c r="W10" s="248"/>
      <c r="X10" s="196"/>
      <c r="Y10" s="292"/>
      <c r="Z10" s="292"/>
      <c r="AA10" s="292"/>
      <c r="AB10" s="292"/>
      <c r="AC10" s="292"/>
    </row>
    <row r="11" spans="6:29" s="1771" customFormat="1" ht="22.5" customHeight="1">
      <c r="F11" s="1163"/>
      <c r="G11" s="1163"/>
      <c r="H11" s="1163"/>
      <c r="L11" s="1165"/>
      <c r="M11" s="209" t="s">
        <v>40</v>
      </c>
      <c r="N11" s="218"/>
      <c r="O11" s="7682" t="str">
        <f>IF(TITLE_IST_PUB_CHANGE="",IF(TITLE_IST_PUB="","",TITLE_IST_PUB),TITLE_IST_PUB_CHANGE)</f>
        <v>http://pravo.stavregion.ru/</v>
      </c>
      <c r="P11" s="7682"/>
      <c r="Q11" s="7682"/>
      <c r="R11" s="7682"/>
      <c r="S11" s="7682"/>
      <c r="T11" s="7682"/>
      <c r="U11" s="7682"/>
      <c r="V11" s="248"/>
      <c r="W11" s="248"/>
      <c r="X11" s="196"/>
      <c r="Y11" s="292"/>
      <c r="Z11" s="292"/>
      <c r="AA11" s="292"/>
      <c r="AB11" s="292"/>
      <c r="AC11" s="292"/>
    </row>
    <row r="12" spans="6:29" s="1771" customFormat="1" ht="11.25" hidden="1" customHeight="1">
      <c r="F12" s="1163"/>
      <c r="G12" s="1163"/>
      <c r="H12" s="1163"/>
      <c r="L12" s="7943"/>
      <c r="M12" s="7943"/>
      <c r="N12" s="1211"/>
      <c r="O12" s="248"/>
      <c r="P12" s="248"/>
      <c r="Q12" s="248"/>
      <c r="R12" s="248"/>
      <c r="S12" s="248"/>
      <c r="T12" s="248"/>
      <c r="U12" s="248"/>
      <c r="V12" s="194" t="s">
        <v>601</v>
      </c>
      <c r="Y12" s="292"/>
      <c r="Z12" s="292"/>
      <c r="AA12" s="292"/>
      <c r="AB12" s="292"/>
      <c r="AC12" s="292"/>
    </row>
    <row r="13" spans="6:29" ht="14.25" customHeight="1">
      <c r="J13" s="300"/>
      <c r="K13" s="300"/>
      <c r="L13" s="1200"/>
      <c r="M13" s="286"/>
      <c r="N13" s="1158"/>
      <c r="O13" s="7683"/>
      <c r="P13" s="7683"/>
      <c r="Q13" s="7683"/>
      <c r="R13" s="7683"/>
      <c r="S13" s="7683"/>
      <c r="T13" s="7683"/>
      <c r="U13" s="7683"/>
      <c r="V13" s="7683"/>
    </row>
    <row r="14" spans="6:29" ht="14.25" customHeight="1">
      <c r="J14" s="300"/>
      <c r="K14" s="300"/>
      <c r="L14" s="7559" t="s">
        <v>474</v>
      </c>
      <c r="M14" s="7559"/>
      <c r="N14" s="7559"/>
      <c r="O14" s="7559"/>
      <c r="P14" s="7559"/>
      <c r="Q14" s="7559"/>
      <c r="R14" s="7559"/>
      <c r="S14" s="7559"/>
      <c r="T14" s="7559"/>
      <c r="U14" s="7559"/>
      <c r="V14" s="7559"/>
      <c r="W14" s="7559"/>
      <c r="X14" s="7559" t="s">
        <v>475</v>
      </c>
    </row>
    <row r="15" spans="6:29" ht="14.25" customHeight="1">
      <c r="J15" s="300"/>
      <c r="K15" s="300"/>
      <c r="L15" s="7697" t="s">
        <v>86</v>
      </c>
      <c r="M15" s="7649" t="s">
        <v>602</v>
      </c>
      <c r="N15" s="215"/>
      <c r="O15" s="7698" t="s">
        <v>2438</v>
      </c>
      <c r="P15" s="7699"/>
      <c r="Q15" s="7699"/>
      <c r="R15" s="7699"/>
      <c r="S15" s="7699"/>
      <c r="T15" s="7699"/>
      <c r="U15" s="7700"/>
      <c r="V15" s="7701" t="s">
        <v>604</v>
      </c>
      <c r="W15" s="7704" t="s">
        <v>1372</v>
      </c>
      <c r="X15" s="7559"/>
    </row>
    <row r="16" spans="6:29" ht="33.75" customHeight="1">
      <c r="J16" s="300"/>
      <c r="K16" s="300"/>
      <c r="L16" s="7697"/>
      <c r="M16" s="7649"/>
      <c r="N16" s="942"/>
      <c r="O16" s="7619" t="s">
        <v>607</v>
      </c>
      <c r="P16" s="7619" t="s">
        <v>608</v>
      </c>
      <c r="Q16" s="7530" t="s">
        <v>609</v>
      </c>
      <c r="R16" s="7529"/>
      <c r="S16" s="7530" t="s">
        <v>622</v>
      </c>
      <c r="T16" s="7536"/>
      <c r="U16" s="7529"/>
      <c r="V16" s="7702"/>
      <c r="W16" s="7705"/>
      <c r="X16" s="7559"/>
    </row>
    <row r="17" spans="1:29" ht="33.75" customHeight="1">
      <c r="A17" s="1184" t="s">
        <v>248</v>
      </c>
      <c r="B17" s="1184" t="s">
        <v>249</v>
      </c>
      <c r="C17" s="1184" t="s">
        <v>250</v>
      </c>
      <c r="D17" s="1184" t="s">
        <v>251</v>
      </c>
      <c r="E17" s="1184"/>
      <c r="J17" s="300"/>
      <c r="K17" s="300"/>
      <c r="L17" s="7697"/>
      <c r="M17" s="7649"/>
      <c r="N17" s="216"/>
      <c r="O17" s="7668"/>
      <c r="P17" s="7668"/>
      <c r="Q17" s="1133" t="s">
        <v>618</v>
      </c>
      <c r="R17" s="1133" t="s">
        <v>619</v>
      </c>
      <c r="S17" s="1216" t="s">
        <v>620</v>
      </c>
      <c r="T17" s="7657" t="s">
        <v>621</v>
      </c>
      <c r="U17" s="7659"/>
      <c r="V17" s="7703"/>
      <c r="W17" s="7706"/>
      <c r="X17" s="7559"/>
    </row>
    <row r="18" spans="1:29" s="1561" customFormat="1" ht="11.25" customHeight="1">
      <c r="A18" s="1184"/>
      <c r="B18" s="1184"/>
      <c r="C18" s="1184"/>
      <c r="D18" s="1184"/>
      <c r="E18" s="1184"/>
      <c r="F18" s="1210"/>
      <c r="G18" s="1210"/>
      <c r="H18" s="1210"/>
      <c r="I18" s="1160"/>
      <c r="J18" s="1161"/>
      <c r="K18" s="1176">
        <v>1</v>
      </c>
      <c r="L18" s="1202" t="s">
        <v>97</v>
      </c>
      <c r="M18" s="1177" t="s">
        <v>100</v>
      </c>
      <c r="N18" s="1159" t="str">
        <f ca="1">OFFSET(N18,0,-1)</f>
        <v>2</v>
      </c>
      <c r="O18" s="1213">
        <f ca="1">OFFSET(O18,0,-1)+1</f>
        <v>3</v>
      </c>
      <c r="P18" s="1213"/>
      <c r="Q18" s="1213">
        <f ca="1">OFFSET(Q18,0,-1)+1</f>
        <v>1</v>
      </c>
      <c r="R18" s="1213">
        <f ca="1">OFFSET(R18,0,-1)+1</f>
        <v>2</v>
      </c>
      <c r="S18" s="1213">
        <f ca="1">OFFSET(S18,0,-1)+1</f>
        <v>3</v>
      </c>
      <c r="T18" s="7696">
        <f ca="1">OFFSET(T18,0,-1)+1</f>
        <v>4</v>
      </c>
      <c r="U18" s="7696"/>
      <c r="V18" s="1213">
        <f ca="1">OFFSET(V18,0,-2)+1</f>
        <v>5</v>
      </c>
      <c r="W18" s="1159">
        <f ca="1">OFFSET(W18,0,-1)</f>
        <v>5</v>
      </c>
      <c r="X18" s="1213">
        <f ca="1">OFFSET(X18,0,-1)+1</f>
        <v>6</v>
      </c>
      <c r="Y18" s="435"/>
      <c r="Z18" s="435"/>
      <c r="AA18" s="435"/>
      <c r="AB18" s="435"/>
      <c r="AC18" s="435"/>
    </row>
    <row r="19" spans="1:29" ht="21" customHeight="1">
      <c r="A19" s="1191" t="s">
        <v>2443</v>
      </c>
      <c r="B19" s="1191" t="s">
        <v>2444</v>
      </c>
      <c r="C19" s="1191" t="s">
        <v>2445</v>
      </c>
      <c r="D19" s="1191" t="s">
        <v>2446</v>
      </c>
      <c r="E19" s="1191"/>
      <c r="F19" s="606"/>
      <c r="G19" s="606"/>
      <c r="H19" s="606"/>
      <c r="I19" s="282"/>
      <c r="J19" s="281"/>
      <c r="K19" s="276"/>
      <c r="L19" s="1217" t="e">
        <f>INDEX(PT_DIFFERENTIATION_NUM_NTAR,MATCH(A19,PT_DIFFERENTIATION_NTAR_ID,0))</f>
        <v>#N/A</v>
      </c>
      <c r="M19" s="212" t="s">
        <v>237</v>
      </c>
      <c r="N19" s="214"/>
      <c r="O19" s="7944" t="e">
        <f>INDEX(PT_DIFFERENTIATION_NTAR,MATCH(A19,PT_DIFFERENTIATION_NTAR_ID,0))</f>
        <v>#N/A</v>
      </c>
      <c r="P19" s="7944"/>
      <c r="Q19" s="7944"/>
      <c r="R19" s="7944"/>
      <c r="S19" s="7944"/>
      <c r="T19" s="7944"/>
      <c r="U19" s="7944"/>
      <c r="V19" s="7944"/>
      <c r="W19" s="7944"/>
      <c r="X19" s="1182" t="s">
        <v>572</v>
      </c>
      <c r="Z19" s="424"/>
      <c r="AA19" s="424" t="str">
        <f t="shared" ref="AA19:AA32" si="0">IF(M19="","",M19)</f>
        <v>Наименование тарифа</v>
      </c>
      <c r="AB19" s="424"/>
      <c r="AC19" s="424"/>
    </row>
    <row r="20" spans="1:29" ht="21" customHeight="1">
      <c r="A20" s="1191" t="s">
        <v>2443</v>
      </c>
      <c r="B20" s="1191" t="s">
        <v>2444</v>
      </c>
      <c r="C20" s="1191" t="s">
        <v>2445</v>
      </c>
      <c r="D20" s="1191" t="s">
        <v>2446</v>
      </c>
      <c r="E20" s="1191"/>
      <c r="F20" s="606"/>
      <c r="G20" s="606"/>
      <c r="H20" s="606"/>
      <c r="I20" s="1214"/>
      <c r="J20" s="273"/>
      <c r="K20" s="274"/>
      <c r="L20" s="1217" t="e">
        <f>INDEX(PT_DIFFERENTIATION_NUM_TER,MATCH(B19,PT_DIFFERENTIATION_TER_ID,0))</f>
        <v>#N/A</v>
      </c>
      <c r="M20" s="224" t="s">
        <v>573</v>
      </c>
      <c r="N20" s="214"/>
      <c r="O20" s="7944" t="e">
        <f>INDEX(PT_DIFFERENTIATION_TER,MATCH(B19,PT_DIFFERENTIATION_TER_ID,0))</f>
        <v>#N/A</v>
      </c>
      <c r="P20" s="7944"/>
      <c r="Q20" s="7944"/>
      <c r="R20" s="7944"/>
      <c r="S20" s="7944"/>
      <c r="T20" s="7944"/>
      <c r="U20" s="7944"/>
      <c r="V20" s="7944"/>
      <c r="W20" s="7944"/>
      <c r="X20" s="1182" t="s">
        <v>574</v>
      </c>
      <c r="Z20" s="424"/>
      <c r="AA20" s="424" t="str">
        <f t="shared" si="0"/>
        <v>Территория действия тарифа</v>
      </c>
      <c r="AB20" s="424"/>
      <c r="AC20" s="424"/>
    </row>
    <row r="21" spans="1:29" ht="22.5" customHeight="1">
      <c r="A21" s="1191" t="s">
        <v>2443</v>
      </c>
      <c r="B21" s="1191" t="s">
        <v>2444</v>
      </c>
      <c r="C21" s="1191" t="s">
        <v>2445</v>
      </c>
      <c r="D21" s="1191" t="s">
        <v>2446</v>
      </c>
      <c r="E21" s="1191"/>
      <c r="F21" s="606"/>
      <c r="G21" s="606"/>
      <c r="H21" s="606"/>
      <c r="I21" s="275"/>
      <c r="J21" s="273"/>
      <c r="K21" s="274"/>
      <c r="L21" s="1217" t="e">
        <f>INDEX(PT_DIFFERENTIATION_NUM_CS,MATCH(C19,PT_DIFFERENTIATION_CS_ID,0))</f>
        <v>#N/A</v>
      </c>
      <c r="M21" s="225" t="s">
        <v>575</v>
      </c>
      <c r="N21" s="214"/>
      <c r="O21" s="7944" t="e">
        <f>INDEX(PT_DIFFERENTIATION_CS,MATCH(C19,PT_DIFFERENTIATION_CS_ID,0))</f>
        <v>#N/A</v>
      </c>
      <c r="P21" s="7944"/>
      <c r="Q21" s="7944"/>
      <c r="R21" s="7944"/>
      <c r="S21" s="7944"/>
      <c r="T21" s="7944"/>
      <c r="U21" s="7944"/>
      <c r="V21" s="7944"/>
      <c r="W21" s="7944"/>
      <c r="X21" s="1182" t="s">
        <v>576</v>
      </c>
      <c r="Z21" s="424"/>
      <c r="AA21" s="424" t="str">
        <f t="shared" si="0"/>
        <v xml:space="preserve">Наименование системы теплоснабжения </v>
      </c>
      <c r="AB21" s="424"/>
      <c r="AC21" s="424"/>
    </row>
    <row r="22" spans="1:29" ht="21" customHeight="1">
      <c r="A22" s="1191" t="s">
        <v>2443</v>
      </c>
      <c r="B22" s="1191" t="s">
        <v>2444</v>
      </c>
      <c r="C22" s="1191" t="s">
        <v>2445</v>
      </c>
      <c r="D22" s="1191" t="s">
        <v>2446</v>
      </c>
      <c r="E22" s="1191"/>
      <c r="F22" s="606"/>
      <c r="G22" s="606"/>
      <c r="H22" s="606"/>
      <c r="I22" s="275"/>
      <c r="J22" s="273"/>
      <c r="K22" s="274"/>
      <c r="L22" s="1217" t="e">
        <f>INDEX(PT_DIFFERENTIATION_NUM_IST_TE,MATCH(D19,PT_DIFFERENTIATION_IST_TE_ID,0))</f>
        <v>#N/A</v>
      </c>
      <c r="M22" s="226" t="s">
        <v>577</v>
      </c>
      <c r="N22" s="214"/>
      <c r="O22" s="7944" t="e">
        <f>INDEX(PT_DIFFERENTIATION_IST_TE,MATCH(D19,PT_DIFFERENTIATION_IST_TE_ID,0))</f>
        <v>#N/A</v>
      </c>
      <c r="P22" s="7944"/>
      <c r="Q22" s="7944"/>
      <c r="R22" s="7944"/>
      <c r="S22" s="7944"/>
      <c r="T22" s="7944"/>
      <c r="U22" s="7944"/>
      <c r="V22" s="7944"/>
      <c r="W22" s="7944"/>
      <c r="X22" s="1182" t="s">
        <v>578</v>
      </c>
      <c r="Z22" s="424"/>
      <c r="AA22" s="424" t="str">
        <f t="shared" si="0"/>
        <v xml:space="preserve">Источник тепловой энергии  </v>
      </c>
      <c r="AB22" s="424"/>
      <c r="AC22" s="424"/>
    </row>
    <row r="23" spans="1:29" ht="94.5" customHeight="1">
      <c r="A23" s="1191" t="s">
        <v>2443</v>
      </c>
      <c r="B23" s="1191" t="s">
        <v>2444</v>
      </c>
      <c r="C23" s="1191" t="s">
        <v>2445</v>
      </c>
      <c r="D23" s="1191" t="s">
        <v>2446</v>
      </c>
      <c r="E23" s="1191"/>
      <c r="F23" s="7533" t="e">
        <f>L22&amp;".1"</f>
        <v>#N/A</v>
      </c>
      <c r="I23" s="7688">
        <v>1</v>
      </c>
      <c r="J23" s="1215"/>
      <c r="K23" s="277"/>
      <c r="L23" s="1217" t="e">
        <f>$F$23</f>
        <v>#N/A</v>
      </c>
      <c r="M23" s="200" t="s">
        <v>580</v>
      </c>
      <c r="N23" s="214"/>
      <c r="O23" s="7945"/>
      <c r="P23" s="7945"/>
      <c r="Q23" s="7945"/>
      <c r="R23" s="7945"/>
      <c r="S23" s="7945"/>
      <c r="T23" s="7945"/>
      <c r="U23" s="7945"/>
      <c r="V23" s="7945"/>
      <c r="W23" s="7945"/>
      <c r="X23" s="1182" t="s">
        <v>581</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191" t="s">
        <v>2443</v>
      </c>
      <c r="B24" s="1191" t="s">
        <v>2444</v>
      </c>
      <c r="C24" s="1191" t="s">
        <v>2445</v>
      </c>
      <c r="D24" s="1191" t="s">
        <v>2446</v>
      </c>
      <c r="E24" s="1191"/>
      <c r="F24" s="7533"/>
      <c r="G24" s="7533" t="e">
        <f>F23&amp;".1"</f>
        <v>#N/A</v>
      </c>
      <c r="I24" s="7688"/>
      <c r="J24" s="7688">
        <v>1</v>
      </c>
      <c r="K24" s="278"/>
      <c r="L24" s="1217" t="e">
        <f>$G$24</f>
        <v>#N/A</v>
      </c>
      <c r="M24" s="201" t="s">
        <v>583</v>
      </c>
      <c r="N24" s="214"/>
      <c r="O24" s="7946"/>
      <c r="P24" s="7947"/>
      <c r="Q24" s="7947"/>
      <c r="R24" s="7947"/>
      <c r="S24" s="7947"/>
      <c r="T24" s="7947"/>
      <c r="U24" s="7947"/>
      <c r="V24" s="7947"/>
      <c r="W24" s="7948"/>
      <c r="X24" s="1182" t="s">
        <v>584</v>
      </c>
      <c r="Z24" s="424"/>
      <c r="AA24" s="424" t="str">
        <f t="shared" si="0"/>
        <v>Группа потребителей</v>
      </c>
      <c r="AB24" s="424"/>
      <c r="AC24" s="424"/>
    </row>
    <row r="25" spans="1:29" ht="11.25" customHeight="1">
      <c r="A25" s="1191" t="s">
        <v>2443</v>
      </c>
      <c r="B25" s="1191" t="s">
        <v>2444</v>
      </c>
      <c r="C25" s="1191" t="s">
        <v>2445</v>
      </c>
      <c r="D25" s="1191" t="s">
        <v>2446</v>
      </c>
      <c r="E25" s="1191"/>
      <c r="F25" s="7533"/>
      <c r="G25" s="7533"/>
      <c r="H25" s="7533" t="e">
        <f>G24&amp;".1"</f>
        <v>#N/A</v>
      </c>
      <c r="I25" s="7688"/>
      <c r="J25" s="7688"/>
      <c r="K25" s="278">
        <v>1</v>
      </c>
      <c r="L25" s="1217" t="e">
        <f>$H$25</f>
        <v>#N/A</v>
      </c>
      <c r="M25" s="1183"/>
      <c r="N25" s="214"/>
      <c r="O25" s="666"/>
      <c r="P25" s="246"/>
      <c r="Q25" s="666"/>
      <c r="R25" s="1181"/>
      <c r="S25" s="7692"/>
      <c r="T25" s="7540" t="s">
        <v>60</v>
      </c>
      <c r="U25" s="7692"/>
      <c r="V25" s="7540" t="s">
        <v>55</v>
      </c>
      <c r="W25" s="246"/>
      <c r="X25" s="7684" t="s">
        <v>586</v>
      </c>
      <c r="Y25" s="435" t="e">
        <f ca="1">STRCHECKDATE(O26:W26)</f>
        <v>#NAME?</v>
      </c>
      <c r="Z25" s="424"/>
      <c r="AA25" s="424" t="str">
        <f t="shared" si="0"/>
        <v/>
      </c>
      <c r="AB25" s="424"/>
      <c r="AC25" s="424"/>
    </row>
    <row r="26" spans="1:29" ht="11.25" customHeight="1">
      <c r="A26" s="1191" t="s">
        <v>2443</v>
      </c>
      <c r="B26" s="1191" t="s">
        <v>2444</v>
      </c>
      <c r="C26" s="1191" t="s">
        <v>2445</v>
      </c>
      <c r="D26" s="1191" t="s">
        <v>2446</v>
      </c>
      <c r="E26" s="1191"/>
      <c r="F26" s="7533"/>
      <c r="G26" s="7533"/>
      <c r="H26" s="7533"/>
      <c r="I26" s="7688"/>
      <c r="J26" s="7688"/>
      <c r="K26" s="278"/>
      <c r="L26" s="1218"/>
      <c r="M26" s="214"/>
      <c r="N26" s="214"/>
      <c r="O26" s="246"/>
      <c r="P26" s="246"/>
      <c r="Q26" s="246"/>
      <c r="R26" s="250" t="str">
        <f>S25&amp;"-"&amp;U25</f>
        <v>-</v>
      </c>
      <c r="S26" s="7693"/>
      <c r="T26" s="7540"/>
      <c r="U26" s="7693"/>
      <c r="V26" s="7540"/>
      <c r="W26" s="246"/>
      <c r="X26" s="7685"/>
      <c r="Z26" s="424"/>
      <c r="AA26" s="424" t="str">
        <f t="shared" si="0"/>
        <v/>
      </c>
      <c r="AB26" s="424"/>
      <c r="AC26" s="424"/>
    </row>
    <row r="27" spans="1:29" ht="15" customHeight="1">
      <c r="A27" s="1191" t="s">
        <v>2443</v>
      </c>
      <c r="B27" s="1191" t="s">
        <v>2444</v>
      </c>
      <c r="C27" s="1191" t="s">
        <v>2445</v>
      </c>
      <c r="D27" s="1191" t="s">
        <v>2446</v>
      </c>
      <c r="E27" s="1191"/>
      <c r="F27" s="7533"/>
      <c r="G27" s="7533"/>
      <c r="I27" s="7688"/>
      <c r="J27" s="7688"/>
      <c r="K27" s="277"/>
      <c r="L27" s="1203"/>
      <c r="M27" s="203" t="s">
        <v>587</v>
      </c>
      <c r="N27" s="291"/>
      <c r="O27" s="291"/>
      <c r="P27" s="291"/>
      <c r="Q27" s="291"/>
      <c r="R27" s="291"/>
      <c r="S27" s="291"/>
      <c r="T27" s="291"/>
      <c r="U27" s="291"/>
      <c r="V27" s="291"/>
      <c r="W27" s="245"/>
      <c r="X27" s="7686"/>
      <c r="Z27" s="424"/>
      <c r="AA27" s="424" t="str">
        <f t="shared" si="0"/>
        <v>Добавить вид теплоносителя (параметры теплоносителя)</v>
      </c>
      <c r="AB27" s="424"/>
      <c r="AC27" s="424"/>
    </row>
    <row r="28" spans="1:29" ht="15" customHeight="1">
      <c r="A28" s="1191" t="s">
        <v>2443</v>
      </c>
      <c r="B28" s="1191" t="s">
        <v>2444</v>
      </c>
      <c r="C28" s="1191" t="s">
        <v>2445</v>
      </c>
      <c r="D28" s="1191" t="s">
        <v>2446</v>
      </c>
      <c r="E28" s="1191"/>
      <c r="F28" s="7533"/>
      <c r="I28" s="7688"/>
      <c r="J28" s="1215"/>
      <c r="K28" s="277"/>
      <c r="L28" s="1203"/>
      <c r="M28" s="202" t="s">
        <v>588</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191" t="s">
        <v>2443</v>
      </c>
      <c r="B29" s="1191" t="s">
        <v>2444</v>
      </c>
      <c r="C29" s="1191" t="s">
        <v>2445</v>
      </c>
      <c r="D29" s="1191" t="s">
        <v>2446</v>
      </c>
      <c r="E29" s="1191"/>
      <c r="F29" s="606"/>
      <c r="G29" s="606"/>
      <c r="H29" s="433"/>
      <c r="I29" s="281"/>
      <c r="J29" s="299"/>
      <c r="K29" s="276"/>
      <c r="L29" s="1203"/>
      <c r="M29" s="288" t="s">
        <v>589</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191" t="s">
        <v>2443</v>
      </c>
      <c r="B30" s="1191" t="s">
        <v>2444</v>
      </c>
      <c r="C30" s="1191" t="s">
        <v>2445</v>
      </c>
      <c r="D30" s="1191"/>
      <c r="E30" s="1191" t="s">
        <v>755</v>
      </c>
      <c r="F30" s="606"/>
      <c r="G30" s="606"/>
      <c r="H30" s="433"/>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191" t="s">
        <v>2443</v>
      </c>
      <c r="B31" s="1191" t="s">
        <v>2444</v>
      </c>
      <c r="C31" s="1191"/>
      <c r="D31" s="1191"/>
      <c r="E31" s="1191" t="s">
        <v>2439</v>
      </c>
      <c r="F31" s="1179"/>
      <c r="G31" s="1179"/>
      <c r="H31" s="433"/>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191" t="s">
        <v>2447</v>
      </c>
      <c r="B32" s="1191"/>
      <c r="C32" s="1191"/>
      <c r="D32" s="1191"/>
      <c r="E32" s="1191" t="s">
        <v>222</v>
      </c>
      <c r="F32" s="1179"/>
      <c r="G32" s="1179"/>
      <c r="H32" s="433"/>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27" customFormat="1" ht="11.25" customHeight="1">
      <c r="A33" s="1191"/>
      <c r="B33" s="1191"/>
      <c r="C33" s="1191"/>
      <c r="D33" s="1191"/>
      <c r="E33" s="1191" t="s">
        <v>402</v>
      </c>
      <c r="F33" s="1192"/>
      <c r="G33" s="1180"/>
      <c r="H33" s="433"/>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0"/>
      <c r="G34" s="1060"/>
      <c r="H34" s="433"/>
      <c r="I34" s="1060"/>
      <c r="J34" s="1060"/>
      <c r="K34" s="1060"/>
      <c r="Y34" s="1060"/>
      <c r="Z34" s="1060"/>
      <c r="AA34" s="1060"/>
      <c r="AB34" s="1060"/>
      <c r="AC34" s="1060"/>
    </row>
    <row r="35" spans="1:29" ht="27" customHeight="1">
      <c r="H35" s="433"/>
      <c r="L35" s="1212" t="s">
        <v>887</v>
      </c>
      <c r="M35" s="7709" t="s">
        <v>2441</v>
      </c>
      <c r="N35" s="7709"/>
      <c r="O35" s="7709"/>
      <c r="P35" s="7709"/>
      <c r="Q35" s="7709"/>
      <c r="R35" s="7709"/>
      <c r="S35" s="7709"/>
      <c r="T35" s="7709"/>
      <c r="U35" s="7709"/>
      <c r="V35" s="7709"/>
      <c r="W35" s="7709"/>
      <c r="X35" s="7709"/>
    </row>
    <row r="36" spans="1:29" ht="104.25" customHeight="1">
      <c r="F36" s="1227"/>
      <c r="G36" s="1227"/>
      <c r="H36" s="433"/>
      <c r="I36" s="1227"/>
      <c r="M36" s="7709" t="s">
        <v>2442</v>
      </c>
      <c r="N36" s="7709"/>
      <c r="O36" s="7709"/>
      <c r="P36" s="7709"/>
      <c r="Q36" s="7709"/>
      <c r="R36" s="7709"/>
      <c r="S36" s="7709"/>
      <c r="T36" s="7709"/>
      <c r="U36" s="7709"/>
      <c r="V36" s="7709"/>
      <c r="W36" s="7709"/>
      <c r="X36" s="7709"/>
    </row>
    <row r="37" spans="1:29" ht="14.25" customHeight="1">
      <c r="H37" s="433"/>
    </row>
    <row r="38" spans="1:29" ht="14.25" customHeight="1">
      <c r="H38" s="433"/>
    </row>
    <row r="39" spans="1:29" ht="14.25" customHeight="1">
      <c r="H39" s="433"/>
    </row>
    <row r="40" spans="1:29" ht="14.25" customHeight="1">
      <c r="H40" s="43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27" hidden="1"/>
    <col min="3" max="4" width="3.7109375" style="1827" customWidth="1"/>
    <col min="5" max="6" width="16" style="1827" customWidth="1"/>
    <col min="7" max="7" width="11.5703125" style="1827" customWidth="1"/>
    <col min="8" max="9" width="3.7109375" style="1827" customWidth="1"/>
    <col min="10" max="10" width="13.140625" style="1827" customWidth="1"/>
    <col min="11" max="11" width="0.28515625" style="1827" customWidth="1"/>
    <col min="12" max="13" width="10.7109375" style="1827" customWidth="1"/>
    <col min="14" max="15" width="3.7109375" style="1827" customWidth="1"/>
    <col min="16" max="16" width="19.7109375" style="1827" customWidth="1"/>
    <col min="17" max="17" width="0.28515625" style="1827" customWidth="1"/>
    <col min="18" max="19" width="10.7109375" style="1827" customWidth="1"/>
    <col min="20" max="21" width="3.7109375" style="1827" customWidth="1"/>
    <col min="22" max="22" width="25.7109375" style="1827" customWidth="1"/>
    <col min="23" max="23" width="0.28515625" style="1827" customWidth="1"/>
    <col min="24" max="25" width="10.7109375" style="1827" customWidth="1"/>
    <col min="26" max="27" width="3.7109375" style="1827" customWidth="1"/>
    <col min="28" max="28" width="16.42578125" style="1827" customWidth="1"/>
    <col min="29" max="29" width="0.28515625" style="1827" customWidth="1"/>
    <col min="30" max="31" width="10.7109375" style="1827" customWidth="1"/>
    <col min="32" max="33" width="3.7109375" style="1827" customWidth="1"/>
    <col min="34" max="34" width="8.7109375" style="1827" customWidth="1"/>
    <col min="35" max="35" width="21.7109375" style="1827" customWidth="1"/>
    <col min="36" max="36" width="9.140625" style="1827"/>
    <col min="37" max="37" width="9.140625" style="298"/>
    <col min="38" max="64" width="9.140625" style="1827"/>
  </cols>
  <sheetData>
    <row r="1" spans="1:64" s="1239" customFormat="1" ht="11.25" hidden="1" customHeight="1">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row>
    <row r="2" spans="1:64" s="1478" customFormat="1" ht="11.25" hidden="1" customHeight="1">
      <c r="L2" s="1478" t="s">
        <v>453</v>
      </c>
      <c r="M2" s="1478" t="s">
        <v>454</v>
      </c>
      <c r="R2" s="1478" t="s">
        <v>455</v>
      </c>
      <c r="S2" s="1478" t="s">
        <v>454</v>
      </c>
      <c r="X2" s="1478" t="s">
        <v>453</v>
      </c>
      <c r="Y2" s="1478" t="s">
        <v>454</v>
      </c>
      <c r="AD2" s="1478" t="s">
        <v>453</v>
      </c>
      <c r="AE2" s="1478" t="s">
        <v>454</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row>
    <row r="3" spans="1:64" s="1479" customFormat="1" ht="11.25" customHeight="1">
      <c r="AJ3"/>
      <c r="AK3" s="221"/>
      <c r="AL3"/>
      <c r="AM3"/>
      <c r="AN3"/>
      <c r="AO3"/>
      <c r="AP3"/>
      <c r="AQ3"/>
      <c r="AR3"/>
      <c r="AS3"/>
      <c r="AT3"/>
      <c r="AU3"/>
      <c r="AV3"/>
      <c r="AW3"/>
      <c r="AX3"/>
      <c r="AY3"/>
      <c r="AZ3"/>
      <c r="BA3"/>
      <c r="BB3"/>
      <c r="BC3"/>
      <c r="BD3"/>
      <c r="BE3"/>
      <c r="BF3"/>
      <c r="BG3"/>
      <c r="BH3"/>
      <c r="BI3"/>
      <c r="BJ3"/>
      <c r="BK3"/>
      <c r="BL3"/>
    </row>
    <row r="4" spans="1:64" s="1739" customFormat="1" ht="33" customHeight="1">
      <c r="A4" s="1061"/>
      <c r="B4" s="1060"/>
      <c r="C4" s="1430"/>
      <c r="D4" s="7633" t="s">
        <v>456</v>
      </c>
      <c r="E4" s="7633"/>
      <c r="F4" s="7633"/>
      <c r="G4" s="7633"/>
      <c r="H4" s="7633"/>
      <c r="I4" s="7633"/>
      <c r="J4" s="7633"/>
      <c r="K4" s="617"/>
      <c r="T4" s="1480"/>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row>
    <row r="5" spans="1:64" s="1739" customFormat="1" ht="14.25" customHeight="1">
      <c r="A5" s="1552"/>
      <c r="B5" s="1551"/>
      <c r="C5" s="1430"/>
      <c r="D5" s="7620" t="str">
        <f>IF(org=0,"Не определено",org)</f>
        <v>ГУП СК "Ставрополькрайводоканал"</v>
      </c>
      <c r="E5" s="7620"/>
      <c r="F5" s="7620"/>
      <c r="G5" s="7620"/>
      <c r="H5" s="7620"/>
      <c r="I5" s="7620"/>
      <c r="J5" s="7620"/>
      <c r="K5" s="617"/>
      <c r="T5" s="1480"/>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row>
    <row r="6" spans="1:64" s="1739" customFormat="1" ht="14.25" customHeight="1">
      <c r="A6" s="1061"/>
      <c r="B6" s="1060"/>
      <c r="C6" s="1430"/>
      <c r="D6" s="617"/>
      <c r="E6" s="617"/>
      <c r="F6" s="617"/>
      <c r="G6" s="617"/>
      <c r="H6" s="617"/>
      <c r="I6" s="617"/>
      <c r="J6" s="617"/>
      <c r="K6" s="617"/>
      <c r="T6" s="1480"/>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row>
    <row r="7" spans="1:64" s="1239" customFormat="1" ht="0.75" customHeight="1">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row>
    <row r="8" spans="1:64" ht="31.5" customHeight="1">
      <c r="D8" s="7559" t="s">
        <v>86</v>
      </c>
      <c r="E8" s="7559" t="s">
        <v>223</v>
      </c>
      <c r="F8" s="7634" t="s">
        <v>236</v>
      </c>
      <c r="G8" s="7635"/>
      <c r="H8" s="7634" t="s">
        <v>86</v>
      </c>
      <c r="I8" s="7635"/>
      <c r="J8" s="7559" t="s">
        <v>237</v>
      </c>
      <c r="K8" s="1481"/>
      <c r="L8" s="7619" t="s">
        <v>457</v>
      </c>
      <c r="M8" s="7619"/>
      <c r="N8" s="7619"/>
      <c r="O8" s="7619"/>
      <c r="P8" s="7619"/>
      <c r="Q8" s="1482"/>
      <c r="R8" s="7530" t="s">
        <v>458</v>
      </c>
      <c r="S8" s="7536"/>
      <c r="T8" s="7536"/>
      <c r="U8" s="7536"/>
      <c r="V8" s="7536"/>
      <c r="W8" s="1482"/>
      <c r="X8" s="7559" t="s">
        <v>459</v>
      </c>
      <c r="Y8" s="7559"/>
      <c r="Z8" s="7559"/>
      <c r="AA8" s="7559"/>
      <c r="AB8" s="7559"/>
      <c r="AC8" s="1483"/>
      <c r="AD8" s="7559" t="s">
        <v>460</v>
      </c>
      <c r="AE8" s="7559"/>
      <c r="AF8" s="7559"/>
      <c r="AG8" s="7559"/>
      <c r="AH8" s="7530"/>
      <c r="AI8" s="7559" t="s">
        <v>461</v>
      </c>
      <c r="AJ8"/>
    </row>
    <row r="9" spans="1:64" ht="22.5" customHeight="1">
      <c r="D9" s="7559"/>
      <c r="E9" s="7559"/>
      <c r="F9" s="7619" t="s">
        <v>87</v>
      </c>
      <c r="G9" s="7619" t="s">
        <v>242</v>
      </c>
      <c r="H9" s="7636"/>
      <c r="I9" s="7637"/>
      <c r="J9" s="7530"/>
      <c r="K9" s="1484"/>
      <c r="L9" s="7559" t="s">
        <v>462</v>
      </c>
      <c r="M9" s="7530"/>
      <c r="N9" s="7634" t="s">
        <v>86</v>
      </c>
      <c r="O9" s="7635"/>
      <c r="P9" s="7559" t="s">
        <v>243</v>
      </c>
      <c r="Q9" s="1481"/>
      <c r="R9" s="7559" t="s">
        <v>462</v>
      </c>
      <c r="S9" s="7530"/>
      <c r="T9" s="7634" t="s">
        <v>86</v>
      </c>
      <c r="U9" s="7635"/>
      <c r="V9" s="7559" t="s">
        <v>243</v>
      </c>
      <c r="W9" s="1481"/>
      <c r="X9" s="7559" t="s">
        <v>462</v>
      </c>
      <c r="Y9" s="7530"/>
      <c r="Z9" s="7634" t="s">
        <v>86</v>
      </c>
      <c r="AA9" s="7635"/>
      <c r="AB9" s="7559" t="s">
        <v>463</v>
      </c>
      <c r="AC9" s="1481"/>
      <c r="AD9" s="7559" t="s">
        <v>462</v>
      </c>
      <c r="AE9" s="7530"/>
      <c r="AF9" s="7634" t="s">
        <v>86</v>
      </c>
      <c r="AG9" s="7635"/>
      <c r="AH9" s="7530" t="s">
        <v>463</v>
      </c>
      <c r="AI9" s="7559"/>
      <c r="AJ9"/>
    </row>
    <row r="10" spans="1:64" ht="22.5" customHeight="1">
      <c r="D10" s="7619"/>
      <c r="E10" s="7619"/>
      <c r="F10" s="7638"/>
      <c r="G10" s="7638"/>
      <c r="H10" s="7639"/>
      <c r="I10" s="7640"/>
      <c r="J10" s="7634"/>
      <c r="K10" s="1484"/>
      <c r="L10" s="1502" t="s">
        <v>464</v>
      </c>
      <c r="M10" s="1498" t="s">
        <v>465</v>
      </c>
      <c r="N10" s="7636"/>
      <c r="O10" s="7637"/>
      <c r="P10" s="7619"/>
      <c r="Q10" s="1481"/>
      <c r="R10" s="1502" t="s">
        <v>464</v>
      </c>
      <c r="S10" s="1498" t="s">
        <v>465</v>
      </c>
      <c r="T10" s="7636"/>
      <c r="U10" s="7637"/>
      <c r="V10" s="7619"/>
      <c r="W10" s="1481"/>
      <c r="X10" s="1502" t="s">
        <v>464</v>
      </c>
      <c r="Y10" s="1498" t="s">
        <v>465</v>
      </c>
      <c r="Z10" s="7636"/>
      <c r="AA10" s="7637"/>
      <c r="AB10" s="7619"/>
      <c r="AC10" s="1481"/>
      <c r="AD10" s="1502" t="s">
        <v>464</v>
      </c>
      <c r="AE10" s="1498" t="s">
        <v>465</v>
      </c>
      <c r="AF10" s="7636"/>
      <c r="AG10" s="7637"/>
      <c r="AH10" s="7634"/>
      <c r="AI10" s="7619"/>
      <c r="AJ10"/>
      <c r="AK10" s="169" t="s">
        <v>466</v>
      </c>
      <c r="AL10" s="169" t="s">
        <v>244</v>
      </c>
    </row>
    <row r="11" spans="1:64" ht="14.25" customHeight="1">
      <c r="D11" s="7627" t="s">
        <v>97</v>
      </c>
      <c r="E11" s="7623" t="s">
        <v>467</v>
      </c>
      <c r="F11" s="7623" t="s">
        <v>468</v>
      </c>
      <c r="G11" s="7614" t="s">
        <v>55</v>
      </c>
      <c r="H11" s="1523"/>
      <c r="I11" s="7625"/>
      <c r="J11" s="7584"/>
      <c r="K11" s="1429"/>
      <c r="L11" s="7567"/>
      <c r="M11" s="7567"/>
      <c r="N11" s="1508"/>
      <c r="O11" s="7567"/>
      <c r="P11" s="7584"/>
      <c r="Q11" s="1509"/>
      <c r="R11" s="7567"/>
      <c r="S11" s="7567"/>
      <c r="T11" s="1510"/>
      <c r="U11" s="7567"/>
      <c r="V11" s="7584"/>
      <c r="W11" s="1511"/>
      <c r="X11" s="7567"/>
      <c r="Y11" s="7567"/>
      <c r="Z11" s="1508"/>
      <c r="AA11" s="7567"/>
      <c r="AB11" s="7584"/>
      <c r="AC11" s="1512"/>
      <c r="AD11" s="7567"/>
      <c r="AE11" s="7567"/>
      <c r="AF11" s="1428"/>
      <c r="AG11" s="1428"/>
      <c r="AH11" s="1513"/>
      <c r="AI11" s="1220"/>
      <c r="AJ11"/>
    </row>
    <row r="12" spans="1:64" ht="14.25" customHeight="1">
      <c r="D12" s="7627"/>
      <c r="E12" s="7623"/>
      <c r="F12" s="7623"/>
      <c r="G12" s="7615"/>
      <c r="H12" s="1524"/>
      <c r="I12" s="7626"/>
      <c r="J12" s="7585"/>
      <c r="K12" s="1531"/>
      <c r="L12" s="7568"/>
      <c r="M12" s="7568"/>
      <c r="N12" s="1514"/>
      <c r="O12" s="7568"/>
      <c r="P12" s="7585"/>
      <c r="Q12" s="1515"/>
      <c r="R12" s="7568"/>
      <c r="S12" s="7568"/>
      <c r="T12" s="1516"/>
      <c r="U12" s="7568"/>
      <c r="V12" s="7585"/>
      <c r="W12" s="1517"/>
      <c r="X12" s="7568"/>
      <c r="Y12" s="7568"/>
      <c r="Z12" s="1514"/>
      <c r="AA12" s="7568"/>
      <c r="AB12" s="7585"/>
      <c r="AC12" s="1518"/>
      <c r="AD12" s="7568"/>
      <c r="AE12" s="7568"/>
      <c r="AF12" s="1519"/>
      <c r="AG12" s="1519"/>
      <c r="AH12" s="7621"/>
      <c r="AI12" s="7622"/>
      <c r="AJ12"/>
    </row>
    <row r="13" spans="1:64" ht="14.25" customHeight="1">
      <c r="D13" s="7627"/>
      <c r="E13" s="7623"/>
      <c r="F13" s="7623"/>
      <c r="G13" s="7615"/>
      <c r="H13" s="1524"/>
      <c r="I13" s="7626"/>
      <c r="J13" s="7585"/>
      <c r="K13" s="1531"/>
      <c r="L13" s="7568"/>
      <c r="M13" s="7568"/>
      <c r="N13" s="1514"/>
      <c r="O13" s="7568"/>
      <c r="P13" s="7585"/>
      <c r="Q13" s="1515"/>
      <c r="R13" s="7568"/>
      <c r="S13" s="7568"/>
      <c r="T13" s="1516"/>
      <c r="U13" s="7568"/>
      <c r="V13" s="7585"/>
      <c r="W13" s="1517"/>
      <c r="X13" s="7568"/>
      <c r="Y13" s="7568"/>
      <c r="Z13" s="1427"/>
      <c r="AA13" s="1519"/>
      <c r="AB13" s="7621"/>
      <c r="AC13" s="7621"/>
      <c r="AD13" s="7621"/>
      <c r="AE13" s="7621"/>
      <c r="AF13" s="7621"/>
      <c r="AG13" s="7621"/>
      <c r="AH13" s="7621"/>
      <c r="AI13" s="7622"/>
      <c r="AJ13"/>
    </row>
    <row r="14" spans="1:64" ht="14.25" customHeight="1">
      <c r="D14" s="7627"/>
      <c r="E14" s="7623"/>
      <c r="F14" s="7623"/>
      <c r="G14" s="7615"/>
      <c r="H14" s="1524"/>
      <c r="I14" s="7626"/>
      <c r="J14" s="7585"/>
      <c r="K14" s="1531"/>
      <c r="L14" s="7568"/>
      <c r="M14" s="7568"/>
      <c r="N14" s="1514"/>
      <c r="O14" s="7568"/>
      <c r="P14" s="7585"/>
      <c r="Q14" s="1515"/>
      <c r="R14" s="7568"/>
      <c r="S14" s="7568"/>
      <c r="T14" s="1520"/>
      <c r="U14" s="1521"/>
      <c r="V14" s="7621"/>
      <c r="W14" s="7621"/>
      <c r="X14" s="7621"/>
      <c r="Y14" s="7621"/>
      <c r="Z14" s="7621"/>
      <c r="AA14" s="7621"/>
      <c r="AB14" s="7621"/>
      <c r="AC14" s="7621"/>
      <c r="AD14" s="7621"/>
      <c r="AE14" s="7621"/>
      <c r="AF14" s="7621"/>
      <c r="AG14" s="7621"/>
      <c r="AH14" s="7621"/>
      <c r="AI14" s="7622"/>
      <c r="AJ14"/>
    </row>
    <row r="15" spans="1:64" ht="11.25" customHeight="1">
      <c r="D15" s="7627"/>
      <c r="E15" s="7623"/>
      <c r="F15" s="7623"/>
      <c r="G15" s="7615"/>
      <c r="H15" s="1525"/>
      <c r="I15" s="7626"/>
      <c r="J15" s="7585"/>
      <c r="K15" s="1531"/>
      <c r="L15" s="7568"/>
      <c r="M15" s="7568"/>
      <c r="N15" s="1519"/>
      <c r="O15" s="1519"/>
      <c r="P15" s="7621"/>
      <c r="Q15" s="7621"/>
      <c r="R15" s="7621"/>
      <c r="S15" s="7621"/>
      <c r="T15" s="7621"/>
      <c r="U15" s="7621"/>
      <c r="V15" s="7621"/>
      <c r="W15" s="7621"/>
      <c r="X15" s="7621"/>
      <c r="Y15" s="7621"/>
      <c r="Z15" s="7621"/>
      <c r="AA15" s="7621"/>
      <c r="AB15" s="7621"/>
      <c r="AC15" s="7621"/>
      <c r="AD15" s="7621"/>
      <c r="AE15" s="7621"/>
      <c r="AF15" s="7621"/>
      <c r="AG15" s="7621"/>
      <c r="AH15" s="7621"/>
      <c r="AI15" s="7622"/>
      <c r="AJ15"/>
    </row>
    <row r="16" spans="1:64" s="1479" customFormat="1" ht="11.25" customHeight="1">
      <c r="D16" s="7631"/>
      <c r="E16" s="7632"/>
      <c r="F16" s="7624"/>
      <c r="G16" s="7545"/>
      <c r="H16" s="1522"/>
      <c r="I16" s="1526"/>
      <c r="J16" s="7629"/>
      <c r="K16" s="7629"/>
      <c r="L16" s="7629"/>
      <c r="M16" s="7629"/>
      <c r="N16" s="7629"/>
      <c r="O16" s="7629"/>
      <c r="P16" s="7629"/>
      <c r="Q16" s="7629"/>
      <c r="R16" s="7629"/>
      <c r="S16" s="7629"/>
      <c r="T16" s="7629"/>
      <c r="U16" s="7629"/>
      <c r="V16" s="7629"/>
      <c r="W16" s="7629"/>
      <c r="X16" s="7629"/>
      <c r="Y16" s="7629"/>
      <c r="Z16" s="7629"/>
      <c r="AA16" s="7629"/>
      <c r="AB16" s="7629"/>
      <c r="AC16" s="7629"/>
      <c r="AD16" s="7629"/>
      <c r="AE16" s="7629"/>
      <c r="AF16" s="7629"/>
      <c r="AG16" s="7629"/>
      <c r="AH16" s="7629"/>
      <c r="AI16" s="7630"/>
      <c r="AJ16"/>
      <c r="AK16" s="221"/>
      <c r="AL16"/>
      <c r="AM16"/>
      <c r="AN16"/>
      <c r="AO16"/>
      <c r="AP16"/>
      <c r="AQ16"/>
      <c r="AR16"/>
      <c r="AS16"/>
      <c r="AT16"/>
      <c r="AU16"/>
      <c r="AV16"/>
      <c r="AW16"/>
      <c r="AX16"/>
      <c r="AY16"/>
      <c r="AZ16"/>
      <c r="BA16"/>
      <c r="BB16"/>
      <c r="BC16"/>
      <c r="BD16"/>
      <c r="BE16"/>
      <c r="BF16"/>
      <c r="BG16"/>
      <c r="BH16"/>
      <c r="BI16"/>
      <c r="BJ16"/>
      <c r="BK16"/>
      <c r="BL16"/>
    </row>
    <row r="17" spans="4:64" ht="14.25" customHeight="1">
      <c r="D17" s="7627" t="s">
        <v>100</v>
      </c>
      <c r="E17" s="7623" t="s">
        <v>467</v>
      </c>
      <c r="F17" s="7623" t="s">
        <v>469</v>
      </c>
      <c r="G17" s="7614" t="s">
        <v>55</v>
      </c>
      <c r="H17" s="1523"/>
      <c r="I17" s="7625"/>
      <c r="J17" s="7584"/>
      <c r="K17" s="1429"/>
      <c r="L17" s="7567"/>
      <c r="M17" s="7567"/>
      <c r="N17" s="1508"/>
      <c r="O17" s="7567"/>
      <c r="P17" s="7584"/>
      <c r="Q17" s="1509"/>
      <c r="R17" s="7567"/>
      <c r="S17" s="7567"/>
      <c r="T17" s="1510"/>
      <c r="U17" s="7567"/>
      <c r="V17" s="7584"/>
      <c r="W17" s="1511"/>
      <c r="X17" s="7567"/>
      <c r="Y17" s="7567"/>
      <c r="Z17" s="1508"/>
      <c r="AA17" s="7567"/>
      <c r="AB17" s="7584"/>
      <c r="AC17" s="1512"/>
      <c r="AD17" s="7567"/>
      <c r="AE17" s="7567"/>
      <c r="AF17" s="1428"/>
      <c r="AG17" s="1428"/>
      <c r="AH17" s="1513"/>
      <c r="AI17" s="1220"/>
      <c r="AJ17"/>
    </row>
    <row r="18" spans="4:64" ht="14.25" customHeight="1">
      <c r="D18" s="7627"/>
      <c r="E18" s="7623"/>
      <c r="F18" s="7623"/>
      <c r="G18" s="7615"/>
      <c r="H18" s="1524"/>
      <c r="I18" s="7626"/>
      <c r="J18" s="7585"/>
      <c r="K18" s="1507"/>
      <c r="L18" s="7568"/>
      <c r="M18" s="7568"/>
      <c r="N18" s="1514"/>
      <c r="O18" s="7568"/>
      <c r="P18" s="7585"/>
      <c r="Q18" s="1515"/>
      <c r="R18" s="7568"/>
      <c r="S18" s="7568"/>
      <c r="T18" s="1516"/>
      <c r="U18" s="7568"/>
      <c r="V18" s="7585"/>
      <c r="W18" s="1517"/>
      <c r="X18" s="7568"/>
      <c r="Y18" s="7568"/>
      <c r="Z18" s="1514"/>
      <c r="AA18" s="7568"/>
      <c r="AB18" s="7585"/>
      <c r="AC18" s="1518"/>
      <c r="AD18" s="7568"/>
      <c r="AE18" s="7568"/>
      <c r="AF18" s="1519"/>
      <c r="AG18" s="1519"/>
      <c r="AH18" s="7621"/>
      <c r="AI18" s="7622"/>
      <c r="AJ18"/>
    </row>
    <row r="19" spans="4:64" ht="14.25" customHeight="1">
      <c r="D19" s="7627"/>
      <c r="E19" s="7623"/>
      <c r="F19" s="7623"/>
      <c r="G19" s="7615"/>
      <c r="H19" s="1524"/>
      <c r="I19" s="7626"/>
      <c r="J19" s="7585"/>
      <c r="K19" s="1507"/>
      <c r="L19" s="7568"/>
      <c r="M19" s="7568"/>
      <c r="N19" s="1514"/>
      <c r="O19" s="7568"/>
      <c r="P19" s="7585"/>
      <c r="Q19" s="1515"/>
      <c r="R19" s="7568"/>
      <c r="S19" s="7568"/>
      <c r="T19" s="1516"/>
      <c r="U19" s="7568"/>
      <c r="V19" s="7585"/>
      <c r="W19" s="1517"/>
      <c r="X19" s="7568"/>
      <c r="Y19" s="7568"/>
      <c r="Z19" s="1427"/>
      <c r="AA19" s="1519"/>
      <c r="AB19" s="7621"/>
      <c r="AC19" s="7621"/>
      <c r="AD19" s="7621"/>
      <c r="AE19" s="7621"/>
      <c r="AF19" s="7621"/>
      <c r="AG19" s="7621"/>
      <c r="AH19" s="7621"/>
      <c r="AI19" s="7622"/>
      <c r="AJ19"/>
    </row>
    <row r="20" spans="4:64" ht="14.25" customHeight="1">
      <c r="D20" s="7627"/>
      <c r="E20" s="7623"/>
      <c r="F20" s="7623"/>
      <c r="G20" s="7615"/>
      <c r="H20" s="1524"/>
      <c r="I20" s="7626"/>
      <c r="J20" s="7585"/>
      <c r="K20" s="1507"/>
      <c r="L20" s="7568"/>
      <c r="M20" s="7568"/>
      <c r="N20" s="1514"/>
      <c r="O20" s="7568"/>
      <c r="P20" s="7585"/>
      <c r="Q20" s="1515"/>
      <c r="R20" s="7568"/>
      <c r="S20" s="7568"/>
      <c r="T20" s="1520"/>
      <c r="U20" s="1521"/>
      <c r="V20" s="7621"/>
      <c r="W20" s="7621"/>
      <c r="X20" s="7621"/>
      <c r="Y20" s="7621"/>
      <c r="Z20" s="7621"/>
      <c r="AA20" s="7621"/>
      <c r="AB20" s="7621"/>
      <c r="AC20" s="7621"/>
      <c r="AD20" s="7621"/>
      <c r="AE20" s="7621"/>
      <c r="AF20" s="7621"/>
      <c r="AG20" s="7621"/>
      <c r="AH20" s="7621"/>
      <c r="AI20" s="7622"/>
      <c r="AJ20"/>
    </row>
    <row r="21" spans="4:64" ht="11.25" customHeight="1">
      <c r="D21" s="7627"/>
      <c r="E21" s="7623"/>
      <c r="F21" s="7623"/>
      <c r="G21" s="7615"/>
      <c r="H21" s="1525"/>
      <c r="I21" s="7626"/>
      <c r="J21" s="7585"/>
      <c r="K21" s="1507"/>
      <c r="L21" s="7568"/>
      <c r="M21" s="7568"/>
      <c r="N21" s="1519"/>
      <c r="O21" s="1519"/>
      <c r="P21" s="7621"/>
      <c r="Q21" s="7621"/>
      <c r="R21" s="7621"/>
      <c r="S21" s="7621"/>
      <c r="T21" s="7621"/>
      <c r="U21" s="7621"/>
      <c r="V21" s="7621"/>
      <c r="W21" s="7621"/>
      <c r="X21" s="7621"/>
      <c r="Y21" s="7621"/>
      <c r="Z21" s="7621"/>
      <c r="AA21" s="7621"/>
      <c r="AB21" s="7621"/>
      <c r="AC21" s="7621"/>
      <c r="AD21" s="7621"/>
      <c r="AE21" s="7621"/>
      <c r="AF21" s="7621"/>
      <c r="AG21" s="7621"/>
      <c r="AH21" s="7621"/>
      <c r="AI21" s="7622"/>
      <c r="AJ21"/>
    </row>
    <row r="22" spans="4:64" s="1479" customFormat="1" ht="11.25" customHeight="1">
      <c r="D22" s="7631"/>
      <c r="E22" s="7632"/>
      <c r="F22" s="7624"/>
      <c r="G22" s="7545"/>
      <c r="H22" s="1522"/>
      <c r="I22" s="1526"/>
      <c r="J22" s="7629"/>
      <c r="K22" s="7629"/>
      <c r="L22" s="7629"/>
      <c r="M22" s="7629"/>
      <c r="N22" s="7629"/>
      <c r="O22" s="7629"/>
      <c r="P22" s="7629"/>
      <c r="Q22" s="7629"/>
      <c r="R22" s="7629"/>
      <c r="S22" s="7629"/>
      <c r="T22" s="7629"/>
      <c r="U22" s="7629"/>
      <c r="V22" s="7629"/>
      <c r="W22" s="7629"/>
      <c r="X22" s="7629"/>
      <c r="Y22" s="7629"/>
      <c r="Z22" s="7629"/>
      <c r="AA22" s="7629"/>
      <c r="AB22" s="7629"/>
      <c r="AC22" s="7629"/>
      <c r="AD22" s="7629"/>
      <c r="AE22" s="7629"/>
      <c r="AF22" s="7629"/>
      <c r="AG22" s="7629"/>
      <c r="AH22" s="7629"/>
      <c r="AI22" s="7630"/>
      <c r="AJ22"/>
      <c r="AK22" s="221"/>
      <c r="AL22"/>
      <c r="AM22"/>
      <c r="AN22"/>
      <c r="AO22"/>
      <c r="AP22"/>
      <c r="AQ22"/>
      <c r="AR22"/>
      <c r="AS22"/>
      <c r="AT22"/>
      <c r="AU22"/>
      <c r="AV22"/>
      <c r="AW22"/>
      <c r="AX22"/>
      <c r="AY22"/>
      <c r="AZ22"/>
      <c r="BA22"/>
      <c r="BB22"/>
      <c r="BC22"/>
      <c r="BD22"/>
      <c r="BE22"/>
      <c r="BF22"/>
      <c r="BG22"/>
      <c r="BH22"/>
      <c r="BI22"/>
      <c r="BJ22"/>
      <c r="BK22"/>
      <c r="BL22"/>
    </row>
    <row r="23" spans="4:64" ht="14.25" customHeight="1">
      <c r="D23" s="7627" t="s">
        <v>88</v>
      </c>
      <c r="E23" s="7623" t="s">
        <v>467</v>
      </c>
      <c r="F23" s="7623" t="s">
        <v>470</v>
      </c>
      <c r="G23" s="7614" t="s">
        <v>55</v>
      </c>
      <c r="H23" s="1523"/>
      <c r="I23" s="7625"/>
      <c r="J23" s="7584"/>
      <c r="K23" s="1429"/>
      <c r="L23" s="7567"/>
      <c r="M23" s="7567"/>
      <c r="N23" s="1508"/>
      <c r="O23" s="7567"/>
      <c r="P23" s="7584"/>
      <c r="Q23" s="1509"/>
      <c r="R23" s="7567"/>
      <c r="S23" s="7567"/>
      <c r="T23" s="1510"/>
      <c r="U23" s="7567"/>
      <c r="V23" s="7584"/>
      <c r="W23" s="1511"/>
      <c r="X23" s="7567"/>
      <c r="Y23" s="7567"/>
      <c r="Z23" s="1508"/>
      <c r="AA23" s="7567"/>
      <c r="AB23" s="7584"/>
      <c r="AC23" s="1512"/>
      <c r="AD23" s="7567"/>
      <c r="AE23" s="7567"/>
      <c r="AF23" s="1428"/>
      <c r="AG23" s="1428"/>
      <c r="AH23" s="1513"/>
      <c r="AI23" s="1220"/>
      <c r="AJ23"/>
      <c r="AK23" s="221" t="s">
        <v>96</v>
      </c>
    </row>
    <row r="24" spans="4:64" ht="14.25" customHeight="1">
      <c r="D24" s="7627"/>
      <c r="E24" s="7623"/>
      <c r="F24" s="7623"/>
      <c r="G24" s="7615"/>
      <c r="H24" s="1524"/>
      <c r="I24" s="7626"/>
      <c r="J24" s="7585"/>
      <c r="K24" s="1531"/>
      <c r="L24" s="7568"/>
      <c r="M24" s="7568"/>
      <c r="N24" s="1514"/>
      <c r="O24" s="7568"/>
      <c r="P24" s="7585"/>
      <c r="Q24" s="1515"/>
      <c r="R24" s="7568"/>
      <c r="S24" s="7568"/>
      <c r="T24" s="1516"/>
      <c r="U24" s="7568"/>
      <c r="V24" s="7585"/>
      <c r="W24" s="1517"/>
      <c r="X24" s="7568"/>
      <c r="Y24" s="7568"/>
      <c r="Z24" s="1514"/>
      <c r="AA24" s="7568"/>
      <c r="AB24" s="7585"/>
      <c r="AC24" s="1518"/>
      <c r="AD24" s="7568"/>
      <c r="AE24" s="7568"/>
      <c r="AF24" s="1519"/>
      <c r="AG24" s="1519"/>
      <c r="AH24" s="7621"/>
      <c r="AI24" s="7622"/>
      <c r="AJ24"/>
    </row>
    <row r="25" spans="4:64" ht="14.25" customHeight="1">
      <c r="D25" s="7627"/>
      <c r="E25" s="7623"/>
      <c r="F25" s="7623"/>
      <c r="G25" s="7615"/>
      <c r="H25" s="1524"/>
      <c r="I25" s="7626"/>
      <c r="J25" s="7585"/>
      <c r="K25" s="1531"/>
      <c r="L25" s="7568"/>
      <c r="M25" s="7568"/>
      <c r="N25" s="1514"/>
      <c r="O25" s="7568"/>
      <c r="P25" s="7585"/>
      <c r="Q25" s="1515"/>
      <c r="R25" s="7568"/>
      <c r="S25" s="7568"/>
      <c r="T25" s="1516"/>
      <c r="U25" s="7568"/>
      <c r="V25" s="7585"/>
      <c r="W25" s="1517"/>
      <c r="X25" s="7568"/>
      <c r="Y25" s="7568"/>
      <c r="Z25" s="1427"/>
      <c r="AA25" s="1519"/>
      <c r="AB25" s="7621"/>
      <c r="AC25" s="7621"/>
      <c r="AD25" s="7621"/>
      <c r="AE25" s="7621"/>
      <c r="AF25" s="7621"/>
      <c r="AG25" s="7621"/>
      <c r="AH25" s="7621"/>
      <c r="AI25" s="7622"/>
      <c r="AJ25"/>
    </row>
    <row r="26" spans="4:64" ht="14.25" customHeight="1">
      <c r="D26" s="7627"/>
      <c r="E26" s="7623"/>
      <c r="F26" s="7623"/>
      <c r="G26" s="7615"/>
      <c r="H26" s="1524"/>
      <c r="I26" s="7626"/>
      <c r="J26" s="7585"/>
      <c r="K26" s="1531"/>
      <c r="L26" s="7568"/>
      <c r="M26" s="7568"/>
      <c r="N26" s="1514"/>
      <c r="O26" s="7568"/>
      <c r="P26" s="7585"/>
      <c r="Q26" s="1515"/>
      <c r="R26" s="7568"/>
      <c r="S26" s="7568"/>
      <c r="T26" s="1520"/>
      <c r="U26" s="1521"/>
      <c r="V26" s="7621"/>
      <c r="W26" s="7621"/>
      <c r="X26" s="7621"/>
      <c r="Y26" s="7621"/>
      <c r="Z26" s="7621"/>
      <c r="AA26" s="7621"/>
      <c r="AB26" s="7621"/>
      <c r="AC26" s="7621"/>
      <c r="AD26" s="7621"/>
      <c r="AE26" s="7621"/>
      <c r="AF26" s="7621"/>
      <c r="AG26" s="7621"/>
      <c r="AH26" s="7621"/>
      <c r="AI26" s="7622"/>
      <c r="AJ26"/>
    </row>
    <row r="27" spans="4:64" ht="11.25" customHeight="1">
      <c r="D27" s="7627"/>
      <c r="E27" s="7623"/>
      <c r="F27" s="7623"/>
      <c r="G27" s="7615"/>
      <c r="H27" s="1525"/>
      <c r="I27" s="7626"/>
      <c r="J27" s="7585"/>
      <c r="K27" s="1531"/>
      <c r="L27" s="7568"/>
      <c r="M27" s="7568"/>
      <c r="N27" s="1519"/>
      <c r="O27" s="1519"/>
      <c r="P27" s="7621"/>
      <c r="Q27" s="7621"/>
      <c r="R27" s="7621"/>
      <c r="S27" s="7621"/>
      <c r="T27" s="7621"/>
      <c r="U27" s="7621"/>
      <c r="V27" s="7621"/>
      <c r="W27" s="7621"/>
      <c r="X27" s="7621"/>
      <c r="Y27" s="7621"/>
      <c r="Z27" s="7621"/>
      <c r="AA27" s="7621"/>
      <c r="AB27" s="7621"/>
      <c r="AC27" s="7621"/>
      <c r="AD27" s="7621"/>
      <c r="AE27" s="7621"/>
      <c r="AF27" s="7621"/>
      <c r="AG27" s="7621"/>
      <c r="AH27" s="7621"/>
      <c r="AI27" s="7622"/>
      <c r="AJ27"/>
    </row>
    <row r="28" spans="4:64" s="1479" customFormat="1" ht="11.25" customHeight="1">
      <c r="D28" s="7631"/>
      <c r="E28" s="7632"/>
      <c r="F28" s="7624"/>
      <c r="G28" s="7545"/>
      <c r="H28" s="1522"/>
      <c r="I28" s="1526"/>
      <c r="J28" s="7629"/>
      <c r="K28" s="7629"/>
      <c r="L28" s="7629"/>
      <c r="M28" s="7629"/>
      <c r="N28" s="7629"/>
      <c r="O28" s="7629"/>
      <c r="P28" s="7629"/>
      <c r="Q28" s="7629"/>
      <c r="R28" s="7629"/>
      <c r="S28" s="7629"/>
      <c r="T28" s="7629"/>
      <c r="U28" s="7629"/>
      <c r="V28" s="7629"/>
      <c r="W28" s="7629"/>
      <c r="X28" s="7629"/>
      <c r="Y28" s="7629"/>
      <c r="Z28" s="7629"/>
      <c r="AA28" s="7629"/>
      <c r="AB28" s="7629"/>
      <c r="AC28" s="7629"/>
      <c r="AD28" s="7629"/>
      <c r="AE28" s="7629"/>
      <c r="AF28" s="7629"/>
      <c r="AG28" s="7629"/>
      <c r="AH28" s="7629"/>
      <c r="AI28" s="7630"/>
      <c r="AJ28"/>
      <c r="AK28" s="221"/>
      <c r="AL28"/>
      <c r="AM28"/>
      <c r="AN28"/>
      <c r="AO28"/>
      <c r="AP28"/>
      <c r="AQ28"/>
      <c r="AR28"/>
      <c r="AS28"/>
      <c r="AT28"/>
      <c r="AU28"/>
      <c r="AV28"/>
      <c r="AW28"/>
      <c r="AX28"/>
      <c r="AY28"/>
      <c r="AZ28"/>
      <c r="BA28"/>
      <c r="BB28"/>
      <c r="BC28"/>
      <c r="BD28"/>
      <c r="BE28"/>
      <c r="BF28"/>
      <c r="BG28"/>
      <c r="BH28"/>
      <c r="BI28"/>
      <c r="BJ28"/>
      <c r="BK28"/>
      <c r="BL28"/>
    </row>
    <row r="29" spans="4:64" ht="14.25" customHeight="1">
      <c r="D29" s="7627" t="s">
        <v>89</v>
      </c>
      <c r="E29" s="7623" t="s">
        <v>467</v>
      </c>
      <c r="F29" s="7623" t="s">
        <v>471</v>
      </c>
      <c r="G29" s="7614" t="s">
        <v>55</v>
      </c>
      <c r="H29" s="1523"/>
      <c r="I29" s="7625"/>
      <c r="J29" s="7584"/>
      <c r="K29" s="1429"/>
      <c r="L29" s="7567"/>
      <c r="M29" s="7567"/>
      <c r="N29" s="1508"/>
      <c r="O29" s="7567"/>
      <c r="P29" s="7584"/>
      <c r="Q29" s="1509"/>
      <c r="R29" s="7567"/>
      <c r="S29" s="7567"/>
      <c r="T29" s="1510"/>
      <c r="U29" s="7567"/>
      <c r="V29" s="7584"/>
      <c r="W29" s="1511"/>
      <c r="X29" s="7567"/>
      <c r="Y29" s="7567"/>
      <c r="Z29" s="1508"/>
      <c r="AA29" s="7567"/>
      <c r="AB29" s="7584"/>
      <c r="AC29" s="1512"/>
      <c r="AD29" s="7567"/>
      <c r="AE29" s="7567"/>
      <c r="AF29" s="1428"/>
      <c r="AG29" s="1428"/>
      <c r="AH29" s="1513"/>
      <c r="AI29" s="1220"/>
      <c r="AJ29"/>
    </row>
    <row r="30" spans="4:64" ht="14.25" customHeight="1">
      <c r="D30" s="7627"/>
      <c r="E30" s="7623"/>
      <c r="F30" s="7623"/>
      <c r="G30" s="7615"/>
      <c r="H30" s="1524"/>
      <c r="I30" s="7626"/>
      <c r="J30" s="7585"/>
      <c r="K30" s="1507"/>
      <c r="L30" s="7568"/>
      <c r="M30" s="7568"/>
      <c r="N30" s="1514"/>
      <c r="O30" s="7568"/>
      <c r="P30" s="7585"/>
      <c r="Q30" s="1515"/>
      <c r="R30" s="7568"/>
      <c r="S30" s="7568"/>
      <c r="T30" s="1516"/>
      <c r="U30" s="7568"/>
      <c r="V30" s="7585"/>
      <c r="W30" s="1517"/>
      <c r="X30" s="7568"/>
      <c r="Y30" s="7568"/>
      <c r="Z30" s="1514"/>
      <c r="AA30" s="7568"/>
      <c r="AB30" s="7585"/>
      <c r="AC30" s="1518"/>
      <c r="AD30" s="7568"/>
      <c r="AE30" s="7568"/>
      <c r="AF30" s="1519"/>
      <c r="AG30" s="1519"/>
      <c r="AH30" s="7621"/>
      <c r="AI30" s="7622"/>
      <c r="AJ30"/>
    </row>
    <row r="31" spans="4:64" ht="14.25" customHeight="1">
      <c r="D31" s="7627"/>
      <c r="E31" s="7623"/>
      <c r="F31" s="7623"/>
      <c r="G31" s="7615"/>
      <c r="H31" s="1524"/>
      <c r="I31" s="7626"/>
      <c r="J31" s="7585"/>
      <c r="K31" s="1507"/>
      <c r="L31" s="7568"/>
      <c r="M31" s="7568"/>
      <c r="N31" s="1514"/>
      <c r="O31" s="7568"/>
      <c r="P31" s="7585"/>
      <c r="Q31" s="1515"/>
      <c r="R31" s="7568"/>
      <c r="S31" s="7568"/>
      <c r="T31" s="1516"/>
      <c r="U31" s="7568"/>
      <c r="V31" s="7585"/>
      <c r="W31" s="1517"/>
      <c r="X31" s="7568"/>
      <c r="Y31" s="7568"/>
      <c r="Z31" s="1427"/>
      <c r="AA31" s="1519"/>
      <c r="AB31" s="7621"/>
      <c r="AC31" s="7621"/>
      <c r="AD31" s="7621"/>
      <c r="AE31" s="7621"/>
      <c r="AF31" s="7621"/>
      <c r="AG31" s="7621"/>
      <c r="AH31" s="7621"/>
      <c r="AI31" s="7622"/>
      <c r="AJ31"/>
    </row>
    <row r="32" spans="4:64" ht="14.25" customHeight="1">
      <c r="D32" s="7627"/>
      <c r="E32" s="7623"/>
      <c r="F32" s="7623"/>
      <c r="G32" s="7615"/>
      <c r="H32" s="1524"/>
      <c r="I32" s="7626"/>
      <c r="J32" s="7585"/>
      <c r="K32" s="1507"/>
      <c r="L32" s="7568"/>
      <c r="M32" s="7568"/>
      <c r="N32" s="1514"/>
      <c r="O32" s="7568"/>
      <c r="P32" s="7585"/>
      <c r="Q32" s="1515"/>
      <c r="R32" s="7568"/>
      <c r="S32" s="7568"/>
      <c r="T32" s="1520"/>
      <c r="U32" s="1521"/>
      <c r="V32" s="7621"/>
      <c r="W32" s="7621"/>
      <c r="X32" s="7621"/>
      <c r="Y32" s="7621"/>
      <c r="Z32" s="7621"/>
      <c r="AA32" s="7621"/>
      <c r="AB32" s="7621"/>
      <c r="AC32" s="7621"/>
      <c r="AD32" s="7621"/>
      <c r="AE32" s="7621"/>
      <c r="AF32" s="7621"/>
      <c r="AG32" s="7621"/>
      <c r="AH32" s="7621"/>
      <c r="AI32" s="7622"/>
      <c r="AJ32"/>
    </row>
    <row r="33" spans="4:64" ht="11.25" customHeight="1">
      <c r="D33" s="7627"/>
      <c r="E33" s="7623"/>
      <c r="F33" s="7623"/>
      <c r="G33" s="7615"/>
      <c r="H33" s="1525"/>
      <c r="I33" s="7626"/>
      <c r="J33" s="7585"/>
      <c r="K33" s="1507"/>
      <c r="L33" s="7568"/>
      <c r="M33" s="7568"/>
      <c r="N33" s="1519"/>
      <c r="O33" s="1519"/>
      <c r="P33" s="7621"/>
      <c r="Q33" s="7621"/>
      <c r="R33" s="7621"/>
      <c r="S33" s="7621"/>
      <c r="T33" s="7621"/>
      <c r="U33" s="7621"/>
      <c r="V33" s="7621"/>
      <c r="W33" s="7621"/>
      <c r="X33" s="7621"/>
      <c r="Y33" s="7621"/>
      <c r="Z33" s="7621"/>
      <c r="AA33" s="7621"/>
      <c r="AB33" s="7621"/>
      <c r="AC33" s="7621"/>
      <c r="AD33" s="7621"/>
      <c r="AE33" s="7621"/>
      <c r="AF33" s="7621"/>
      <c r="AG33" s="7621"/>
      <c r="AH33" s="7621"/>
      <c r="AI33" s="7622"/>
      <c r="AJ33"/>
    </row>
    <row r="34" spans="4:64" s="1479" customFormat="1" ht="11.25" customHeight="1">
      <c r="D34" s="7631"/>
      <c r="E34" s="7632"/>
      <c r="F34" s="7624"/>
      <c r="G34" s="7545"/>
      <c r="H34" s="1522"/>
      <c r="I34" s="1526"/>
      <c r="J34" s="7629"/>
      <c r="K34" s="7629"/>
      <c r="L34" s="7629"/>
      <c r="M34" s="7629"/>
      <c r="N34" s="7629"/>
      <c r="O34" s="7629"/>
      <c r="P34" s="7629"/>
      <c r="Q34" s="7629"/>
      <c r="R34" s="7629"/>
      <c r="S34" s="7629"/>
      <c r="T34" s="7629"/>
      <c r="U34" s="7629"/>
      <c r="V34" s="7629"/>
      <c r="W34" s="7629"/>
      <c r="X34" s="7629"/>
      <c r="Y34" s="7629"/>
      <c r="Z34" s="7629"/>
      <c r="AA34" s="7629"/>
      <c r="AB34" s="7629"/>
      <c r="AC34" s="7629"/>
      <c r="AD34" s="7629"/>
      <c r="AE34" s="7629"/>
      <c r="AF34" s="7629"/>
      <c r="AG34" s="7629"/>
      <c r="AH34" s="7629"/>
      <c r="AI34" s="7630"/>
      <c r="AJ34"/>
      <c r="AK34" s="221"/>
      <c r="AL34"/>
      <c r="AM34"/>
      <c r="AN34"/>
      <c r="AO34"/>
      <c r="AP34"/>
      <c r="AQ34"/>
      <c r="AR34"/>
      <c r="AS34"/>
      <c r="AT34"/>
      <c r="AU34"/>
      <c r="AV34"/>
      <c r="AW34"/>
      <c r="AX34"/>
      <c r="AY34"/>
      <c r="AZ34"/>
      <c r="BA34"/>
      <c r="BB34"/>
      <c r="BC34"/>
      <c r="BD34"/>
      <c r="BE34"/>
      <c r="BF34"/>
      <c r="BG34"/>
      <c r="BH34"/>
      <c r="BI34"/>
      <c r="BJ34"/>
      <c r="BK34"/>
      <c r="BL34"/>
    </row>
    <row r="35" spans="4:64" ht="14.25" customHeight="1">
      <c r="D35" s="7627" t="s">
        <v>111</v>
      </c>
      <c r="E35" s="7623" t="s">
        <v>467</v>
      </c>
      <c r="F35" s="7623" t="s">
        <v>472</v>
      </c>
      <c r="G35" s="7614" t="s">
        <v>55</v>
      </c>
      <c r="H35" s="1523"/>
      <c r="I35" s="7625"/>
      <c r="J35" s="7584"/>
      <c r="K35" s="1429"/>
      <c r="L35" s="7567"/>
      <c r="M35" s="7567"/>
      <c r="N35" s="1508"/>
      <c r="O35" s="7567"/>
      <c r="P35" s="7584"/>
      <c r="Q35" s="1509"/>
      <c r="R35" s="7567"/>
      <c r="S35" s="7567"/>
      <c r="T35" s="1510"/>
      <c r="U35" s="7567"/>
      <c r="V35" s="7584"/>
      <c r="W35" s="1511"/>
      <c r="X35" s="7567"/>
      <c r="Y35" s="7567"/>
      <c r="Z35" s="1508"/>
      <c r="AA35" s="7567"/>
      <c r="AB35" s="7584"/>
      <c r="AC35" s="1512"/>
      <c r="AD35" s="7567"/>
      <c r="AE35" s="7567"/>
      <c r="AF35" s="1428"/>
      <c r="AG35" s="1428"/>
      <c r="AH35" s="1513"/>
      <c r="AI35" s="1220"/>
      <c r="AJ35"/>
    </row>
    <row r="36" spans="4:64" ht="14.25" customHeight="1">
      <c r="D36" s="7627"/>
      <c r="E36" s="7623"/>
      <c r="F36" s="7623"/>
      <c r="G36" s="7615"/>
      <c r="H36" s="1524"/>
      <c r="I36" s="7626"/>
      <c r="J36" s="7585"/>
      <c r="K36" s="1507"/>
      <c r="L36" s="7568"/>
      <c r="M36" s="7568"/>
      <c r="N36" s="1514"/>
      <c r="O36" s="7568"/>
      <c r="P36" s="7585"/>
      <c r="Q36" s="1515"/>
      <c r="R36" s="7568"/>
      <c r="S36" s="7568"/>
      <c r="T36" s="1516"/>
      <c r="U36" s="7568"/>
      <c r="V36" s="7585"/>
      <c r="W36" s="1517"/>
      <c r="X36" s="7568"/>
      <c r="Y36" s="7568"/>
      <c r="Z36" s="1514"/>
      <c r="AA36" s="7568"/>
      <c r="AB36" s="7585"/>
      <c r="AC36" s="1518"/>
      <c r="AD36" s="7568"/>
      <c r="AE36" s="7568"/>
      <c r="AF36" s="1519"/>
      <c r="AG36" s="1519"/>
      <c r="AH36" s="7621"/>
      <c r="AI36" s="7622"/>
      <c r="AJ36"/>
    </row>
    <row r="37" spans="4:64" ht="14.25" customHeight="1">
      <c r="D37" s="7627"/>
      <c r="E37" s="7623"/>
      <c r="F37" s="7623"/>
      <c r="G37" s="7615"/>
      <c r="H37" s="1524"/>
      <c r="I37" s="7626"/>
      <c r="J37" s="7585"/>
      <c r="K37" s="1507"/>
      <c r="L37" s="7568"/>
      <c r="M37" s="7568"/>
      <c r="N37" s="1514"/>
      <c r="O37" s="7568"/>
      <c r="P37" s="7585"/>
      <c r="Q37" s="1515"/>
      <c r="R37" s="7568"/>
      <c r="S37" s="7568"/>
      <c r="T37" s="1516"/>
      <c r="U37" s="7568"/>
      <c r="V37" s="7585"/>
      <c r="W37" s="1517"/>
      <c r="X37" s="7568"/>
      <c r="Y37" s="7568"/>
      <c r="Z37" s="1427"/>
      <c r="AA37" s="1519"/>
      <c r="AB37" s="7621"/>
      <c r="AC37" s="7621"/>
      <c r="AD37" s="7621"/>
      <c r="AE37" s="7621"/>
      <c r="AF37" s="7621"/>
      <c r="AG37" s="7621"/>
      <c r="AH37" s="7621"/>
      <c r="AI37" s="7622"/>
      <c r="AJ37"/>
    </row>
    <row r="38" spans="4:64" ht="14.25" customHeight="1">
      <c r="D38" s="7627"/>
      <c r="E38" s="7623"/>
      <c r="F38" s="7623"/>
      <c r="G38" s="7615"/>
      <c r="H38" s="1524"/>
      <c r="I38" s="7626"/>
      <c r="J38" s="7585"/>
      <c r="K38" s="1507"/>
      <c r="L38" s="7568"/>
      <c r="M38" s="7568"/>
      <c r="N38" s="1514"/>
      <c r="O38" s="7568"/>
      <c r="P38" s="7585"/>
      <c r="Q38" s="1515"/>
      <c r="R38" s="7568"/>
      <c r="S38" s="7568"/>
      <c r="T38" s="1520"/>
      <c r="U38" s="1521"/>
      <c r="V38" s="7621"/>
      <c r="W38" s="7621"/>
      <c r="X38" s="7621"/>
      <c r="Y38" s="7621"/>
      <c r="Z38" s="7621"/>
      <c r="AA38" s="7621"/>
      <c r="AB38" s="7621"/>
      <c r="AC38" s="7621"/>
      <c r="AD38" s="7621"/>
      <c r="AE38" s="7621"/>
      <c r="AF38" s="7621"/>
      <c r="AG38" s="7621"/>
      <c r="AH38" s="7621"/>
      <c r="AI38" s="7622"/>
      <c r="AJ38"/>
    </row>
    <row r="39" spans="4:64" ht="11.25" customHeight="1">
      <c r="D39" s="7627"/>
      <c r="E39" s="7623"/>
      <c r="F39" s="7623"/>
      <c r="G39" s="7615"/>
      <c r="H39" s="1525"/>
      <c r="I39" s="7626"/>
      <c r="J39" s="7585"/>
      <c r="K39" s="1507"/>
      <c r="L39" s="7568"/>
      <c r="M39" s="7568"/>
      <c r="N39" s="1519"/>
      <c r="O39" s="1519"/>
      <c r="P39" s="7621"/>
      <c r="Q39" s="7621"/>
      <c r="R39" s="7621"/>
      <c r="S39" s="7621"/>
      <c r="T39" s="7621"/>
      <c r="U39" s="7621"/>
      <c r="V39" s="7621"/>
      <c r="W39" s="7621"/>
      <c r="X39" s="7621"/>
      <c r="Y39" s="7621"/>
      <c r="Z39" s="7621"/>
      <c r="AA39" s="7621"/>
      <c r="AB39" s="7621"/>
      <c r="AC39" s="7621"/>
      <c r="AD39" s="7621"/>
      <c r="AE39" s="7621"/>
      <c r="AF39" s="7621"/>
      <c r="AG39" s="7621"/>
      <c r="AH39" s="7621"/>
      <c r="AI39" s="7622"/>
      <c r="AJ39"/>
    </row>
    <row r="40" spans="4:64" s="1479" customFormat="1" ht="11.25" customHeight="1">
      <c r="D40" s="7627"/>
      <c r="E40" s="7623"/>
      <c r="F40" s="7628"/>
      <c r="G40" s="7545"/>
      <c r="H40" s="1522"/>
      <c r="I40" s="1526"/>
      <c r="J40" s="7629"/>
      <c r="K40" s="7629"/>
      <c r="L40" s="7629"/>
      <c r="M40" s="7629"/>
      <c r="N40" s="7629"/>
      <c r="O40" s="7629"/>
      <c r="P40" s="7629"/>
      <c r="Q40" s="7629"/>
      <c r="R40" s="7629"/>
      <c r="S40" s="7629"/>
      <c r="T40" s="7629"/>
      <c r="U40" s="7629"/>
      <c r="V40" s="7629"/>
      <c r="W40" s="7629"/>
      <c r="X40" s="7629"/>
      <c r="Y40" s="7629"/>
      <c r="Z40" s="7629"/>
      <c r="AA40" s="7629"/>
      <c r="AB40" s="7629"/>
      <c r="AC40" s="7629"/>
      <c r="AD40" s="7629"/>
      <c r="AE40" s="7629"/>
      <c r="AF40" s="7629"/>
      <c r="AG40" s="7629"/>
      <c r="AH40" s="7629"/>
      <c r="AI40" s="7630"/>
      <c r="AJ40"/>
      <c r="AK40" s="221"/>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5"/>
    <col min="2" max="2" width="11" style="1555" customWidth="1"/>
    <col min="3" max="3" width="10.5703125" style="1555"/>
    <col min="4" max="4" width="11.85546875" style="1555" customWidth="1"/>
    <col min="5" max="5" width="12.28515625" style="1555" customWidth="1"/>
    <col min="6" max="8" width="12.28515625" style="1817" customWidth="1"/>
    <col min="9" max="9" width="3.7109375" style="1817" customWidth="1"/>
    <col min="10" max="11" width="3.7109375" style="265" customWidth="1"/>
    <col min="12" max="12" width="12.7109375" style="1820"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6:29" ht="14.25" hidden="1" customHeight="1">
      <c r="R1" s="249"/>
      <c r="S1" s="249"/>
    </row>
    <row r="2" spans="6:29" ht="14.25" hidden="1" customHeight="1">
      <c r="V2" s="249"/>
    </row>
    <row r="3" spans="6:29" ht="14.25" hidden="1" customHeight="1"/>
    <row r="4" spans="6:29" ht="14.25" customHeight="1">
      <c r="J4" s="300"/>
      <c r="K4" s="300"/>
      <c r="L4" s="1200"/>
      <c r="M4" s="286"/>
      <c r="N4" s="286"/>
      <c r="O4" s="433"/>
      <c r="P4" s="433"/>
      <c r="Q4" s="433"/>
      <c r="R4" s="433"/>
      <c r="S4" s="433"/>
      <c r="T4" s="433"/>
      <c r="U4" s="433"/>
      <c r="V4" s="433"/>
    </row>
    <row r="5" spans="6:29" ht="64.5" customHeight="1">
      <c r="J5" s="300"/>
      <c r="K5" s="300"/>
      <c r="L5" s="7941" t="s">
        <v>2437</v>
      </c>
      <c r="M5" s="7941"/>
      <c r="N5" s="7941"/>
      <c r="O5" s="7941"/>
      <c r="P5" s="7941"/>
      <c r="Q5" s="7941"/>
      <c r="R5" s="7941"/>
      <c r="S5" s="7941"/>
      <c r="T5" s="7941"/>
      <c r="U5" s="7941"/>
      <c r="V5" s="1157"/>
    </row>
    <row r="6" spans="6:29" ht="14.25" customHeight="1">
      <c r="J6" s="300"/>
      <c r="K6" s="300"/>
      <c r="L6" s="7942" t="str">
        <f>IF(org=0,"Не определено",org)</f>
        <v>ГУП СК "Ставрополькрайводоканал"</v>
      </c>
      <c r="M6" s="7942"/>
      <c r="N6" s="7942"/>
      <c r="O6" s="7942"/>
      <c r="P6" s="7942"/>
      <c r="Q6" s="7942"/>
      <c r="R6" s="7942"/>
      <c r="S6" s="7942"/>
      <c r="T6" s="7942"/>
      <c r="U6" s="7942"/>
      <c r="V6" s="1157"/>
    </row>
    <row r="7" spans="6:29" ht="14.25" customHeight="1">
      <c r="J7" s="300"/>
      <c r="K7" s="300"/>
      <c r="L7" s="1200"/>
      <c r="M7" s="286"/>
      <c r="N7" s="286"/>
      <c r="O7" s="242"/>
      <c r="P7" s="242"/>
      <c r="Q7" s="242"/>
      <c r="R7" s="242"/>
      <c r="S7" s="242"/>
      <c r="T7" s="242"/>
      <c r="U7" s="242"/>
      <c r="V7" s="242"/>
      <c r="W7" s="433"/>
    </row>
    <row r="8" spans="6:29" s="1771" customFormat="1" ht="45" customHeight="1">
      <c r="F8" s="1163"/>
      <c r="G8" s="1163"/>
      <c r="H8" s="1163"/>
      <c r="L8" s="1201"/>
      <c r="M8" s="209" t="s">
        <v>38</v>
      </c>
      <c r="N8" s="218"/>
      <c r="O8" s="7682" t="str">
        <f>IF(TITLE_NAME_OR_PR_CHANGE="",IF(TITLE_NAME_OR_PR="","",TITLE_NAME_OR_PR),TITLE_NAME_OR_PR_CHANGE)</f>
        <v>Региональная тарифная комиссия Ставропольского края</v>
      </c>
      <c r="P8" s="7682"/>
      <c r="Q8" s="7682"/>
      <c r="R8" s="7682"/>
      <c r="S8" s="7682"/>
      <c r="T8" s="7682"/>
      <c r="U8" s="7682"/>
      <c r="V8" s="248"/>
      <c r="W8" s="248"/>
      <c r="X8" s="196"/>
      <c r="Y8" s="292"/>
      <c r="Z8" s="292"/>
      <c r="AA8" s="292"/>
      <c r="AB8" s="292"/>
      <c r="AC8" s="292"/>
    </row>
    <row r="9" spans="6:29" s="1771" customFormat="1" ht="22.5" customHeight="1">
      <c r="F9" s="1163"/>
      <c r="G9" s="1163"/>
      <c r="H9" s="1163"/>
      <c r="L9" s="1201"/>
      <c r="M9" s="209" t="s">
        <v>597</v>
      </c>
      <c r="N9" s="218"/>
      <c r="O9" s="7682">
        <f>IF(TITLE_DATE_CHANGE_PERIOD="",IF(TITLE_DATE_PR="","",TITLE_DATE_PR),TITLE_DATE_CHANGE_PERIOD)</f>
        <v>45278</v>
      </c>
      <c r="P9" s="7682"/>
      <c r="Q9" s="7682"/>
      <c r="R9" s="7682"/>
      <c r="S9" s="7682"/>
      <c r="T9" s="7682"/>
      <c r="U9" s="7682"/>
      <c r="V9" s="248"/>
      <c r="W9" s="248"/>
      <c r="X9" s="196"/>
      <c r="Y9" s="292"/>
      <c r="Z9" s="292"/>
      <c r="AA9" s="292"/>
      <c r="AB9" s="292"/>
      <c r="AC9" s="292"/>
    </row>
    <row r="10" spans="6:29" s="1771" customFormat="1" ht="22.5" customHeight="1">
      <c r="F10" s="1163"/>
      <c r="G10" s="1163"/>
      <c r="H10" s="1163"/>
      <c r="L10" s="1165"/>
      <c r="M10" s="209" t="s">
        <v>598</v>
      </c>
      <c r="N10" s="218"/>
      <c r="O10" s="7682" t="str">
        <f>IF(TITLE_NUMBER_PR_CHANGE="",IF(TITLE_NUMBER_PR="","",TITLE_NUMBER_PR),TITLE_NUMBER_PR_CHANGE)</f>
        <v>79/2</v>
      </c>
      <c r="P10" s="7682"/>
      <c r="Q10" s="7682"/>
      <c r="R10" s="7682"/>
      <c r="S10" s="7682"/>
      <c r="T10" s="7682"/>
      <c r="U10" s="7682"/>
      <c r="V10" s="248"/>
      <c r="W10" s="248"/>
      <c r="X10" s="196"/>
      <c r="Y10" s="292"/>
      <c r="Z10" s="292"/>
      <c r="AA10" s="292"/>
      <c r="AB10" s="292"/>
      <c r="AC10" s="292"/>
    </row>
    <row r="11" spans="6:29" s="1771" customFormat="1" ht="22.5" customHeight="1">
      <c r="F11" s="1163"/>
      <c r="G11" s="1163"/>
      <c r="H11" s="1163"/>
      <c r="L11" s="1165"/>
      <c r="M11" s="209" t="s">
        <v>40</v>
      </c>
      <c r="N11" s="218"/>
      <c r="O11" s="7682" t="str">
        <f>IF(TITLE_IST_PUB_CHANGE="",IF(TITLE_IST_PUB="","",TITLE_IST_PUB),TITLE_IST_PUB_CHANGE)</f>
        <v>http://pravo.stavregion.ru/</v>
      </c>
      <c r="P11" s="7682"/>
      <c r="Q11" s="7682"/>
      <c r="R11" s="7682"/>
      <c r="S11" s="7682"/>
      <c r="T11" s="7682"/>
      <c r="U11" s="7682"/>
      <c r="V11" s="248"/>
      <c r="W11" s="248"/>
      <c r="X11" s="196"/>
      <c r="Y11" s="292"/>
      <c r="Z11" s="292"/>
      <c r="AA11" s="292"/>
      <c r="AB11" s="292"/>
      <c r="AC11" s="292"/>
    </row>
    <row r="12" spans="6:29" s="1771" customFormat="1" ht="11.25" hidden="1" customHeight="1">
      <c r="F12" s="1163"/>
      <c r="G12" s="1163"/>
      <c r="H12" s="1163"/>
      <c r="L12" s="7943"/>
      <c r="M12" s="7943"/>
      <c r="N12" s="1211"/>
      <c r="O12" s="248"/>
      <c r="P12" s="248"/>
      <c r="Q12" s="248"/>
      <c r="R12" s="248"/>
      <c r="S12" s="248"/>
      <c r="T12" s="248"/>
      <c r="U12" s="248"/>
      <c r="V12" s="194" t="s">
        <v>601</v>
      </c>
      <c r="Y12" s="292"/>
      <c r="Z12" s="292"/>
      <c r="AA12" s="292"/>
      <c r="AB12" s="292"/>
      <c r="AC12" s="292"/>
    </row>
    <row r="13" spans="6:29" ht="14.25" customHeight="1">
      <c r="J13" s="300"/>
      <c r="K13" s="300"/>
      <c r="L13" s="1200"/>
      <c r="M13" s="286"/>
      <c r="N13" s="1158"/>
      <c r="O13" s="7683"/>
      <c r="P13" s="7683"/>
      <c r="Q13" s="7683"/>
      <c r="R13" s="7683"/>
      <c r="S13" s="7683"/>
      <c r="T13" s="7683"/>
      <c r="U13" s="7683"/>
      <c r="V13" s="7683"/>
    </row>
    <row r="14" spans="6:29" ht="14.25" customHeight="1">
      <c r="J14" s="300"/>
      <c r="K14" s="300"/>
      <c r="L14" s="7559" t="s">
        <v>474</v>
      </c>
      <c r="M14" s="7559"/>
      <c r="N14" s="7559"/>
      <c r="O14" s="7559"/>
      <c r="P14" s="7559"/>
      <c r="Q14" s="7559"/>
      <c r="R14" s="7559"/>
      <c r="S14" s="7559"/>
      <c r="T14" s="7559"/>
      <c r="U14" s="7559"/>
      <c r="V14" s="7559"/>
      <c r="W14" s="7559"/>
      <c r="X14" s="7559" t="s">
        <v>475</v>
      </c>
    </row>
    <row r="15" spans="6:29" ht="14.25" customHeight="1">
      <c r="J15" s="300"/>
      <c r="K15" s="300"/>
      <c r="L15" s="7697" t="s">
        <v>86</v>
      </c>
      <c r="M15" s="7649" t="s">
        <v>602</v>
      </c>
      <c r="N15" s="215"/>
      <c r="O15" s="7698" t="s">
        <v>2438</v>
      </c>
      <c r="P15" s="7699"/>
      <c r="Q15" s="7699"/>
      <c r="R15" s="7699"/>
      <c r="S15" s="7699"/>
      <c r="T15" s="7699"/>
      <c r="U15" s="7700"/>
      <c r="V15" s="7701" t="s">
        <v>604</v>
      </c>
      <c r="W15" s="7704" t="s">
        <v>1372</v>
      </c>
      <c r="X15" s="7559"/>
    </row>
    <row r="16" spans="6:29" ht="33.75" customHeight="1">
      <c r="J16" s="300"/>
      <c r="K16" s="300"/>
      <c r="L16" s="7697"/>
      <c r="M16" s="7649"/>
      <c r="N16" s="942"/>
      <c r="O16" s="7619" t="s">
        <v>607</v>
      </c>
      <c r="P16" s="7619" t="s">
        <v>608</v>
      </c>
      <c r="Q16" s="7530" t="s">
        <v>609</v>
      </c>
      <c r="R16" s="7529"/>
      <c r="S16" s="7530" t="s">
        <v>622</v>
      </c>
      <c r="T16" s="7536"/>
      <c r="U16" s="7529"/>
      <c r="V16" s="7702"/>
      <c r="W16" s="7705"/>
      <c r="X16" s="7559"/>
    </row>
    <row r="17" spans="1:29" ht="33.75" customHeight="1">
      <c r="A17" s="1184" t="s">
        <v>248</v>
      </c>
      <c r="B17" s="1184" t="s">
        <v>249</v>
      </c>
      <c r="C17" s="1184" t="s">
        <v>250</v>
      </c>
      <c r="D17" s="1184" t="s">
        <v>251</v>
      </c>
      <c r="E17" s="1184"/>
      <c r="J17" s="300"/>
      <c r="K17" s="300"/>
      <c r="L17" s="7697"/>
      <c r="M17" s="7649"/>
      <c r="N17" s="216"/>
      <c r="O17" s="7668"/>
      <c r="P17" s="7668"/>
      <c r="Q17" s="1133" t="s">
        <v>618</v>
      </c>
      <c r="R17" s="1133" t="s">
        <v>619</v>
      </c>
      <c r="S17" s="1216" t="s">
        <v>620</v>
      </c>
      <c r="T17" s="7657" t="s">
        <v>621</v>
      </c>
      <c r="U17" s="7659"/>
      <c r="V17" s="7703"/>
      <c r="W17" s="7706"/>
      <c r="X17" s="7559"/>
    </row>
    <row r="18" spans="1:29" s="1561" customFormat="1" ht="11.25" customHeight="1">
      <c r="A18" s="1184"/>
      <c r="B18" s="1184"/>
      <c r="C18" s="1184"/>
      <c r="D18" s="1184"/>
      <c r="E18" s="1184"/>
      <c r="F18" s="1210"/>
      <c r="G18" s="1210"/>
      <c r="H18" s="1210"/>
      <c r="I18" s="1160"/>
      <c r="J18" s="1161"/>
      <c r="K18" s="1176">
        <v>1</v>
      </c>
      <c r="L18" s="1202" t="s">
        <v>97</v>
      </c>
      <c r="M18" s="1177" t="s">
        <v>100</v>
      </c>
      <c r="N18" s="1159" t="str">
        <f ca="1">OFFSET(N18,0,-1)</f>
        <v>2</v>
      </c>
      <c r="O18" s="1213">
        <f ca="1">OFFSET(O18,0,-1)+1</f>
        <v>3</v>
      </c>
      <c r="P18" s="1213"/>
      <c r="Q18" s="1213">
        <f ca="1">OFFSET(Q18,0,-1)+1</f>
        <v>1</v>
      </c>
      <c r="R18" s="1213">
        <f ca="1">OFFSET(R18,0,-1)+1</f>
        <v>2</v>
      </c>
      <c r="S18" s="1213">
        <f ca="1">OFFSET(S18,0,-1)+1</f>
        <v>3</v>
      </c>
      <c r="T18" s="7696">
        <f ca="1">OFFSET(T18,0,-1)+1</f>
        <v>4</v>
      </c>
      <c r="U18" s="7696"/>
      <c r="V18" s="1213">
        <f ca="1">OFFSET(V18,0,-2)+1</f>
        <v>5</v>
      </c>
      <c r="W18" s="1159">
        <f ca="1">OFFSET(W18,0,-1)</f>
        <v>5</v>
      </c>
      <c r="X18" s="1213">
        <f ca="1">OFFSET(X18,0,-1)+1</f>
        <v>6</v>
      </c>
      <c r="Y18" s="435"/>
      <c r="Z18" s="435"/>
      <c r="AA18" s="435"/>
      <c r="AB18" s="435"/>
      <c r="AC18" s="435"/>
    </row>
    <row r="19" spans="1:29" ht="21" customHeight="1">
      <c r="A19" s="1191" t="s">
        <v>2448</v>
      </c>
      <c r="B19" s="1191" t="s">
        <v>2449</v>
      </c>
      <c r="C19" s="1191" t="s">
        <v>2450</v>
      </c>
      <c r="D19" s="1191" t="s">
        <v>2451</v>
      </c>
      <c r="E19" s="1191"/>
      <c r="F19" s="606"/>
      <c r="G19" s="606"/>
      <c r="H19" s="606"/>
      <c r="I19" s="282"/>
      <c r="J19" s="281"/>
      <c r="K19" s="276"/>
      <c r="L19" s="1217" t="e">
        <f>INDEX(PT_DIFFERENTIATION_NUM_NTAR,MATCH(A19,PT_DIFFERENTIATION_NTAR_ID,0))</f>
        <v>#N/A</v>
      </c>
      <c r="M19" s="212" t="s">
        <v>237</v>
      </c>
      <c r="N19" s="214"/>
      <c r="O19" s="7944" t="e">
        <f>INDEX(PT_DIFFERENTIATION_NTAR,MATCH(A19,PT_DIFFERENTIATION_NTAR_ID,0))</f>
        <v>#N/A</v>
      </c>
      <c r="P19" s="7944"/>
      <c r="Q19" s="7944"/>
      <c r="R19" s="7944"/>
      <c r="S19" s="7944"/>
      <c r="T19" s="7944"/>
      <c r="U19" s="7944"/>
      <c r="V19" s="7944"/>
      <c r="W19" s="7944"/>
      <c r="X19" s="1182" t="s">
        <v>572</v>
      </c>
      <c r="Z19" s="424"/>
      <c r="AA19" s="424" t="str">
        <f t="shared" ref="AA19:AA32" si="0">IF(M19="","",M19)</f>
        <v>Наименование тарифа</v>
      </c>
      <c r="AB19" s="424"/>
      <c r="AC19" s="424"/>
    </row>
    <row r="20" spans="1:29" ht="21" customHeight="1">
      <c r="A20" s="1191" t="s">
        <v>2448</v>
      </c>
      <c r="B20" s="1191" t="s">
        <v>2449</v>
      </c>
      <c r="C20" s="1191" t="s">
        <v>2450</v>
      </c>
      <c r="D20" s="1191" t="s">
        <v>2451</v>
      </c>
      <c r="E20" s="1191"/>
      <c r="F20" s="606"/>
      <c r="G20" s="606"/>
      <c r="H20" s="606"/>
      <c r="I20" s="1214"/>
      <c r="J20" s="273"/>
      <c r="K20" s="274"/>
      <c r="L20" s="1217" t="e">
        <f>INDEX(PT_DIFFERENTIATION_NUM_TER,MATCH(B19,PT_DIFFERENTIATION_TER_ID,0))</f>
        <v>#N/A</v>
      </c>
      <c r="M20" s="224" t="s">
        <v>573</v>
      </c>
      <c r="N20" s="214"/>
      <c r="O20" s="7944" t="e">
        <f>INDEX(PT_DIFFERENTIATION_TER,MATCH(B19,PT_DIFFERENTIATION_TER_ID,0))</f>
        <v>#N/A</v>
      </c>
      <c r="P20" s="7944"/>
      <c r="Q20" s="7944"/>
      <c r="R20" s="7944"/>
      <c r="S20" s="7944"/>
      <c r="T20" s="7944"/>
      <c r="U20" s="7944"/>
      <c r="V20" s="7944"/>
      <c r="W20" s="7944"/>
      <c r="X20" s="1182" t="s">
        <v>574</v>
      </c>
      <c r="Z20" s="424"/>
      <c r="AA20" s="424" t="str">
        <f t="shared" si="0"/>
        <v>Территория действия тарифа</v>
      </c>
      <c r="AB20" s="424"/>
      <c r="AC20" s="424"/>
    </row>
    <row r="21" spans="1:29" ht="22.5" customHeight="1">
      <c r="A21" s="1191" t="s">
        <v>2448</v>
      </c>
      <c r="B21" s="1191" t="s">
        <v>2449</v>
      </c>
      <c r="C21" s="1191" t="s">
        <v>2450</v>
      </c>
      <c r="D21" s="1191" t="s">
        <v>2451</v>
      </c>
      <c r="E21" s="1191"/>
      <c r="F21" s="606"/>
      <c r="G21" s="606"/>
      <c r="H21" s="606"/>
      <c r="I21" s="275"/>
      <c r="J21" s="273"/>
      <c r="K21" s="274"/>
      <c r="L21" s="1217" t="e">
        <f>INDEX(PT_DIFFERENTIATION_NUM_CS,MATCH(C19,PT_DIFFERENTIATION_CS_ID,0))</f>
        <v>#N/A</v>
      </c>
      <c r="M21" s="225" t="s">
        <v>575</v>
      </c>
      <c r="N21" s="214"/>
      <c r="O21" s="7944" t="e">
        <f>INDEX(PT_DIFFERENTIATION_CS,MATCH(C19,PT_DIFFERENTIATION_CS_ID,0))</f>
        <v>#N/A</v>
      </c>
      <c r="P21" s="7944"/>
      <c r="Q21" s="7944"/>
      <c r="R21" s="7944"/>
      <c r="S21" s="7944"/>
      <c r="T21" s="7944"/>
      <c r="U21" s="7944"/>
      <c r="V21" s="7944"/>
      <c r="W21" s="7944"/>
      <c r="X21" s="1182" t="s">
        <v>576</v>
      </c>
      <c r="Z21" s="424"/>
      <c r="AA21" s="424" t="str">
        <f t="shared" si="0"/>
        <v xml:space="preserve">Наименование системы теплоснабжения </v>
      </c>
      <c r="AB21" s="424"/>
      <c r="AC21" s="424"/>
    </row>
    <row r="22" spans="1:29" ht="21" customHeight="1">
      <c r="A22" s="1191" t="s">
        <v>2448</v>
      </c>
      <c r="B22" s="1191" t="s">
        <v>2449</v>
      </c>
      <c r="C22" s="1191" t="s">
        <v>2450</v>
      </c>
      <c r="D22" s="1191" t="s">
        <v>2451</v>
      </c>
      <c r="E22" s="1191"/>
      <c r="F22" s="606"/>
      <c r="G22" s="606"/>
      <c r="H22" s="606"/>
      <c r="I22" s="275"/>
      <c r="J22" s="273"/>
      <c r="K22" s="274"/>
      <c r="L22" s="1217" t="e">
        <f>INDEX(PT_DIFFERENTIATION_NUM_IST_TE,MATCH(D19,PT_DIFFERENTIATION_IST_TE_ID,0))</f>
        <v>#N/A</v>
      </c>
      <c r="M22" s="226" t="s">
        <v>577</v>
      </c>
      <c r="N22" s="214"/>
      <c r="O22" s="7944" t="e">
        <f>INDEX(PT_DIFFERENTIATION_IST_TE,MATCH(D19,PT_DIFFERENTIATION_IST_TE_ID,0))</f>
        <v>#N/A</v>
      </c>
      <c r="P22" s="7944"/>
      <c r="Q22" s="7944"/>
      <c r="R22" s="7944"/>
      <c r="S22" s="7944"/>
      <c r="T22" s="7944"/>
      <c r="U22" s="7944"/>
      <c r="V22" s="7944"/>
      <c r="W22" s="7944"/>
      <c r="X22" s="1182" t="s">
        <v>578</v>
      </c>
      <c r="Z22" s="424"/>
      <c r="AA22" s="424" t="str">
        <f t="shared" si="0"/>
        <v xml:space="preserve">Источник тепловой энергии  </v>
      </c>
      <c r="AB22" s="424"/>
      <c r="AC22" s="424"/>
    </row>
    <row r="23" spans="1:29" ht="94.5" customHeight="1">
      <c r="A23" s="1191" t="s">
        <v>2448</v>
      </c>
      <c r="B23" s="1191" t="s">
        <v>2449</v>
      </c>
      <c r="C23" s="1191" t="s">
        <v>2450</v>
      </c>
      <c r="D23" s="1191" t="s">
        <v>2451</v>
      </c>
      <c r="E23" s="1191"/>
      <c r="F23" s="7533" t="e">
        <f>L22&amp;".1"</f>
        <v>#N/A</v>
      </c>
      <c r="I23" s="7688">
        <v>1</v>
      </c>
      <c r="J23" s="1215"/>
      <c r="K23" s="277"/>
      <c r="L23" s="1217" t="e">
        <f>$F$23</f>
        <v>#N/A</v>
      </c>
      <c r="M23" s="200" t="s">
        <v>580</v>
      </c>
      <c r="N23" s="214"/>
      <c r="O23" s="7945"/>
      <c r="P23" s="7945"/>
      <c r="Q23" s="7945"/>
      <c r="R23" s="7945"/>
      <c r="S23" s="7945"/>
      <c r="T23" s="7945"/>
      <c r="U23" s="7945"/>
      <c r="V23" s="7945"/>
      <c r="W23" s="7945"/>
      <c r="X23" s="1182" t="s">
        <v>581</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191" t="s">
        <v>2448</v>
      </c>
      <c r="B24" s="1191" t="s">
        <v>2449</v>
      </c>
      <c r="C24" s="1191" t="s">
        <v>2450</v>
      </c>
      <c r="D24" s="1191" t="s">
        <v>2451</v>
      </c>
      <c r="E24" s="1191"/>
      <c r="F24" s="7533"/>
      <c r="G24" s="7533" t="e">
        <f>F23&amp;".1"</f>
        <v>#N/A</v>
      </c>
      <c r="I24" s="7688"/>
      <c r="J24" s="7688">
        <v>1</v>
      </c>
      <c r="K24" s="278"/>
      <c r="L24" s="1217" t="e">
        <f>$G$24</f>
        <v>#N/A</v>
      </c>
      <c r="M24" s="201" t="s">
        <v>583</v>
      </c>
      <c r="N24" s="214"/>
      <c r="O24" s="7946"/>
      <c r="P24" s="7947"/>
      <c r="Q24" s="7947"/>
      <c r="R24" s="7947"/>
      <c r="S24" s="7947"/>
      <c r="T24" s="7947"/>
      <c r="U24" s="7947"/>
      <c r="V24" s="7947"/>
      <c r="W24" s="7948"/>
      <c r="X24" s="1182" t="s">
        <v>584</v>
      </c>
      <c r="Z24" s="424"/>
      <c r="AA24" s="424" t="str">
        <f t="shared" si="0"/>
        <v>Группа потребителей</v>
      </c>
      <c r="AB24" s="424"/>
      <c r="AC24" s="424"/>
    </row>
    <row r="25" spans="1:29" ht="11.25" customHeight="1">
      <c r="A25" s="1191" t="s">
        <v>2448</v>
      </c>
      <c r="B25" s="1191" t="s">
        <v>2449</v>
      </c>
      <c r="C25" s="1191" t="s">
        <v>2450</v>
      </c>
      <c r="D25" s="1191" t="s">
        <v>2451</v>
      </c>
      <c r="E25" s="1191"/>
      <c r="F25" s="7533"/>
      <c r="G25" s="7533"/>
      <c r="H25" s="7533" t="e">
        <f>G24&amp;".1"</f>
        <v>#N/A</v>
      </c>
      <c r="I25" s="7688"/>
      <c r="J25" s="7688"/>
      <c r="K25" s="278">
        <v>1</v>
      </c>
      <c r="L25" s="1217" t="e">
        <f>$H$25</f>
        <v>#N/A</v>
      </c>
      <c r="M25" s="1183"/>
      <c r="N25" s="214"/>
      <c r="O25" s="666"/>
      <c r="P25" s="246"/>
      <c r="Q25" s="666"/>
      <c r="R25" s="1181"/>
      <c r="S25" s="7692"/>
      <c r="T25" s="7540" t="s">
        <v>60</v>
      </c>
      <c r="U25" s="7692"/>
      <c r="V25" s="7540" t="s">
        <v>55</v>
      </c>
      <c r="W25" s="246"/>
      <c r="X25" s="7684" t="s">
        <v>586</v>
      </c>
      <c r="Y25" s="435" t="e">
        <f ca="1">STRCHECKDATE(O26:W26)</f>
        <v>#NAME?</v>
      </c>
      <c r="Z25" s="424"/>
      <c r="AA25" s="424" t="str">
        <f t="shared" si="0"/>
        <v/>
      </c>
      <c r="AB25" s="424"/>
      <c r="AC25" s="424"/>
    </row>
    <row r="26" spans="1:29" ht="11.25" customHeight="1">
      <c r="A26" s="1191" t="s">
        <v>2448</v>
      </c>
      <c r="B26" s="1191" t="s">
        <v>2449</v>
      </c>
      <c r="C26" s="1191" t="s">
        <v>2450</v>
      </c>
      <c r="D26" s="1191" t="s">
        <v>2451</v>
      </c>
      <c r="E26" s="1191"/>
      <c r="F26" s="7533"/>
      <c r="G26" s="7533"/>
      <c r="H26" s="7533"/>
      <c r="I26" s="7688"/>
      <c r="J26" s="7688"/>
      <c r="K26" s="278"/>
      <c r="L26" s="1218"/>
      <c r="M26" s="214"/>
      <c r="N26" s="214"/>
      <c r="O26" s="246"/>
      <c r="P26" s="246"/>
      <c r="Q26" s="246"/>
      <c r="R26" s="250" t="str">
        <f>S25&amp;"-"&amp;U25</f>
        <v>-</v>
      </c>
      <c r="S26" s="7693"/>
      <c r="T26" s="7540"/>
      <c r="U26" s="7693"/>
      <c r="V26" s="7540"/>
      <c r="W26" s="246"/>
      <c r="X26" s="7685"/>
      <c r="Z26" s="424"/>
      <c r="AA26" s="424" t="str">
        <f t="shared" si="0"/>
        <v/>
      </c>
      <c r="AB26" s="424"/>
      <c r="AC26" s="424"/>
    </row>
    <row r="27" spans="1:29" ht="15" customHeight="1">
      <c r="A27" s="1191" t="s">
        <v>2448</v>
      </c>
      <c r="B27" s="1191" t="s">
        <v>2449</v>
      </c>
      <c r="C27" s="1191" t="s">
        <v>2450</v>
      </c>
      <c r="D27" s="1191" t="s">
        <v>2451</v>
      </c>
      <c r="E27" s="1191"/>
      <c r="F27" s="7533"/>
      <c r="G27" s="7533"/>
      <c r="I27" s="7688"/>
      <c r="J27" s="7688"/>
      <c r="K27" s="277"/>
      <c r="L27" s="1203"/>
      <c r="M27" s="203" t="s">
        <v>587</v>
      </c>
      <c r="N27" s="291"/>
      <c r="O27" s="291"/>
      <c r="P27" s="291"/>
      <c r="Q27" s="291"/>
      <c r="R27" s="291"/>
      <c r="S27" s="291"/>
      <c r="T27" s="291"/>
      <c r="U27" s="291"/>
      <c r="V27" s="291"/>
      <c r="W27" s="245"/>
      <c r="X27" s="7686"/>
      <c r="Z27" s="424"/>
      <c r="AA27" s="424" t="str">
        <f t="shared" si="0"/>
        <v>Добавить вид теплоносителя (параметры теплоносителя)</v>
      </c>
      <c r="AB27" s="424"/>
      <c r="AC27" s="424"/>
    </row>
    <row r="28" spans="1:29" ht="15" customHeight="1">
      <c r="A28" s="1191" t="s">
        <v>2448</v>
      </c>
      <c r="B28" s="1191" t="s">
        <v>2449</v>
      </c>
      <c r="C28" s="1191" t="s">
        <v>2450</v>
      </c>
      <c r="D28" s="1191" t="s">
        <v>2451</v>
      </c>
      <c r="E28" s="1191"/>
      <c r="F28" s="7533"/>
      <c r="I28" s="7688"/>
      <c r="J28" s="1215"/>
      <c r="K28" s="277"/>
      <c r="L28" s="1203"/>
      <c r="M28" s="202" t="s">
        <v>588</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191" t="s">
        <v>2448</v>
      </c>
      <c r="B29" s="1191" t="s">
        <v>2449</v>
      </c>
      <c r="C29" s="1191" t="s">
        <v>2450</v>
      </c>
      <c r="D29" s="1191" t="s">
        <v>2451</v>
      </c>
      <c r="E29" s="1191"/>
      <c r="F29" s="606"/>
      <c r="G29" s="606"/>
      <c r="H29" s="433"/>
      <c r="I29" s="281"/>
      <c r="J29" s="299"/>
      <c r="K29" s="276"/>
      <c r="L29" s="1203"/>
      <c r="M29" s="288" t="s">
        <v>589</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191" t="s">
        <v>2448</v>
      </c>
      <c r="B30" s="1191" t="s">
        <v>2449</v>
      </c>
      <c r="C30" s="1191" t="s">
        <v>2450</v>
      </c>
      <c r="D30" s="1191"/>
      <c r="E30" s="1191" t="s">
        <v>755</v>
      </c>
      <c r="F30" s="606"/>
      <c r="G30" s="606"/>
      <c r="H30" s="433"/>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191" t="s">
        <v>2448</v>
      </c>
      <c r="B31" s="1191" t="s">
        <v>2449</v>
      </c>
      <c r="C31" s="1191"/>
      <c r="D31" s="1191"/>
      <c r="E31" s="1191" t="s">
        <v>2439</v>
      </c>
      <c r="F31" s="1179"/>
      <c r="G31" s="1179"/>
      <c r="H31" s="433"/>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191" t="s">
        <v>2452</v>
      </c>
      <c r="B32" s="1191"/>
      <c r="C32" s="1191"/>
      <c r="D32" s="1191"/>
      <c r="E32" s="1191" t="s">
        <v>222</v>
      </c>
      <c r="F32" s="1179"/>
      <c r="G32" s="1179"/>
      <c r="H32" s="433"/>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27" customFormat="1" ht="11.25" customHeight="1">
      <c r="A33" s="1191"/>
      <c r="B33" s="1191"/>
      <c r="C33" s="1191"/>
      <c r="D33" s="1191"/>
      <c r="E33" s="1191" t="s">
        <v>402</v>
      </c>
      <c r="F33" s="1192"/>
      <c r="G33" s="1180"/>
      <c r="H33" s="433"/>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0"/>
      <c r="G34" s="1060"/>
      <c r="H34" s="433"/>
      <c r="I34" s="1060"/>
      <c r="J34" s="1060"/>
      <c r="K34" s="1060"/>
      <c r="Y34" s="1060"/>
      <c r="Z34" s="1060"/>
      <c r="AA34" s="1060"/>
      <c r="AB34" s="1060"/>
      <c r="AC34" s="1060"/>
    </row>
    <row r="35" spans="1:29" ht="27" customHeight="1">
      <c r="H35" s="433"/>
      <c r="L35" s="1212" t="s">
        <v>887</v>
      </c>
      <c r="M35" s="7709" t="s">
        <v>2441</v>
      </c>
      <c r="N35" s="7709"/>
      <c r="O35" s="7709"/>
      <c r="P35" s="7709"/>
      <c r="Q35" s="7709"/>
      <c r="R35" s="7709"/>
      <c r="S35" s="7709"/>
      <c r="T35" s="7709"/>
      <c r="U35" s="7709"/>
      <c r="V35" s="7709"/>
      <c r="W35" s="7709"/>
      <c r="X35" s="7709"/>
    </row>
    <row r="36" spans="1:29" ht="104.25" customHeight="1">
      <c r="F36" s="1227"/>
      <c r="G36" s="1227"/>
      <c r="H36" s="433"/>
      <c r="I36" s="1227"/>
      <c r="M36" s="7709" t="s">
        <v>2442</v>
      </c>
      <c r="N36" s="7709"/>
      <c r="O36" s="7709"/>
      <c r="P36" s="7709"/>
      <c r="Q36" s="7709"/>
      <c r="R36" s="7709"/>
      <c r="S36" s="7709"/>
      <c r="T36" s="7709"/>
      <c r="U36" s="7709"/>
      <c r="V36" s="7709"/>
      <c r="W36" s="7709"/>
      <c r="X36" s="7709"/>
    </row>
    <row r="37" spans="1:29" ht="14.25" customHeight="1">
      <c r="H37" s="433"/>
    </row>
    <row r="38" spans="1:29" ht="14.25" customHeight="1">
      <c r="H38" s="433"/>
    </row>
    <row r="39" spans="1:29" ht="14.25" customHeight="1">
      <c r="H39" s="433"/>
    </row>
    <row r="40" spans="1:29" ht="14.25" customHeight="1">
      <c r="H40" s="43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2"/>
    <col min="7" max="8" width="9.140625" style="434" customWidth="1"/>
    <col min="9" max="9" width="3.7109375" style="1817" customWidth="1"/>
    <col min="10" max="11" width="3.7109375" style="265" customWidth="1"/>
    <col min="12" max="12" width="12.7109375" style="1555" customWidth="1"/>
    <col min="13" max="13" width="47.42578125" style="1555" customWidth="1"/>
    <col min="14" max="14" width="2.7109375" style="1555" hidden="1" customWidth="1"/>
    <col min="15" max="18" width="23.7109375" style="1555" customWidth="1"/>
    <col min="19" max="19" width="11.7109375" style="1555" customWidth="1"/>
    <col min="20" max="20" width="3.7109375" style="1555" customWidth="1"/>
    <col min="21" max="21" width="11.7109375" style="1555" customWidth="1"/>
    <col min="22" max="22" width="8.5703125" style="1555" hidden="1" customWidth="1"/>
    <col min="23" max="23" width="4.7109375" style="1555" customWidth="1"/>
    <col min="24" max="24" width="115.7109375" style="1555" customWidth="1"/>
    <col min="25" max="29" width="10.5703125" style="1562"/>
  </cols>
  <sheetData>
    <row r="1" spans="1:29" ht="14.25" hidden="1" customHeight="1"/>
    <row r="2" spans="1:29" ht="14.25" hidden="1" customHeight="1"/>
    <row r="3" spans="1:29" ht="14.25" hidden="1" customHeight="1"/>
    <row r="4" spans="1:29" ht="14.25" customHeight="1">
      <c r="J4" s="300"/>
      <c r="K4" s="300"/>
      <c r="L4" s="286"/>
      <c r="M4" s="286"/>
      <c r="N4" s="286"/>
      <c r="O4" s="433"/>
      <c r="P4" s="433"/>
      <c r="Q4" s="433"/>
      <c r="R4" s="433"/>
      <c r="S4" s="433"/>
      <c r="T4" s="433"/>
      <c r="U4" s="433"/>
      <c r="V4" s="286"/>
    </row>
    <row r="5" spans="1:29" ht="14.25" customHeight="1">
      <c r="J5" s="300"/>
      <c r="K5" s="300"/>
      <c r="L5" s="7949" t="s">
        <v>2453</v>
      </c>
      <c r="M5" s="7949"/>
      <c r="N5" s="7949"/>
      <c r="O5" s="7949"/>
      <c r="P5" s="7949"/>
      <c r="Q5" s="7949"/>
      <c r="R5" s="7949"/>
      <c r="S5" s="7949"/>
      <c r="T5" s="7949"/>
      <c r="U5" s="192"/>
      <c r="V5" s="192"/>
    </row>
    <row r="6" spans="1:29" ht="14.25" customHeight="1">
      <c r="J6" s="300"/>
      <c r="K6" s="300"/>
      <c r="L6" s="286"/>
      <c r="M6" s="286"/>
      <c r="N6" s="286"/>
      <c r="O6" s="242"/>
      <c r="P6" s="242"/>
      <c r="Q6" s="242"/>
      <c r="R6" s="242"/>
      <c r="S6" s="242"/>
      <c r="T6" s="242"/>
      <c r="U6" s="286"/>
    </row>
    <row r="7" spans="1:29" s="1771" customFormat="1" ht="22.5" customHeight="1">
      <c r="A7" s="292"/>
      <c r="B7" s="292"/>
      <c r="C7" s="292"/>
      <c r="D7" s="292"/>
      <c r="E7" s="292"/>
      <c r="F7" s="292"/>
      <c r="G7" s="292"/>
      <c r="H7" s="292"/>
      <c r="L7" s="193"/>
      <c r="M7" s="209" t="s">
        <v>38</v>
      </c>
      <c r="N7" s="218"/>
      <c r="O7" s="7950" t="e">
        <f>IF(NameOrPr_ch="",IF(NameOrPr="","",NameOrPr),NameOrPr_ch)</f>
        <v>#NAME?</v>
      </c>
      <c r="P7" s="7951"/>
      <c r="Q7" s="7951"/>
      <c r="R7" s="7951"/>
      <c r="S7" s="7951"/>
      <c r="T7" s="7952"/>
      <c r="U7" s="1162"/>
      <c r="Y7" s="292"/>
      <c r="Z7" s="292"/>
      <c r="AA7" s="292"/>
      <c r="AB7" s="292"/>
      <c r="AC7" s="292"/>
    </row>
    <row r="8" spans="1:29" s="1771" customFormat="1" ht="18.75" customHeight="1">
      <c r="A8" s="292"/>
      <c r="B8" s="292"/>
      <c r="C8" s="292"/>
      <c r="D8" s="292"/>
      <c r="E8" s="292"/>
      <c r="F8" s="292"/>
      <c r="G8" s="292"/>
      <c r="H8" s="292"/>
      <c r="L8" s="193"/>
      <c r="M8" s="209" t="s">
        <v>597</v>
      </c>
      <c r="N8" s="218"/>
      <c r="O8" s="7950" t="e">
        <f>IF(datePr_ch="",IF(datePr="","",datePr),datePr_ch)</f>
        <v>#NAME?</v>
      </c>
      <c r="P8" s="7951"/>
      <c r="Q8" s="7951"/>
      <c r="R8" s="7951"/>
      <c r="S8" s="7951"/>
      <c r="T8" s="7952"/>
      <c r="U8" s="1162"/>
      <c r="Y8" s="292"/>
      <c r="Z8" s="292"/>
      <c r="AA8" s="292"/>
      <c r="AB8" s="292"/>
      <c r="AC8" s="292"/>
    </row>
    <row r="9" spans="1:29" s="1771" customFormat="1" ht="18.75" customHeight="1">
      <c r="A9" s="292"/>
      <c r="B9" s="292"/>
      <c r="C9" s="292"/>
      <c r="D9" s="292"/>
      <c r="E9" s="292"/>
      <c r="F9" s="292"/>
      <c r="G9" s="292"/>
      <c r="H9" s="292"/>
      <c r="L9" s="244"/>
      <c r="M9" s="209" t="s">
        <v>598</v>
      </c>
      <c r="N9" s="218"/>
      <c r="O9" s="7950" t="e">
        <f>IF(numberPr_ch="",IF(numberPr="","",numberPr),numberPr_ch)</f>
        <v>#NAME?</v>
      </c>
      <c r="P9" s="7951"/>
      <c r="Q9" s="7951"/>
      <c r="R9" s="7951"/>
      <c r="S9" s="7951"/>
      <c r="T9" s="7952"/>
      <c r="U9" s="1162"/>
      <c r="Y9" s="292"/>
      <c r="Z9" s="292"/>
      <c r="AA9" s="292"/>
      <c r="AB9" s="292"/>
      <c r="AC9" s="292"/>
    </row>
    <row r="10" spans="1:29" s="1771" customFormat="1" ht="18.75" customHeight="1">
      <c r="A10" s="292"/>
      <c r="B10" s="292"/>
      <c r="C10" s="292"/>
      <c r="D10" s="292"/>
      <c r="E10" s="292"/>
      <c r="F10" s="292"/>
      <c r="G10" s="292"/>
      <c r="H10" s="292"/>
      <c r="L10" s="244"/>
      <c r="M10" s="209" t="s">
        <v>40</v>
      </c>
      <c r="N10" s="218"/>
      <c r="O10" s="7950" t="e">
        <f>IF(IstPub_ch="",IF(IstPub="","",IstPub),IstPub_ch)</f>
        <v>#NAME?</v>
      </c>
      <c r="P10" s="7951"/>
      <c r="Q10" s="7951"/>
      <c r="R10" s="7951"/>
      <c r="S10" s="7951"/>
      <c r="T10" s="7952"/>
      <c r="U10" s="1162"/>
      <c r="Y10" s="292"/>
      <c r="Z10" s="292"/>
      <c r="AA10" s="292"/>
      <c r="AB10" s="292"/>
      <c r="AC10" s="292"/>
    </row>
    <row r="11" spans="1:29" s="1771" customFormat="1" ht="18.75" hidden="1" customHeight="1">
      <c r="A11" s="1166"/>
      <c r="B11" s="1166"/>
      <c r="C11" s="1166"/>
      <c r="D11" s="1166"/>
      <c r="E11" s="1166"/>
      <c r="F11" s="1166"/>
      <c r="G11" s="1166"/>
      <c r="H11" s="1166"/>
      <c r="L11" s="244"/>
      <c r="M11" s="241"/>
      <c r="O11" s="1167"/>
      <c r="P11" s="1167"/>
      <c r="Q11" s="292" t="s">
        <v>2454</v>
      </c>
      <c r="R11" s="292" t="s">
        <v>2455</v>
      </c>
      <c r="S11" s="1167"/>
      <c r="T11" s="1167"/>
      <c r="U11" s="1162"/>
      <c r="Y11" s="1166"/>
      <c r="Z11" s="1166"/>
      <c r="AA11" s="1166"/>
      <c r="AB11" s="1166"/>
      <c r="AC11" s="1166"/>
    </row>
    <row r="12" spans="1:29" s="1771" customFormat="1" ht="11.25" hidden="1" customHeight="1">
      <c r="A12" s="292"/>
      <c r="B12" s="292"/>
      <c r="C12" s="292"/>
      <c r="D12" s="292"/>
      <c r="E12" s="292"/>
      <c r="F12" s="292"/>
      <c r="G12" s="292"/>
      <c r="H12" s="292"/>
      <c r="L12" s="7943"/>
      <c r="M12" s="7943"/>
      <c r="N12" s="1129"/>
      <c r="O12" s="248"/>
      <c r="P12" s="248"/>
      <c r="Q12" s="248"/>
      <c r="R12" s="248"/>
      <c r="S12" s="248"/>
      <c r="T12" s="248"/>
      <c r="U12" s="1165"/>
      <c r="V12" s="194" t="s">
        <v>601</v>
      </c>
      <c r="Y12" s="292"/>
      <c r="Z12" s="292"/>
      <c r="AA12" s="292"/>
      <c r="AB12" s="292"/>
      <c r="AC12" s="292"/>
    </row>
    <row r="13" spans="1:29" ht="14.25" customHeight="1">
      <c r="J13" s="300"/>
      <c r="K13" s="300"/>
      <c r="L13" s="286"/>
      <c r="M13" s="286"/>
      <c r="N13" s="286"/>
      <c r="O13" s="1168"/>
      <c r="P13" s="1168"/>
      <c r="Q13" s="7953"/>
      <c r="R13" s="7953"/>
      <c r="S13" s="7953"/>
      <c r="T13" s="7953"/>
      <c r="U13" s="7953"/>
      <c r="V13" s="7953"/>
    </row>
    <row r="14" spans="1:29" ht="14.25" customHeight="1">
      <c r="J14" s="300"/>
      <c r="K14" s="300"/>
      <c r="L14" s="7559" t="s">
        <v>474</v>
      </c>
      <c r="M14" s="7559"/>
      <c r="N14" s="7559"/>
      <c r="O14" s="7559"/>
      <c r="P14" s="7559"/>
      <c r="Q14" s="7559"/>
      <c r="R14" s="7559"/>
      <c r="S14" s="7559"/>
      <c r="T14" s="7559"/>
      <c r="U14" s="7559"/>
      <c r="V14" s="7559"/>
      <c r="W14" s="7559"/>
      <c r="X14" s="7559" t="s">
        <v>475</v>
      </c>
    </row>
    <row r="15" spans="1:29" ht="14.25" customHeight="1">
      <c r="J15" s="300"/>
      <c r="K15" s="300"/>
      <c r="L15" s="7649" t="s">
        <v>86</v>
      </c>
      <c r="M15" s="7649" t="s">
        <v>2456</v>
      </c>
      <c r="N15" s="1128"/>
      <c r="O15" s="7649" t="s">
        <v>2457</v>
      </c>
      <c r="P15" s="7648" t="s">
        <v>2458</v>
      </c>
      <c r="Q15" s="7648" t="s">
        <v>2438</v>
      </c>
      <c r="R15" s="7648"/>
      <c r="S15" s="7648"/>
      <c r="T15" s="7648"/>
      <c r="U15" s="7648"/>
      <c r="V15" s="7649" t="s">
        <v>604</v>
      </c>
      <c r="W15" s="7954" t="s">
        <v>1372</v>
      </c>
      <c r="X15" s="7559"/>
    </row>
    <row r="16" spans="1:29" ht="25.5" customHeight="1">
      <c r="J16" s="300"/>
      <c r="K16" s="300"/>
      <c r="L16" s="7649"/>
      <c r="M16" s="7649"/>
      <c r="N16" s="1128"/>
      <c r="O16" s="7649"/>
      <c r="P16" s="7648"/>
      <c r="Q16" s="7648" t="s">
        <v>2459</v>
      </c>
      <c r="R16" s="7648"/>
      <c r="S16" s="7559" t="s">
        <v>622</v>
      </c>
      <c r="T16" s="7559"/>
      <c r="U16" s="7559"/>
      <c r="V16" s="7649"/>
      <c r="W16" s="7954"/>
      <c r="X16" s="7559"/>
    </row>
    <row r="17" spans="1:29" ht="14.25" customHeight="1">
      <c r="J17" s="300"/>
      <c r="K17" s="300"/>
      <c r="L17" s="7649"/>
      <c r="M17" s="7649"/>
      <c r="N17" s="1128"/>
      <c r="O17" s="7649"/>
      <c r="P17" s="7648"/>
      <c r="Q17" s="1128" t="s">
        <v>651</v>
      </c>
      <c r="R17" s="1128" t="s">
        <v>652</v>
      </c>
      <c r="S17" s="1132" t="s">
        <v>620</v>
      </c>
      <c r="T17" s="7587" t="s">
        <v>621</v>
      </c>
      <c r="U17" s="7587"/>
      <c r="V17" s="7649"/>
      <c r="W17" s="7954"/>
      <c r="X17" s="7559"/>
    </row>
    <row r="18" spans="1:29" ht="14.25" customHeight="1">
      <c r="J18" s="300"/>
      <c r="K18" s="206">
        <v>1</v>
      </c>
      <c r="L18" s="374" t="s">
        <v>97</v>
      </c>
      <c r="M18" s="374" t="s">
        <v>100</v>
      </c>
      <c r="N18" s="1164" t="s">
        <v>100</v>
      </c>
      <c r="O18" s="1130">
        <f t="shared" ref="O18:T18" ca="1" si="0">OFFSET(O18,0,-1)+1</f>
        <v>3</v>
      </c>
      <c r="P18" s="1130">
        <f t="shared" ca="1" si="0"/>
        <v>4</v>
      </c>
      <c r="Q18" s="1130">
        <f t="shared" ca="1" si="0"/>
        <v>5</v>
      </c>
      <c r="R18" s="1130">
        <f t="shared" ca="1" si="0"/>
        <v>6</v>
      </c>
      <c r="S18" s="1130">
        <f t="shared" ca="1" si="0"/>
        <v>7</v>
      </c>
      <c r="T18" s="7955">
        <f t="shared" ca="1" si="0"/>
        <v>8</v>
      </c>
      <c r="U18" s="7955"/>
      <c r="V18" s="1130">
        <f ca="1">OFFSET(V18,0,-2)+1</f>
        <v>9</v>
      </c>
      <c r="X18" s="1130">
        <f ca="1">OFFSET(X18,0,-2)+1</f>
        <v>10</v>
      </c>
    </row>
    <row r="19" spans="1:29" ht="22.5" customHeight="1">
      <c r="A19" s="7688">
        <v>1</v>
      </c>
      <c r="B19" s="442"/>
      <c r="C19" s="442"/>
      <c r="D19" s="442"/>
      <c r="E19" s="442"/>
      <c r="F19" s="442"/>
      <c r="G19" s="307"/>
      <c r="H19" s="307"/>
      <c r="I19" s="282"/>
      <c r="J19" s="300"/>
      <c r="K19" s="300"/>
      <c r="L19" s="1137" t="e">
        <f ca="1">MERGEVALUE(A19)</f>
        <v>#NAME?</v>
      </c>
      <c r="M19" s="212" t="s">
        <v>237</v>
      </c>
      <c r="N19" s="231"/>
      <c r="O19" s="7869"/>
      <c r="P19" s="7869"/>
      <c r="Q19" s="7869"/>
      <c r="R19" s="7869"/>
      <c r="S19" s="7869"/>
      <c r="T19" s="7869"/>
      <c r="U19" s="7869"/>
      <c r="V19" s="7869"/>
      <c r="W19" s="7869"/>
      <c r="X19" s="266" t="s">
        <v>572</v>
      </c>
    </row>
    <row r="20" spans="1:29" ht="22.5" customHeight="1">
      <c r="A20" s="7688"/>
      <c r="B20" s="7688">
        <v>1</v>
      </c>
      <c r="C20" s="442"/>
      <c r="D20" s="442"/>
      <c r="E20" s="442"/>
      <c r="F20" s="442"/>
      <c r="G20" s="309"/>
      <c r="H20" s="1131"/>
      <c r="I20" s="284"/>
      <c r="J20" s="1138"/>
      <c r="K20" s="1060"/>
      <c r="L20" s="1137" t="e">
        <f ca="1">MERGEVALUE(A20)&amp;"."&amp;MERGEVALUE(B20)</f>
        <v>#NAME?</v>
      </c>
      <c r="M20" s="224" t="s">
        <v>573</v>
      </c>
      <c r="N20" s="231"/>
      <c r="O20" s="7869"/>
      <c r="P20" s="7869"/>
      <c r="Q20" s="7869"/>
      <c r="R20" s="7869"/>
      <c r="S20" s="7869"/>
      <c r="T20" s="7869"/>
      <c r="U20" s="7869"/>
      <c r="V20" s="7869"/>
      <c r="W20" s="7869"/>
      <c r="X20" s="266" t="s">
        <v>574</v>
      </c>
    </row>
    <row r="21" spans="1:29" ht="22.5" customHeight="1">
      <c r="A21" s="7688"/>
      <c r="B21" s="7688"/>
      <c r="C21" s="7688">
        <v>1</v>
      </c>
      <c r="D21" s="442"/>
      <c r="E21" s="442"/>
      <c r="F21" s="442"/>
      <c r="G21" s="309"/>
      <c r="H21" s="1131"/>
      <c r="I21" s="285"/>
      <c r="J21" s="1138"/>
      <c r="K21" s="1060"/>
      <c r="L21" s="1137" t="e">
        <f ca="1">MERGEVALUE(A21)&amp;"."&amp;MERGEVALUE(B21)&amp;"."&amp;MERGEVALUE(C21)</f>
        <v>#NAME?</v>
      </c>
      <c r="M21" s="225" t="s">
        <v>575</v>
      </c>
      <c r="N21" s="231"/>
      <c r="O21" s="7869"/>
      <c r="P21" s="7869"/>
      <c r="Q21" s="7869"/>
      <c r="R21" s="7869"/>
      <c r="S21" s="7869"/>
      <c r="T21" s="7869"/>
      <c r="U21" s="7869"/>
      <c r="V21" s="7869"/>
      <c r="W21" s="7869"/>
      <c r="X21" s="266" t="s">
        <v>576</v>
      </c>
    </row>
    <row r="22" spans="1:29" ht="14.25" customHeight="1">
      <c r="A22" s="7688"/>
      <c r="B22" s="7688"/>
      <c r="C22" s="7688"/>
      <c r="D22" s="7688">
        <v>1</v>
      </c>
      <c r="E22" s="442"/>
      <c r="F22" s="442"/>
      <c r="G22" s="309"/>
      <c r="H22" s="1131"/>
      <c r="I22" s="285"/>
      <c r="J22" s="283"/>
      <c r="K22" s="1060"/>
      <c r="L22" s="1137" t="e">
        <f ca="1">MERGEVALUE(A22)&amp;"."&amp;MERGEVALUE(B22)&amp;"."&amp;MERGEVALUE(C22)&amp;"."&amp;MERGEVALUE(D22)</f>
        <v>#NAME?</v>
      </c>
      <c r="M22" s="226" t="s">
        <v>577</v>
      </c>
      <c r="N22" s="231"/>
      <c r="O22" s="7869"/>
      <c r="P22" s="7869"/>
      <c r="Q22" s="7869"/>
      <c r="R22" s="7869"/>
      <c r="S22" s="7869"/>
      <c r="T22" s="7869"/>
      <c r="U22" s="7869"/>
      <c r="V22" s="7869"/>
      <c r="W22" s="7869"/>
      <c r="X22" s="259" t="s">
        <v>2460</v>
      </c>
    </row>
    <row r="23" spans="1:29" ht="22.5" customHeight="1">
      <c r="A23" s="7688"/>
      <c r="B23" s="7688"/>
      <c r="C23" s="7688"/>
      <c r="D23" s="7688"/>
      <c r="E23" s="442">
        <v>1</v>
      </c>
      <c r="F23" s="442"/>
      <c r="G23" s="309"/>
      <c r="H23" s="1131"/>
      <c r="I23" s="285"/>
      <c r="J23" s="283"/>
      <c r="K23" s="376"/>
      <c r="L23" s="1137" t="e">
        <f ca="1">MERGEVALUE(A23)&amp;"."&amp;MERGEVALUE(B23)&amp;"."&amp;MERGEVALUE(C23)&amp;"."&amp;MERGEVALUE(D23)&amp;"."&amp;MERGEVALUE(E23)</f>
        <v>#NAME?</v>
      </c>
      <c r="M23" s="302"/>
      <c r="N23" s="1134"/>
      <c r="O23" s="304"/>
      <c r="P23" s="305"/>
      <c r="Q23" s="219"/>
      <c r="R23" s="219"/>
      <c r="S23" s="1653"/>
      <c r="T23" s="1127" t="s">
        <v>55</v>
      </c>
      <c r="U23" s="1170"/>
      <c r="V23" s="1127" t="s">
        <v>55</v>
      </c>
      <c r="W23" s="1171"/>
      <c r="X23" s="7604" t="s">
        <v>2461</v>
      </c>
      <c r="Y23" s="435" t="e">
        <f ca="1">STRCHECKDATETWO(N23:W23)</f>
        <v>#NAME?</v>
      </c>
    </row>
    <row r="24" spans="1:29" ht="14.25" hidden="1" customHeight="1">
      <c r="A24" s="7688"/>
      <c r="B24" s="7688"/>
      <c r="C24" s="7688"/>
      <c r="D24" s="7688"/>
      <c r="E24" s="442"/>
      <c r="F24" s="442"/>
      <c r="G24" s="309"/>
      <c r="H24" s="1131"/>
      <c r="I24" s="285"/>
      <c r="J24" s="283"/>
      <c r="K24" s="376"/>
      <c r="L24" s="1136"/>
      <c r="M24" s="227"/>
      <c r="N24" s="214"/>
      <c r="O24" s="214"/>
      <c r="P24" s="214"/>
      <c r="Q24" s="214"/>
      <c r="R24" s="250" t="str">
        <f>S23&amp;"-"&amp;U23</f>
        <v>-</v>
      </c>
      <c r="S24" s="235"/>
      <c r="T24" s="232"/>
      <c r="U24" s="235"/>
      <c r="V24" s="214"/>
      <c r="W24" s="1172"/>
      <c r="X24" s="7605"/>
    </row>
    <row r="25" spans="1:29" ht="14.25" customHeight="1">
      <c r="A25" s="7688"/>
      <c r="B25" s="7688"/>
      <c r="C25" s="7688"/>
      <c r="D25" s="7688"/>
      <c r="E25" s="442"/>
      <c r="F25" s="442"/>
      <c r="G25" s="309"/>
      <c r="H25" s="1131"/>
      <c r="I25" s="285"/>
      <c r="J25" s="283"/>
      <c r="K25" s="376"/>
      <c r="L25" s="223"/>
      <c r="M25" s="288" t="s">
        <v>640</v>
      </c>
      <c r="N25" s="287"/>
      <c r="O25" s="243"/>
      <c r="P25" s="243"/>
      <c r="Q25" s="243"/>
      <c r="R25" s="243"/>
      <c r="S25" s="247"/>
      <c r="T25" s="291"/>
      <c r="U25" s="290"/>
      <c r="V25" s="287"/>
      <c r="W25" s="287"/>
      <c r="X25" s="7606"/>
    </row>
    <row r="26" spans="1:29" s="1827" customFormat="1" ht="14.25" customHeight="1">
      <c r="A26" s="7688"/>
      <c r="B26" s="7688"/>
      <c r="C26" s="7688"/>
      <c r="D26" s="308"/>
      <c r="E26" s="308"/>
      <c r="F26" s="308"/>
      <c r="G26" s="309"/>
      <c r="H26" s="308"/>
      <c r="I26" s="285"/>
      <c r="J26" s="299"/>
      <c r="K26" s="301"/>
      <c r="L26" s="223"/>
      <c r="M26" s="296" t="s">
        <v>755</v>
      </c>
      <c r="N26" s="287"/>
      <c r="O26" s="243"/>
      <c r="P26" s="243"/>
      <c r="Q26" s="243"/>
      <c r="R26" s="243"/>
      <c r="S26" s="247"/>
      <c r="T26" s="291"/>
      <c r="U26" s="290"/>
      <c r="V26" s="287"/>
      <c r="W26" s="291"/>
      <c r="X26" s="1173"/>
      <c r="Y26" s="306"/>
      <c r="Z26" s="306"/>
      <c r="AA26" s="306"/>
      <c r="AB26" s="306"/>
      <c r="AC26" s="306"/>
    </row>
    <row r="27" spans="1:29" s="1827" customFormat="1" ht="14.25" customHeight="1">
      <c r="A27" s="7688"/>
      <c r="B27" s="7688"/>
      <c r="C27" s="308"/>
      <c r="D27" s="308"/>
      <c r="E27" s="308"/>
      <c r="F27" s="308"/>
      <c r="G27" s="309"/>
      <c r="H27" s="308"/>
      <c r="I27" s="281"/>
      <c r="J27" s="299"/>
      <c r="K27" s="301"/>
      <c r="L27" s="223"/>
      <c r="M27" s="287" t="s">
        <v>2439</v>
      </c>
      <c r="N27" s="287"/>
      <c r="O27" s="243"/>
      <c r="P27" s="243"/>
      <c r="Q27" s="243"/>
      <c r="R27" s="243"/>
      <c r="S27" s="247"/>
      <c r="T27" s="291"/>
      <c r="U27" s="290"/>
      <c r="V27" s="287"/>
      <c r="W27" s="291"/>
      <c r="X27" s="245"/>
      <c r="Y27" s="306"/>
      <c r="Z27" s="306"/>
      <c r="AA27" s="306"/>
      <c r="AB27" s="306"/>
      <c r="AC27" s="306"/>
    </row>
    <row r="28" spans="1:29" s="1827" customFormat="1" ht="14.25" customHeight="1">
      <c r="A28" s="7688"/>
      <c r="B28" s="308"/>
      <c r="C28" s="308"/>
      <c r="D28" s="308"/>
      <c r="E28" s="308"/>
      <c r="F28" s="308"/>
      <c r="G28" s="309"/>
      <c r="H28" s="308"/>
      <c r="I28" s="281"/>
      <c r="J28" s="299"/>
      <c r="K28" s="301"/>
      <c r="L28" s="223"/>
      <c r="M28" s="344" t="s">
        <v>222</v>
      </c>
      <c r="N28" s="287"/>
      <c r="O28" s="243"/>
      <c r="P28" s="243"/>
      <c r="Q28" s="243"/>
      <c r="R28" s="243"/>
      <c r="S28" s="247"/>
      <c r="T28" s="291"/>
      <c r="U28" s="290"/>
      <c r="V28" s="287"/>
      <c r="W28" s="291"/>
      <c r="X28" s="245"/>
      <c r="Y28" s="306"/>
      <c r="Z28" s="306"/>
      <c r="AA28" s="306"/>
      <c r="AB28" s="306"/>
      <c r="AC28" s="306"/>
    </row>
    <row r="29" spans="1:29" s="1827" customFormat="1" ht="14.25" customHeight="1">
      <c r="G29" s="289"/>
      <c r="H29" s="301"/>
      <c r="I29" s="298"/>
      <c r="J29" s="299"/>
      <c r="L29" s="223"/>
      <c r="M29" s="345" t="s">
        <v>402</v>
      </c>
      <c r="N29" s="287"/>
      <c r="O29" s="243"/>
      <c r="P29" s="243"/>
      <c r="Q29" s="243"/>
      <c r="R29" s="243"/>
      <c r="S29" s="247"/>
      <c r="T29" s="291"/>
      <c r="U29" s="290"/>
      <c r="V29" s="287"/>
      <c r="W29" s="291"/>
      <c r="X29" s="245"/>
      <c r="Y29" s="306"/>
      <c r="Z29" s="306"/>
      <c r="AA29" s="306"/>
      <c r="AB29" s="306"/>
      <c r="AC29" s="306"/>
    </row>
    <row r="31" spans="1:29" ht="14.25" customHeight="1">
      <c r="L31" s="1">
        <v>1</v>
      </c>
      <c r="M31" s="7709" t="s">
        <v>2462</v>
      </c>
      <c r="N31" s="7709"/>
      <c r="O31" s="7709"/>
      <c r="P31" s="7709"/>
      <c r="Q31" s="7709"/>
      <c r="R31" s="7709"/>
      <c r="S31" s="7709"/>
      <c r="T31" s="7709"/>
      <c r="U31" s="7709"/>
      <c r="V31" s="7709"/>
      <c r="W31" s="7709"/>
      <c r="X31" s="7709"/>
      <c r="Y31" s="1174"/>
      <c r="Z31" s="293"/>
      <c r="AA31" s="293"/>
      <c r="AB31" s="293"/>
      <c r="AC31" s="293"/>
    </row>
    <row r="32" spans="1:29" ht="14.25" customHeight="1">
      <c r="M32" s="1175"/>
      <c r="N32" s="1175"/>
      <c r="O32" s="1175"/>
      <c r="P32" s="1175"/>
      <c r="Q32" s="1175"/>
      <c r="R32" s="1175"/>
      <c r="S32" s="1175"/>
      <c r="T32" s="1175"/>
      <c r="U32" s="1175"/>
      <c r="V32" s="1175"/>
      <c r="W32" s="1175"/>
      <c r="X32" s="1175"/>
      <c r="Y32" s="434"/>
      <c r="Z32" s="434"/>
      <c r="AA32" s="434"/>
      <c r="AB32" s="434"/>
      <c r="AC32" s="434"/>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6" hidden="1" customWidth="1"/>
    <col min="2" max="2" width="15" style="425" hidden="1" customWidth="1"/>
    <col min="3" max="3" width="3.7109375" style="379" customWidth="1"/>
    <col min="4" max="4" width="6.85546875" style="380" customWidth="1"/>
    <col min="5" max="5" width="52.28515625" style="379" customWidth="1"/>
    <col min="6" max="6" width="48.85546875" style="379" customWidth="1"/>
    <col min="7" max="7" width="121.7109375" style="379" customWidth="1"/>
    <col min="8" max="8" width="9.140625" style="379"/>
    <col min="9" max="9" width="65" style="379" customWidth="1"/>
  </cols>
  <sheetData>
    <row r="1" spans="1:9" ht="11.25" hidden="1" customHeight="1">
      <c r="A1" s="1606" t="s">
        <v>473</v>
      </c>
    </row>
    <row r="2" spans="1:9" ht="11.25" hidden="1" customHeight="1"/>
    <row r="3" spans="1:9" s="401" customFormat="1" ht="11.25" customHeight="1">
      <c r="A3" s="1606"/>
      <c r="B3" s="425"/>
      <c r="D3" s="402"/>
    </row>
    <row r="4" spans="1:9" ht="25.5" customHeight="1">
      <c r="D4" s="7594" t="str">
        <f>ORG_INFO_NAME_FORM</f>
        <v>Форма 1. Информация об организации, осуществляющей холодное водоснабжение (общая информация)</v>
      </c>
      <c r="E4" s="7595"/>
      <c r="F4" s="7596"/>
      <c r="I4" s="632"/>
    </row>
    <row r="5" spans="1:9" ht="17.25" customHeight="1">
      <c r="D5" s="7620" t="str">
        <f>IF(org=0,"Не определено",org)</f>
        <v>ГУП СК "Ставрополькрайводоканал"</v>
      </c>
      <c r="E5" s="7620"/>
      <c r="F5" s="7620"/>
      <c r="I5" s="632"/>
    </row>
    <row r="6" spans="1:9" s="401" customFormat="1" ht="11.25" customHeight="1">
      <c r="A6" s="1606"/>
      <c r="B6" s="425"/>
      <c r="D6" s="631"/>
      <c r="E6" s="631"/>
      <c r="F6" s="667"/>
      <c r="G6" s="631"/>
    </row>
    <row r="7" spans="1:9" ht="11.25" hidden="1" customHeight="1">
      <c r="A7" s="381"/>
      <c r="B7" s="426"/>
      <c r="C7" s="381"/>
      <c r="D7" s="387"/>
      <c r="E7" s="7647"/>
      <c r="F7" s="7647"/>
    </row>
    <row r="8" spans="1:9" ht="11.25" customHeight="1">
      <c r="A8" s="381"/>
      <c r="B8" s="426"/>
      <c r="C8" s="381"/>
      <c r="D8" s="7643" t="s">
        <v>474</v>
      </c>
      <c r="E8" s="7644"/>
      <c r="F8" s="7644"/>
      <c r="G8" s="7648" t="s">
        <v>475</v>
      </c>
    </row>
    <row r="9" spans="1:9" ht="11.25" customHeight="1">
      <c r="A9" s="381"/>
      <c r="B9" s="426"/>
      <c r="C9" s="381"/>
      <c r="D9" s="396" t="s">
        <v>86</v>
      </c>
      <c r="E9" s="372" t="s">
        <v>476</v>
      </c>
      <c r="F9" s="372" t="s">
        <v>477</v>
      </c>
      <c r="G9" s="7649"/>
    </row>
    <row r="10" spans="1:9" ht="12" hidden="1" customHeight="1">
      <c r="A10" s="381"/>
      <c r="B10" s="426"/>
      <c r="C10" s="381"/>
      <c r="D10" s="388"/>
      <c r="E10" s="388"/>
      <c r="F10" s="388"/>
      <c r="G10" s="388"/>
    </row>
    <row r="11" spans="1:9" ht="22.5" hidden="1" customHeight="1">
      <c r="A11" s="381"/>
      <c r="B11" s="426"/>
      <c r="C11" s="381"/>
      <c r="D11" s="920" t="s">
        <v>97</v>
      </c>
      <c r="E11" s="923" t="s">
        <v>478</v>
      </c>
      <c r="F11" s="922" t="str">
        <f>IF(region_name="","",region_name)</f>
        <v>Ставропольский край</v>
      </c>
      <c r="G11" s="923" t="s">
        <v>479</v>
      </c>
      <c r="H11" s="399"/>
    </row>
    <row r="12" spans="1:9" ht="22.5" hidden="1" customHeight="1">
      <c r="A12" s="381"/>
      <c r="B12" s="426"/>
      <c r="C12" s="381"/>
      <c r="D12" s="371" t="s">
        <v>97</v>
      </c>
      <c r="E12" s="37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69" t="s">
        <v>480</v>
      </c>
      <c r="G12" s="398"/>
      <c r="H12" s="399"/>
    </row>
    <row r="13" spans="1:9" ht="22.5" customHeight="1">
      <c r="A13" s="381"/>
      <c r="B13" s="426"/>
      <c r="C13" s="381"/>
      <c r="D13" s="371" t="s">
        <v>97</v>
      </c>
      <c r="E13" s="368" t="str">
        <f>"Наименование юридического лица"&amp;IF(TEMPLATE_SPHERE="TKO"," (индивидуального предпринимателя)","")</f>
        <v>Наименование юридического лица</v>
      </c>
      <c r="F13" s="367"/>
      <c r="G13" s="37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99"/>
    </row>
    <row r="14" spans="1:9" ht="22.5" hidden="1" customHeight="1">
      <c r="A14" s="381"/>
      <c r="B14" s="426"/>
      <c r="C14" s="381"/>
      <c r="D14" s="920" t="s">
        <v>481</v>
      </c>
      <c r="E14" s="921" t="s">
        <v>482</v>
      </c>
      <c r="F14" s="922" t="str">
        <f>IF(inn="","",inn)</f>
        <v>2635040105</v>
      </c>
      <c r="G14" s="923" t="s">
        <v>483</v>
      </c>
      <c r="H14" s="399"/>
    </row>
    <row r="15" spans="1:9" ht="22.5" hidden="1" customHeight="1">
      <c r="A15" s="381"/>
      <c r="B15" s="426"/>
      <c r="C15" s="381"/>
      <c r="D15" s="920" t="s">
        <v>484</v>
      </c>
      <c r="E15" s="921" t="s">
        <v>485</v>
      </c>
      <c r="F15" s="922" t="str">
        <f>IF(kpp="","",kpp)</f>
        <v>263501001</v>
      </c>
      <c r="G15" s="923" t="s">
        <v>486</v>
      </c>
      <c r="H15" s="399"/>
    </row>
    <row r="16" spans="1:9" ht="36.75" customHeight="1">
      <c r="A16" s="381"/>
      <c r="B16" s="426"/>
      <c r="C16" s="381"/>
      <c r="D16" s="371" t="s">
        <v>100</v>
      </c>
      <c r="E16" s="36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7"/>
      <c r="G16" s="37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9"/>
    </row>
    <row r="17" spans="1:9" ht="22.5" customHeight="1">
      <c r="A17" s="381"/>
      <c r="B17" s="426"/>
      <c r="C17" s="381"/>
      <c r="D17" s="371" t="s">
        <v>88</v>
      </c>
      <c r="E17" s="368" t="str">
        <f>"Дата присвоения ОГРН"&amp;IF(TEMPLATE_SPHERE="TKO",""," (ОГРНИП)")</f>
        <v>Дата присвоения ОГРН (ОГРНИП)</v>
      </c>
      <c r="F17" s="1651" t="s">
        <v>24</v>
      </c>
      <c r="G17" s="370" t="str">
        <f>"Дата присвоения ОГРН"&amp;IF(TEMPLATE_SPHERE="TKO",""," (ОГРНИП)")&amp;" указывается в виде «ДД.ММ.ГГГГ»."</f>
        <v>Дата присвоения ОГРН (ОГРНИП) указывается в виде «ДД.ММ.ГГГГ».</v>
      </c>
      <c r="H17" s="399"/>
    </row>
    <row r="18" spans="1:9" ht="56.25" customHeight="1">
      <c r="A18" s="381"/>
      <c r="B18" s="426"/>
      <c r="C18" s="381"/>
      <c r="D18" s="371" t="s">
        <v>89</v>
      </c>
      <c r="E18" s="36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7"/>
      <c r="G18" s="398"/>
      <c r="H18" s="399"/>
    </row>
    <row r="19" spans="1:9" ht="22.5" hidden="1" customHeight="1">
      <c r="A19" s="7645">
        <v>1</v>
      </c>
      <c r="B19" s="426"/>
      <c r="C19" s="7650"/>
      <c r="D19" s="366">
        <v>5</v>
      </c>
      <c r="E19" s="368" t="s">
        <v>487</v>
      </c>
      <c r="F19" s="369" t="s">
        <v>480</v>
      </c>
      <c r="G19" s="370" t="s">
        <v>488</v>
      </c>
      <c r="H19" s="399"/>
      <c r="I19" s="766"/>
    </row>
    <row r="20" spans="1:9" ht="33.75" hidden="1" customHeight="1">
      <c r="A20" s="7645"/>
      <c r="B20" s="426"/>
      <c r="C20" s="7650"/>
      <c r="D20" s="371" t="s">
        <v>489</v>
      </c>
      <c r="E20" s="365" t="s">
        <v>490</v>
      </c>
      <c r="F20" s="795" t="s">
        <v>24</v>
      </c>
      <c r="G20" s="398"/>
      <c r="H20" s="399"/>
      <c r="I20" s="766"/>
    </row>
    <row r="21" spans="1:9" ht="22.5" hidden="1" customHeight="1">
      <c r="A21" s="7645"/>
      <c r="B21" s="426"/>
      <c r="C21" s="7650"/>
      <c r="D21" s="371" t="s">
        <v>491</v>
      </c>
      <c r="E21" s="365" t="s">
        <v>492</v>
      </c>
      <c r="F21" s="1652" t="s">
        <v>24</v>
      </c>
      <c r="G21" s="370" t="s">
        <v>493</v>
      </c>
      <c r="H21" s="399"/>
      <c r="I21" s="766"/>
    </row>
    <row r="22" spans="1:9" ht="22.5" hidden="1" customHeight="1">
      <c r="A22" s="7645"/>
      <c r="B22" s="426"/>
      <c r="C22" s="7650"/>
      <c r="D22" s="371" t="s">
        <v>494</v>
      </c>
      <c r="E22" s="365" t="s">
        <v>495</v>
      </c>
      <c r="F22" s="795" t="s">
        <v>24</v>
      </c>
      <c r="G22" s="398"/>
      <c r="H22" s="399"/>
      <c r="I22" s="766"/>
    </row>
    <row r="23" spans="1:9" ht="22.5" hidden="1" customHeight="1">
      <c r="A23" s="7645"/>
      <c r="B23" s="426"/>
      <c r="C23" s="7650"/>
      <c r="D23" s="371" t="s">
        <v>496</v>
      </c>
      <c r="E23" s="365" t="s">
        <v>497</v>
      </c>
      <c r="F23" s="795" t="s">
        <v>24</v>
      </c>
      <c r="G23" s="370" t="s">
        <v>498</v>
      </c>
      <c r="H23" s="399"/>
      <c r="I23" s="766"/>
    </row>
    <row r="24" spans="1:9" s="425" customFormat="1" ht="24.75" hidden="1" customHeight="1">
      <c r="A24" s="381"/>
      <c r="B24" s="426"/>
      <c r="C24" s="426"/>
      <c r="D24" s="917" t="s">
        <v>88</v>
      </c>
      <c r="E24" s="919" t="s">
        <v>499</v>
      </c>
      <c r="F24" s="924" t="s">
        <v>480</v>
      </c>
      <c r="G24" s="919"/>
    </row>
    <row r="25" spans="1:9" s="425" customFormat="1" ht="11.25" hidden="1" customHeight="1">
      <c r="A25" s="381"/>
      <c r="B25" s="426"/>
      <c r="C25" s="426"/>
      <c r="D25" s="917" t="s">
        <v>500</v>
      </c>
      <c r="E25" s="918" t="s">
        <v>501</v>
      </c>
      <c r="F25" s="924" t="s">
        <v>480</v>
      </c>
      <c r="G25" s="919"/>
    </row>
    <row r="26" spans="1:9" s="425" customFormat="1" ht="11.25" hidden="1" customHeight="1">
      <c r="A26" s="381"/>
      <c r="B26" s="426"/>
      <c r="C26" s="426"/>
      <c r="D26" s="917" t="s">
        <v>502</v>
      </c>
      <c r="E26" s="925" t="s">
        <v>503</v>
      </c>
      <c r="F26" s="926"/>
      <c r="G26" s="91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425" customFormat="1" ht="11.25" hidden="1" customHeight="1">
      <c r="A27" s="381"/>
      <c r="B27" s="426"/>
      <c r="C27" s="426"/>
      <c r="D27" s="917" t="s">
        <v>504</v>
      </c>
      <c r="E27" s="925" t="s">
        <v>505</v>
      </c>
      <c r="F27" s="926"/>
      <c r="G27" s="91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425" customFormat="1" ht="11.25" hidden="1" customHeight="1">
      <c r="A28" s="381"/>
      <c r="B28" s="426"/>
      <c r="C28" s="426"/>
      <c r="D28" s="917" t="s">
        <v>506</v>
      </c>
      <c r="E28" s="925" t="s">
        <v>507</v>
      </c>
      <c r="F28" s="926"/>
      <c r="G28" s="91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425" customFormat="1" ht="11.25" hidden="1" customHeight="1">
      <c r="A29" s="381"/>
      <c r="B29" s="426"/>
      <c r="C29" s="426"/>
      <c r="D29" s="917" t="s">
        <v>508</v>
      </c>
      <c r="E29" s="918" t="s">
        <v>509</v>
      </c>
      <c r="F29" s="926"/>
      <c r="G29" s="919"/>
    </row>
    <row r="30" spans="1:9" s="425" customFormat="1" ht="11.25" hidden="1" customHeight="1">
      <c r="A30" s="381"/>
      <c r="B30" s="426"/>
      <c r="C30" s="426"/>
      <c r="D30" s="917" t="s">
        <v>510</v>
      </c>
      <c r="E30" s="918" t="s">
        <v>511</v>
      </c>
      <c r="F30" s="926"/>
      <c r="G30" s="919"/>
    </row>
    <row r="31" spans="1:9" s="425" customFormat="1" ht="11.25" hidden="1" customHeight="1">
      <c r="A31" s="381"/>
      <c r="B31" s="426"/>
      <c r="C31" s="426"/>
      <c r="D31" s="917" t="s">
        <v>512</v>
      </c>
      <c r="E31" s="918" t="s">
        <v>513</v>
      </c>
      <c r="F31" s="927"/>
      <c r="G31" s="919"/>
    </row>
    <row r="32" spans="1:9" ht="22.5" customHeight="1">
      <c r="A32" s="381" t="str">
        <f>IF(TEMPLATE_SPHERE="HEAT","6","5")</f>
        <v>5</v>
      </c>
      <c r="B32" s="426"/>
      <c r="C32" s="381"/>
      <c r="D32" s="366" t="str">
        <f>A32</f>
        <v>5</v>
      </c>
      <c r="E32" s="36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69" t="s">
        <v>480</v>
      </c>
      <c r="G32" s="398"/>
      <c r="H32" s="399"/>
    </row>
    <row r="33" spans="1:8" ht="22.5" customHeight="1">
      <c r="A33" s="381"/>
      <c r="B33" s="426"/>
      <c r="C33" s="381"/>
      <c r="D33" s="366" t="str">
        <f>D32&amp;".1"</f>
        <v>5.1</v>
      </c>
      <c r="E33" s="368" t="str">
        <f>"фамилия"&amp;IF(TEMPLATE_SPHERE&lt;&gt;"HEAT"," руководителя","")</f>
        <v>фамилия руководителя</v>
      </c>
      <c r="F33" s="367"/>
      <c r="G33" s="37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399"/>
    </row>
    <row r="34" spans="1:8" ht="22.5" customHeight="1">
      <c r="A34" s="381"/>
      <c r="B34" s="426"/>
      <c r="C34" s="381"/>
      <c r="D34" s="366" t="str">
        <f>D32&amp;".2"</f>
        <v>5.2</v>
      </c>
      <c r="E34" s="368" t="str">
        <f>"имя"&amp;IF(TEMPLATE_SPHERE&lt;&gt;"HEAT"," руководителя","")</f>
        <v>имя руководителя</v>
      </c>
      <c r="F34" s="367"/>
      <c r="G34" s="37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399"/>
    </row>
    <row r="35" spans="1:8" ht="22.5" customHeight="1">
      <c r="A35" s="381"/>
      <c r="B35" s="426"/>
      <c r="C35" s="381"/>
      <c r="D35" s="366" t="str">
        <f>D32&amp;".3"</f>
        <v>5.3</v>
      </c>
      <c r="E35" s="368" t="str">
        <f>"отчество"&amp;IF(TEMPLATE_SPHERE&lt;&gt;"HEAT"," руководителя","")</f>
        <v>отчество руководителя</v>
      </c>
      <c r="F35" s="616"/>
      <c r="G35" s="37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399"/>
    </row>
    <row r="36" spans="1:8" ht="33.75" customHeight="1">
      <c r="A36" s="381"/>
      <c r="B36" s="426"/>
      <c r="C36" s="381"/>
      <c r="D36" s="366">
        <f>D32+1</f>
        <v>6</v>
      </c>
      <c r="E36" s="36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67"/>
      <c r="G36" s="370" t="s">
        <v>514</v>
      </c>
      <c r="H36" s="399"/>
    </row>
    <row r="37" spans="1:8" ht="33.75" customHeight="1">
      <c r="A37" s="381"/>
      <c r="B37" s="426"/>
      <c r="C37" s="381"/>
      <c r="D37" s="366">
        <f>D36+1</f>
        <v>7</v>
      </c>
      <c r="E37" s="36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67"/>
      <c r="G37" s="370" t="s">
        <v>514</v>
      </c>
      <c r="H37" s="399"/>
    </row>
    <row r="38" spans="1:8" ht="22.5" customHeight="1">
      <c r="A38" s="381"/>
      <c r="B38" s="426"/>
      <c r="C38" s="381"/>
      <c r="D38" s="366">
        <f>D37+1</f>
        <v>8</v>
      </c>
      <c r="E38" s="36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69" t="s">
        <v>480</v>
      </c>
      <c r="G38" s="765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9"/>
    </row>
    <row r="39" spans="1:8" ht="22.5" hidden="1" customHeight="1">
      <c r="A39" s="381"/>
      <c r="B39" s="426"/>
      <c r="C39" s="381"/>
      <c r="D39" s="366" t="str">
        <f>D38&amp;".0"</f>
        <v>8.0</v>
      </c>
      <c r="E39" s="1529"/>
      <c r="F39" s="795"/>
      <c r="G39" s="7652"/>
      <c r="H39" s="399"/>
    </row>
    <row r="40" spans="1:8" ht="22.5" customHeight="1">
      <c r="A40" s="381"/>
      <c r="B40" s="381"/>
      <c r="C40" s="1608"/>
      <c r="D40" s="366" t="str">
        <f>D38&amp;".1"</f>
        <v>8.1</v>
      </c>
      <c r="E40" s="774"/>
      <c r="F40" s="775"/>
      <c r="G40" s="7652"/>
      <c r="H40" s="399"/>
    </row>
    <row r="41" spans="1:8" ht="15" customHeight="1">
      <c r="A41" s="381"/>
      <c r="B41" s="426"/>
      <c r="C41" s="381"/>
      <c r="D41" s="391"/>
      <c r="E41" s="344" t="s">
        <v>515</v>
      </c>
      <c r="F41" s="393"/>
      <c r="G41" s="7653"/>
      <c r="H41" s="400"/>
    </row>
    <row r="42" spans="1:8" ht="25.5" customHeight="1">
      <c r="A42" s="381"/>
      <c r="B42" s="426"/>
      <c r="C42" s="381"/>
      <c r="D42" s="366">
        <f>D38+1</f>
        <v>9</v>
      </c>
      <c r="E42" s="36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6"/>
      <c r="G42" s="37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9"/>
    </row>
    <row r="43" spans="1:8" ht="22.5" customHeight="1">
      <c r="A43" s="381"/>
      <c r="B43" s="426"/>
      <c r="C43" s="381"/>
      <c r="D43" s="366">
        <f>D42+1</f>
        <v>10</v>
      </c>
      <c r="E43" s="36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04"/>
      <c r="G43" s="398" t="s">
        <v>516</v>
      </c>
      <c r="H43" s="399"/>
    </row>
    <row r="44" spans="1:8" ht="22.5" customHeight="1">
      <c r="A44" s="381"/>
      <c r="B44" s="426"/>
      <c r="C44" s="381"/>
      <c r="D44" s="366">
        <f>D43+1</f>
        <v>11</v>
      </c>
      <c r="E44" s="364" t="s">
        <v>517</v>
      </c>
      <c r="F44" s="369" t="s">
        <v>480</v>
      </c>
      <c r="G44" s="363" t="str">
        <f>IF(TEMPLATE_SPHERE="TKO","Указывается режим работы организации.","")</f>
        <v/>
      </c>
      <c r="H44" s="399"/>
    </row>
    <row r="45" spans="1:8" ht="22.5" customHeight="1">
      <c r="A45" s="381"/>
      <c r="B45" s="426"/>
      <c r="C45" s="381"/>
      <c r="D45" s="366" t="str">
        <f>D44&amp;".1"</f>
        <v>11.1</v>
      </c>
      <c r="E45" s="368" t="str">
        <f>"режим работы регулируемой организации"&amp;IF(TEMPLATE_SPHERE="HEAT",", ЕТО, ТО","")</f>
        <v>режим работы регулируемой организации</v>
      </c>
      <c r="F45" s="1604"/>
      <c r="G45" s="363" t="s">
        <v>518</v>
      </c>
      <c r="H45" s="399"/>
    </row>
    <row r="46" spans="1:8" ht="22.5" customHeight="1">
      <c r="A46" s="7641"/>
      <c r="B46" s="426"/>
      <c r="C46" s="416"/>
      <c r="D46" s="366" t="str">
        <f>D44&amp;".2"</f>
        <v>11.2</v>
      </c>
      <c r="E46" s="368" t="s">
        <v>519</v>
      </c>
      <c r="F46" s="414"/>
      <c r="G46" s="363" t="s">
        <v>520</v>
      </c>
      <c r="H46" s="399"/>
    </row>
    <row r="47" spans="1:8" ht="22.5" customHeight="1">
      <c r="A47" s="7641"/>
      <c r="B47" s="426"/>
      <c r="C47" s="416"/>
      <c r="D47" s="366" t="str">
        <f>D44&amp;".3"</f>
        <v>11.3</v>
      </c>
      <c r="E47" s="368" t="s">
        <v>521</v>
      </c>
      <c r="F47" s="414"/>
      <c r="G47" s="363" t="s">
        <v>522</v>
      </c>
      <c r="H47" s="399"/>
    </row>
    <row r="48" spans="1:8" ht="22.5" customHeight="1">
      <c r="A48" s="7641"/>
      <c r="B48" s="426"/>
      <c r="C48" s="416"/>
      <c r="D48" s="366" t="str">
        <f>IF(TEMPLATE_SPHERE="TKO",D44&amp;".0",D44&amp;".4")</f>
        <v>11.4</v>
      </c>
      <c r="E48" s="362" t="s">
        <v>523</v>
      </c>
      <c r="F48" s="1605"/>
      <c r="G48" s="1681" t="s">
        <v>524</v>
      </c>
      <c r="H48" s="399"/>
    </row>
    <row r="49" spans="1:9" ht="22.5" customHeight="1">
      <c r="A49" s="381"/>
      <c r="B49" s="426"/>
      <c r="C49" s="381"/>
      <c r="D49" s="391"/>
      <c r="E49" s="344" t="s">
        <v>525</v>
      </c>
      <c r="F49" s="392"/>
      <c r="G49" s="1681" t="s">
        <v>526</v>
      </c>
      <c r="H49" s="400"/>
    </row>
    <row r="50" spans="1:9" ht="22.5" customHeight="1">
      <c r="A50" s="772"/>
      <c r="B50" s="426"/>
      <c r="C50" s="416"/>
      <c r="D50" s="366">
        <f>D44+1</f>
        <v>12</v>
      </c>
      <c r="E50" s="452" t="s">
        <v>527</v>
      </c>
      <c r="F50" s="414"/>
      <c r="G50"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399"/>
    </row>
    <row r="51" spans="1:9" ht="11.25" customHeight="1">
      <c r="A51" s="381"/>
      <c r="B51" s="426"/>
      <c r="C51" s="381"/>
    </row>
    <row r="52" spans="1:9" s="384" customFormat="1" ht="30" customHeight="1">
      <c r="A52" s="1607"/>
      <c r="B52" s="427"/>
      <c r="C52" s="7642"/>
      <c r="D52" s="764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7646"/>
      <c r="F52" s="7646"/>
      <c r="G52" s="7646"/>
      <c r="H52" s="378"/>
      <c r="I52" s="378"/>
    </row>
    <row r="53" spans="1:9" s="384" customFormat="1" ht="39.75" customHeight="1">
      <c r="A53" s="381"/>
      <c r="B53" s="426"/>
      <c r="C53" s="7642"/>
      <c r="D53" s="7646"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7646"/>
      <c r="F53" s="7646"/>
      <c r="G53" s="7646"/>
    </row>
    <row r="54" spans="1:9" ht="11.25" customHeight="1">
      <c r="D54" s="382"/>
      <c r="E54" s="383"/>
      <c r="F54" s="383"/>
      <c r="G54" s="383"/>
    </row>
    <row r="55" spans="1:9" ht="27" customHeight="1">
      <c r="D55" s="385"/>
      <c r="E55" s="382"/>
      <c r="F55" s="394"/>
      <c r="G55" s="394"/>
    </row>
    <row r="56" spans="1:9" ht="11.25" customHeight="1">
      <c r="D56" s="382"/>
      <c r="E56" s="382"/>
      <c r="F56" s="383"/>
      <c r="G56" s="383"/>
    </row>
    <row r="57" spans="1:9" ht="39" customHeight="1">
      <c r="D57" s="386"/>
      <c r="E57" s="395"/>
      <c r="F57" s="395"/>
      <c r="G57" s="395"/>
    </row>
    <row r="58" spans="1:9" ht="27" customHeight="1">
      <c r="D58" s="386"/>
      <c r="E58" s="395"/>
      <c r="F58" s="395"/>
      <c r="G58" s="395"/>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8" t="s">
        <v>2463</v>
      </c>
      <c r="B1" s="679" t="s">
        <v>2464</v>
      </c>
      <c r="C1" s="7956" t="s">
        <v>2465</v>
      </c>
      <c r="D1" s="7957"/>
      <c r="E1" s="750" t="s">
        <v>2466</v>
      </c>
    </row>
    <row r="2" spans="1:5" ht="11.25" customHeight="1">
      <c r="A2" s="672"/>
      <c r="B2" s="680" t="s">
        <v>22</v>
      </c>
      <c r="C2" s="668"/>
      <c r="D2" s="679"/>
      <c r="E2" s="750"/>
    </row>
    <row r="3" spans="1:5" ht="11.25" customHeight="1">
      <c r="A3" s="683"/>
      <c r="B3" s="681" t="s">
        <v>29</v>
      </c>
      <c r="C3" s="668"/>
      <c r="D3" s="679"/>
      <c r="E3" s="750"/>
    </row>
    <row r="4" spans="1:5" ht="11.25" customHeight="1">
      <c r="A4" s="684"/>
      <c r="B4" s="681" t="s">
        <v>1962</v>
      </c>
      <c r="C4" s="668"/>
      <c r="D4" s="679"/>
      <c r="E4" s="750"/>
    </row>
    <row r="5" spans="1:5" ht="11.25" customHeight="1">
      <c r="A5" s="695"/>
      <c r="B5" s="681" t="s">
        <v>1956</v>
      </c>
      <c r="C5" s="671" t="s">
        <v>2203</v>
      </c>
      <c r="D5" s="794" t="s">
        <v>2467</v>
      </c>
      <c r="E5" s="750"/>
    </row>
    <row r="6" spans="1:5" s="1827" customFormat="1" ht="11.25" customHeight="1">
      <c r="A6" s="682"/>
      <c r="B6" s="681" t="s">
        <v>1965</v>
      </c>
      <c r="C6" s="668"/>
      <c r="D6" s="679"/>
      <c r="E6" s="750"/>
    </row>
    <row r="7" spans="1:5" ht="11.25" customHeight="1">
      <c r="A7" s="670"/>
      <c r="B7" s="681" t="s">
        <v>1973</v>
      </c>
      <c r="C7" s="668"/>
      <c r="D7" s="679"/>
      <c r="E7" s="750"/>
    </row>
    <row r="8" spans="1:5" ht="11.25" customHeight="1">
      <c r="A8" s="671"/>
      <c r="B8" s="681" t="s">
        <v>1968</v>
      </c>
      <c r="C8" s="668"/>
      <c r="D8" s="679"/>
      <c r="E8" s="750"/>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53"/>
  <sheetViews>
    <sheetView showGridLines="0" workbookViewId="0"/>
  </sheetViews>
  <sheetFormatPr defaultColWidth="9.140625" defaultRowHeight="11.25" customHeight="1"/>
  <cols>
    <col min="1" max="2" width="9.140625" style="1827"/>
    <col min="3" max="3" width="20.7109375" style="1827" customWidth="1"/>
    <col min="4" max="4" width="25.140625" style="1827" customWidth="1"/>
    <col min="5" max="9" width="9.140625" style="1827"/>
  </cols>
  <sheetData>
    <row r="1" spans="1:9" ht="11.25" customHeight="1">
      <c r="A1" t="s">
        <v>2468</v>
      </c>
      <c r="B1" t="s">
        <v>2469</v>
      </c>
      <c r="C1" t="s">
        <v>2470</v>
      </c>
      <c r="D1" t="s">
        <v>2471</v>
      </c>
      <c r="E1" t="s">
        <v>2472</v>
      </c>
      <c r="F1" t="s">
        <v>2473</v>
      </c>
      <c r="G1" t="s">
        <v>2474</v>
      </c>
      <c r="H1" t="s">
        <v>2475</v>
      </c>
      <c r="I1" t="s">
        <v>2476</v>
      </c>
    </row>
    <row r="2" spans="1:9" ht="11.25" customHeight="1">
      <c r="A2" s="1827" t="s">
        <v>2477</v>
      </c>
      <c r="B2" s="1827" t="s">
        <v>14</v>
      </c>
      <c r="C2" s="1827" t="s">
        <v>2478</v>
      </c>
      <c r="D2" s="1827" t="s">
        <v>2479</v>
      </c>
      <c r="E2" s="1827" t="s">
        <v>2480</v>
      </c>
      <c r="F2" s="1827" t="s">
        <v>2481</v>
      </c>
      <c r="G2" s="1827" t="s">
        <v>2482</v>
      </c>
      <c r="H2" s="1827" t="s">
        <v>24</v>
      </c>
      <c r="I2" s="1827" t="s">
        <v>891</v>
      </c>
    </row>
    <row r="3" spans="1:9" ht="11.25" customHeight="1">
      <c r="A3" s="1827" t="s">
        <v>2477</v>
      </c>
      <c r="B3" s="1827" t="s">
        <v>14</v>
      </c>
      <c r="C3" s="1827" t="s">
        <v>2483</v>
      </c>
      <c r="D3" s="1827" t="s">
        <v>2484</v>
      </c>
      <c r="E3" s="1827" t="s">
        <v>2485</v>
      </c>
      <c r="F3" s="1827" t="s">
        <v>2486</v>
      </c>
      <c r="G3" s="1827" t="s">
        <v>2487</v>
      </c>
      <c r="H3" s="1827" t="s">
        <v>24</v>
      </c>
      <c r="I3" s="1827" t="s">
        <v>891</v>
      </c>
    </row>
    <row r="4" spans="1:9" ht="11.25" customHeight="1">
      <c r="A4" s="1827" t="s">
        <v>2477</v>
      </c>
      <c r="B4" s="1827" t="s">
        <v>14</v>
      </c>
      <c r="C4" s="1827" t="s">
        <v>2488</v>
      </c>
      <c r="D4" s="1827" t="s">
        <v>2489</v>
      </c>
      <c r="E4" s="1827" t="s">
        <v>2490</v>
      </c>
      <c r="F4" s="1827" t="s">
        <v>2486</v>
      </c>
      <c r="G4" s="1827" t="s">
        <v>2491</v>
      </c>
      <c r="H4" s="1827" t="s">
        <v>24</v>
      </c>
      <c r="I4" s="1827" t="s">
        <v>891</v>
      </c>
    </row>
    <row r="5" spans="1:9" ht="11.25" customHeight="1">
      <c r="A5" s="1827" t="s">
        <v>2477</v>
      </c>
      <c r="B5" s="1827" t="s">
        <v>14</v>
      </c>
      <c r="C5" s="1827" t="s">
        <v>2492</v>
      </c>
      <c r="D5" s="1827" t="s">
        <v>2493</v>
      </c>
      <c r="E5" s="1827" t="s">
        <v>2494</v>
      </c>
      <c r="F5" s="1827" t="s">
        <v>2495</v>
      </c>
      <c r="G5" s="1827" t="s">
        <v>2496</v>
      </c>
      <c r="H5" s="1827" t="s">
        <v>24</v>
      </c>
      <c r="I5" s="1827" t="s">
        <v>891</v>
      </c>
    </row>
    <row r="6" spans="1:9" ht="11.25" customHeight="1">
      <c r="A6" s="1827" t="s">
        <v>2477</v>
      </c>
      <c r="B6" s="1827" t="s">
        <v>14</v>
      </c>
      <c r="C6" s="1827" t="s">
        <v>2497</v>
      </c>
      <c r="D6" s="1827" t="s">
        <v>2498</v>
      </c>
      <c r="E6" s="1827" t="s">
        <v>2499</v>
      </c>
      <c r="F6" s="1827" t="s">
        <v>2500</v>
      </c>
      <c r="G6" s="1827" t="s">
        <v>24</v>
      </c>
      <c r="H6" s="1827" t="s">
        <v>24</v>
      </c>
      <c r="I6" s="1827" t="s">
        <v>891</v>
      </c>
    </row>
    <row r="7" spans="1:9" ht="11.25" customHeight="1">
      <c r="A7" s="1827" t="s">
        <v>2477</v>
      </c>
      <c r="B7" s="1827" t="s">
        <v>14</v>
      </c>
      <c r="C7" s="1827" t="s">
        <v>2501</v>
      </c>
      <c r="D7" s="1827" t="s">
        <v>2502</v>
      </c>
      <c r="E7" s="1827" t="s">
        <v>2503</v>
      </c>
      <c r="F7" s="1827" t="s">
        <v>2504</v>
      </c>
      <c r="G7" s="1827" t="s">
        <v>24</v>
      </c>
      <c r="H7" s="1827" t="s">
        <v>24</v>
      </c>
      <c r="I7" s="1827" t="s">
        <v>891</v>
      </c>
    </row>
    <row r="8" spans="1:9" ht="11.25" customHeight="1">
      <c r="A8" s="1827" t="s">
        <v>2477</v>
      </c>
      <c r="B8" s="1827" t="s">
        <v>14</v>
      </c>
      <c r="C8" s="1827" t="s">
        <v>2505</v>
      </c>
      <c r="D8" s="1827" t="s">
        <v>2506</v>
      </c>
      <c r="E8" s="1827" t="s">
        <v>2507</v>
      </c>
      <c r="F8" s="1827" t="s">
        <v>2508</v>
      </c>
      <c r="G8" s="1827" t="s">
        <v>2509</v>
      </c>
      <c r="H8" s="1827" t="s">
        <v>24</v>
      </c>
      <c r="I8" s="1827" t="s">
        <v>891</v>
      </c>
    </row>
    <row r="9" spans="1:9" ht="11.25" customHeight="1">
      <c r="A9" s="1827" t="s">
        <v>2477</v>
      </c>
      <c r="B9" s="1827" t="s">
        <v>14</v>
      </c>
      <c r="C9" s="1827" t="s">
        <v>2510</v>
      </c>
      <c r="D9" s="1827" t="s">
        <v>2511</v>
      </c>
      <c r="E9" s="1827" t="s">
        <v>2512</v>
      </c>
      <c r="F9" s="1827" t="s">
        <v>2481</v>
      </c>
      <c r="G9" s="1827" t="s">
        <v>2513</v>
      </c>
      <c r="H9" s="1827" t="s">
        <v>24</v>
      </c>
      <c r="I9" s="1827" t="s">
        <v>891</v>
      </c>
    </row>
    <row r="10" spans="1:9" ht="11.25" customHeight="1">
      <c r="A10" s="1827" t="s">
        <v>2477</v>
      </c>
      <c r="B10" s="1827" t="s">
        <v>14</v>
      </c>
      <c r="C10" s="1827" t="s">
        <v>2514</v>
      </c>
      <c r="D10" s="1827" t="s">
        <v>2515</v>
      </c>
      <c r="E10" s="1827" t="s">
        <v>2516</v>
      </c>
      <c r="F10" s="1827" t="s">
        <v>2486</v>
      </c>
      <c r="G10" s="1827" t="s">
        <v>24</v>
      </c>
      <c r="H10" s="1827" t="s">
        <v>24</v>
      </c>
      <c r="I10" s="1827" t="s">
        <v>891</v>
      </c>
    </row>
    <row r="11" spans="1:9" ht="11.25" customHeight="1">
      <c r="A11" s="1827" t="s">
        <v>2477</v>
      </c>
      <c r="B11" s="1827" t="s">
        <v>14</v>
      </c>
      <c r="C11" s="1827" t="s">
        <v>2517</v>
      </c>
      <c r="D11" s="1827" t="s">
        <v>2518</v>
      </c>
      <c r="E11" s="1827" t="s">
        <v>2519</v>
      </c>
      <c r="F11" s="1827" t="s">
        <v>50</v>
      </c>
      <c r="G11" s="1827" t="s">
        <v>2520</v>
      </c>
      <c r="H11" s="1827" t="s">
        <v>24</v>
      </c>
      <c r="I11" s="1827" t="s">
        <v>891</v>
      </c>
    </row>
    <row r="12" spans="1:9" ht="11.25" customHeight="1">
      <c r="A12" s="1827" t="s">
        <v>2477</v>
      </c>
      <c r="B12" s="1827" t="s">
        <v>14</v>
      </c>
      <c r="C12" s="1827" t="s">
        <v>2521</v>
      </c>
      <c r="D12" s="1827" t="s">
        <v>2522</v>
      </c>
      <c r="E12" s="1827" t="s">
        <v>2523</v>
      </c>
      <c r="F12" s="1827" t="s">
        <v>2524</v>
      </c>
      <c r="G12" s="1827" t="s">
        <v>2525</v>
      </c>
      <c r="H12" s="1827" t="s">
        <v>24</v>
      </c>
      <c r="I12" s="1827" t="s">
        <v>891</v>
      </c>
    </row>
    <row r="13" spans="1:9" ht="11.25" customHeight="1">
      <c r="A13" s="1827" t="s">
        <v>2477</v>
      </c>
      <c r="B13" s="1827" t="s">
        <v>14</v>
      </c>
      <c r="C13" s="1827" t="s">
        <v>2526</v>
      </c>
      <c r="D13" s="1827" t="s">
        <v>2527</v>
      </c>
      <c r="E13" s="1827" t="s">
        <v>2528</v>
      </c>
      <c r="F13" s="1827" t="s">
        <v>2529</v>
      </c>
      <c r="G13" s="1827" t="s">
        <v>2530</v>
      </c>
      <c r="H13" s="1827" t="s">
        <v>24</v>
      </c>
      <c r="I13" s="1827" t="s">
        <v>891</v>
      </c>
    </row>
    <row r="14" spans="1:9" ht="11.25" customHeight="1">
      <c r="A14" s="1827" t="s">
        <v>2477</v>
      </c>
      <c r="B14" s="1827" t="s">
        <v>14</v>
      </c>
      <c r="C14" s="1827" t="s">
        <v>2531</v>
      </c>
      <c r="D14" s="1827" t="s">
        <v>2532</v>
      </c>
      <c r="E14" s="1827" t="s">
        <v>2533</v>
      </c>
      <c r="F14" s="1827" t="s">
        <v>2534</v>
      </c>
      <c r="G14" s="1827" t="s">
        <v>24</v>
      </c>
      <c r="H14" s="1827" t="s">
        <v>24</v>
      </c>
      <c r="I14" s="1827" t="s">
        <v>891</v>
      </c>
    </row>
    <row r="15" spans="1:9" ht="11.25" customHeight="1">
      <c r="A15" s="1827" t="s">
        <v>2477</v>
      </c>
      <c r="B15" s="1827" t="s">
        <v>14</v>
      </c>
      <c r="C15" s="1827" t="s">
        <v>2535</v>
      </c>
      <c r="D15" s="1827" t="s">
        <v>2536</v>
      </c>
      <c r="E15" s="1827" t="s">
        <v>2537</v>
      </c>
      <c r="F15" s="1827" t="s">
        <v>2538</v>
      </c>
      <c r="G15" s="1827" t="s">
        <v>2539</v>
      </c>
      <c r="H15" s="1827" t="s">
        <v>24</v>
      </c>
      <c r="I15" s="1827" t="s">
        <v>891</v>
      </c>
    </row>
    <row r="16" spans="1:9" ht="11.25" customHeight="1">
      <c r="A16" s="1827" t="s">
        <v>2477</v>
      </c>
      <c r="B16" s="1827" t="s">
        <v>14</v>
      </c>
      <c r="C16" s="1827" t="s">
        <v>2540</v>
      </c>
      <c r="D16" s="1827" t="s">
        <v>2541</v>
      </c>
      <c r="E16" s="1827" t="s">
        <v>2542</v>
      </c>
      <c r="F16" s="1827" t="s">
        <v>2543</v>
      </c>
      <c r="G16" s="1827" t="s">
        <v>2544</v>
      </c>
      <c r="H16" s="1827" t="s">
        <v>24</v>
      </c>
      <c r="I16" s="1827" t="s">
        <v>891</v>
      </c>
    </row>
    <row r="17" spans="1:9" ht="11.25" customHeight="1">
      <c r="A17" s="1827" t="s">
        <v>2477</v>
      </c>
      <c r="B17" s="1827" t="s">
        <v>14</v>
      </c>
      <c r="C17" s="1827" t="s">
        <v>2545</v>
      </c>
      <c r="D17" s="1827" t="s">
        <v>2546</v>
      </c>
      <c r="E17" s="1827" t="s">
        <v>2547</v>
      </c>
      <c r="F17" s="1827" t="s">
        <v>2508</v>
      </c>
      <c r="G17" s="1827" t="s">
        <v>2548</v>
      </c>
      <c r="H17" s="1827" t="s">
        <v>24</v>
      </c>
      <c r="I17" s="1827" t="s">
        <v>891</v>
      </c>
    </row>
    <row r="18" spans="1:9" ht="11.25" customHeight="1">
      <c r="A18" s="1827" t="s">
        <v>2477</v>
      </c>
      <c r="B18" s="1827" t="s">
        <v>14</v>
      </c>
      <c r="C18" s="1827" t="s">
        <v>2549</v>
      </c>
      <c r="D18" s="1827" t="s">
        <v>2550</v>
      </c>
      <c r="E18" s="1827" t="s">
        <v>2551</v>
      </c>
      <c r="F18" s="1827" t="s">
        <v>2495</v>
      </c>
      <c r="G18" s="1827" t="s">
        <v>2552</v>
      </c>
      <c r="H18" s="1827" t="s">
        <v>24</v>
      </c>
      <c r="I18" s="1827" t="s">
        <v>891</v>
      </c>
    </row>
    <row r="19" spans="1:9" ht="11.25" customHeight="1">
      <c r="A19" s="1827" t="s">
        <v>2477</v>
      </c>
      <c r="B19" s="1827" t="s">
        <v>14</v>
      </c>
      <c r="C19" s="1827" t="s">
        <v>2553</v>
      </c>
      <c r="D19" s="1827" t="s">
        <v>2554</v>
      </c>
      <c r="E19" s="1827" t="s">
        <v>2555</v>
      </c>
      <c r="F19" s="1827" t="s">
        <v>50</v>
      </c>
      <c r="G19" s="1827" t="s">
        <v>2556</v>
      </c>
      <c r="H19" s="1827" t="s">
        <v>24</v>
      </c>
      <c r="I19" s="1827" t="s">
        <v>891</v>
      </c>
    </row>
    <row r="20" spans="1:9" ht="11.25" customHeight="1">
      <c r="A20" s="1827" t="s">
        <v>2477</v>
      </c>
      <c r="B20" s="1827" t="s">
        <v>14</v>
      </c>
      <c r="C20" s="1827" t="s">
        <v>2557</v>
      </c>
      <c r="D20" s="1827" t="s">
        <v>45</v>
      </c>
      <c r="E20" s="1827" t="s">
        <v>48</v>
      </c>
      <c r="F20" s="1827" t="s">
        <v>50</v>
      </c>
      <c r="G20" s="1827" t="s">
        <v>2558</v>
      </c>
      <c r="H20" s="1827" t="s">
        <v>24</v>
      </c>
      <c r="I20" s="1827" t="s">
        <v>891</v>
      </c>
    </row>
    <row r="21" spans="1:9" ht="11.25" customHeight="1">
      <c r="A21" s="1827" t="s">
        <v>2477</v>
      </c>
      <c r="B21" s="1827" t="s">
        <v>14</v>
      </c>
      <c r="C21" s="1827" t="s">
        <v>2559</v>
      </c>
      <c r="D21" s="1827" t="s">
        <v>2560</v>
      </c>
      <c r="E21" s="1827" t="s">
        <v>2561</v>
      </c>
      <c r="F21" s="1827" t="s">
        <v>2562</v>
      </c>
      <c r="G21" s="1827" t="s">
        <v>2563</v>
      </c>
      <c r="H21" s="1827" t="s">
        <v>24</v>
      </c>
      <c r="I21" s="1827" t="s">
        <v>891</v>
      </c>
    </row>
    <row r="22" spans="1:9" ht="11.25" customHeight="1">
      <c r="A22" s="1827" t="s">
        <v>2477</v>
      </c>
      <c r="B22" s="1827" t="s">
        <v>14</v>
      </c>
      <c r="C22" s="1827" t="s">
        <v>2564</v>
      </c>
      <c r="D22" s="1827" t="s">
        <v>2565</v>
      </c>
      <c r="E22" s="1827" t="s">
        <v>2566</v>
      </c>
      <c r="F22" s="1827" t="s">
        <v>2567</v>
      </c>
      <c r="G22" s="1827" t="s">
        <v>2568</v>
      </c>
      <c r="H22" s="1827" t="s">
        <v>24</v>
      </c>
      <c r="I22" s="1827" t="s">
        <v>891</v>
      </c>
    </row>
    <row r="23" spans="1:9" ht="11.25" customHeight="1">
      <c r="A23" s="1827" t="s">
        <v>2477</v>
      </c>
      <c r="B23" s="1827" t="s">
        <v>14</v>
      </c>
      <c r="C23" s="1827" t="s">
        <v>2569</v>
      </c>
      <c r="D23" s="1827" t="s">
        <v>2570</v>
      </c>
      <c r="E23" s="1827" t="s">
        <v>2571</v>
      </c>
      <c r="F23" s="1827" t="s">
        <v>744</v>
      </c>
      <c r="G23" s="1827" t="s">
        <v>2572</v>
      </c>
      <c r="H23" s="1827" t="s">
        <v>24</v>
      </c>
      <c r="I23" s="1827" t="s">
        <v>891</v>
      </c>
    </row>
    <row r="24" spans="1:9" ht="11.25" customHeight="1">
      <c r="A24" s="1827" t="s">
        <v>2477</v>
      </c>
      <c r="B24" s="1827" t="s">
        <v>14</v>
      </c>
      <c r="C24" s="1827" t="s">
        <v>2573</v>
      </c>
      <c r="D24" s="1827" t="s">
        <v>2574</v>
      </c>
      <c r="E24" s="1827" t="s">
        <v>2575</v>
      </c>
      <c r="F24" s="1827" t="s">
        <v>744</v>
      </c>
      <c r="G24" s="1827" t="s">
        <v>2576</v>
      </c>
      <c r="H24" s="1827" t="s">
        <v>24</v>
      </c>
      <c r="I24" s="1827" t="s">
        <v>891</v>
      </c>
    </row>
    <row r="25" spans="1:9" ht="11.25" customHeight="1">
      <c r="A25" s="1827" t="s">
        <v>2477</v>
      </c>
      <c r="B25" s="1827" t="s">
        <v>14</v>
      </c>
      <c r="C25" s="1827" t="s">
        <v>2577</v>
      </c>
      <c r="D25" s="1827" t="s">
        <v>2578</v>
      </c>
      <c r="E25" s="1827" t="s">
        <v>2579</v>
      </c>
      <c r="F25" s="1827" t="s">
        <v>744</v>
      </c>
      <c r="G25" s="1827" t="s">
        <v>2580</v>
      </c>
      <c r="H25" s="1827" t="s">
        <v>24</v>
      </c>
      <c r="I25" s="1827" t="s">
        <v>891</v>
      </c>
    </row>
    <row r="26" spans="1:9" ht="11.25" customHeight="1">
      <c r="A26" s="1827" t="s">
        <v>2477</v>
      </c>
      <c r="B26" s="1827" t="s">
        <v>14</v>
      </c>
      <c r="C26" s="1827" t="s">
        <v>2581</v>
      </c>
      <c r="D26" s="1827" t="s">
        <v>2582</v>
      </c>
      <c r="E26" s="1827" t="s">
        <v>2583</v>
      </c>
      <c r="F26" s="1827" t="s">
        <v>744</v>
      </c>
      <c r="G26" s="1827" t="s">
        <v>2584</v>
      </c>
      <c r="H26" s="1827" t="s">
        <v>24</v>
      </c>
      <c r="I26" s="1827" t="s">
        <v>891</v>
      </c>
    </row>
    <row r="27" spans="1:9" ht="11.25" customHeight="1">
      <c r="A27" s="1827" t="s">
        <v>2477</v>
      </c>
      <c r="B27" s="1827" t="s">
        <v>14</v>
      </c>
      <c r="C27" s="1827" t="s">
        <v>2585</v>
      </c>
      <c r="D27" s="1827" t="s">
        <v>2586</v>
      </c>
      <c r="E27" s="1827" t="s">
        <v>2566</v>
      </c>
      <c r="F27" s="1827" t="s">
        <v>2587</v>
      </c>
      <c r="G27" s="1827" t="s">
        <v>2568</v>
      </c>
      <c r="H27" s="1827" t="s">
        <v>24</v>
      </c>
      <c r="I27" s="1827" t="s">
        <v>891</v>
      </c>
    </row>
    <row r="28" spans="1:9" ht="11.25" customHeight="1">
      <c r="A28" s="1827" t="s">
        <v>2477</v>
      </c>
      <c r="B28" s="1827" t="s">
        <v>14</v>
      </c>
      <c r="C28" s="1827" t="s">
        <v>2588</v>
      </c>
      <c r="D28" s="1827" t="s">
        <v>2589</v>
      </c>
      <c r="E28" s="1827" t="s">
        <v>2590</v>
      </c>
      <c r="F28" s="1827" t="s">
        <v>2495</v>
      </c>
      <c r="G28" s="1827" t="s">
        <v>2591</v>
      </c>
      <c r="H28" s="1827" t="s">
        <v>24</v>
      </c>
      <c r="I28" s="1827" t="s">
        <v>891</v>
      </c>
    </row>
    <row r="29" spans="1:9" ht="11.25" customHeight="1">
      <c r="A29" s="1827" t="s">
        <v>2477</v>
      </c>
      <c r="B29" s="1827" t="s">
        <v>14</v>
      </c>
      <c r="C29" s="1827" t="s">
        <v>2592</v>
      </c>
      <c r="D29" s="1827" t="s">
        <v>2593</v>
      </c>
      <c r="E29" s="1827" t="s">
        <v>2594</v>
      </c>
      <c r="F29" s="1827" t="s">
        <v>2495</v>
      </c>
      <c r="G29" s="1827" t="s">
        <v>2595</v>
      </c>
      <c r="H29" s="1827" t="s">
        <v>24</v>
      </c>
      <c r="I29" s="1827" t="s">
        <v>891</v>
      </c>
    </row>
    <row r="30" spans="1:9" ht="11.25" customHeight="1">
      <c r="A30" s="1827" t="s">
        <v>2477</v>
      </c>
      <c r="B30" s="1827" t="s">
        <v>14</v>
      </c>
      <c r="C30" s="1827" t="s">
        <v>2596</v>
      </c>
      <c r="D30" s="1827" t="s">
        <v>2597</v>
      </c>
      <c r="E30" s="1827" t="s">
        <v>2598</v>
      </c>
      <c r="F30" s="1827" t="s">
        <v>2599</v>
      </c>
      <c r="G30" s="1827" t="s">
        <v>2600</v>
      </c>
      <c r="H30" s="1827" t="s">
        <v>24</v>
      </c>
      <c r="I30" s="1827" t="s">
        <v>891</v>
      </c>
    </row>
    <row r="31" spans="1:9" ht="11.25" customHeight="1">
      <c r="A31" s="1827" t="s">
        <v>2477</v>
      </c>
      <c r="B31" s="1827" t="s">
        <v>14</v>
      </c>
      <c r="C31" s="1827" t="s">
        <v>2601</v>
      </c>
      <c r="D31" s="1827" t="s">
        <v>2602</v>
      </c>
      <c r="E31" s="1827" t="s">
        <v>2603</v>
      </c>
      <c r="F31" s="1827" t="s">
        <v>2604</v>
      </c>
      <c r="G31" s="1827" t="s">
        <v>2605</v>
      </c>
      <c r="H31" s="1827" t="s">
        <v>24</v>
      </c>
      <c r="I31" s="1827" t="s">
        <v>891</v>
      </c>
    </row>
    <row r="32" spans="1:9" ht="11.25" customHeight="1">
      <c r="A32" s="1827" t="s">
        <v>2477</v>
      </c>
      <c r="B32" s="1827" t="s">
        <v>14</v>
      </c>
      <c r="C32" s="1827" t="s">
        <v>2606</v>
      </c>
      <c r="D32" s="1827" t="s">
        <v>2607</v>
      </c>
      <c r="E32" s="1827" t="s">
        <v>2608</v>
      </c>
      <c r="F32" s="1827" t="s">
        <v>2609</v>
      </c>
      <c r="G32" s="1827" t="s">
        <v>2610</v>
      </c>
      <c r="H32" s="1827" t="s">
        <v>24</v>
      </c>
      <c r="I32" s="1827" t="s">
        <v>891</v>
      </c>
    </row>
    <row r="33" spans="1:9" ht="11.25" customHeight="1">
      <c r="A33" s="1827" t="s">
        <v>2477</v>
      </c>
      <c r="B33" s="1827" t="s">
        <v>14</v>
      </c>
      <c r="C33" s="1827" t="s">
        <v>2611</v>
      </c>
      <c r="D33" s="1827" t="s">
        <v>2612</v>
      </c>
      <c r="E33" s="1827" t="s">
        <v>2613</v>
      </c>
      <c r="F33" s="1827" t="s">
        <v>2614</v>
      </c>
      <c r="G33" s="1827" t="s">
        <v>2615</v>
      </c>
      <c r="H33" s="1827" t="s">
        <v>24</v>
      </c>
      <c r="I33" s="1827" t="s">
        <v>891</v>
      </c>
    </row>
    <row r="34" spans="1:9" ht="11.25" customHeight="1">
      <c r="A34" s="1827" t="s">
        <v>2477</v>
      </c>
      <c r="B34" s="1827" t="s">
        <v>14</v>
      </c>
      <c r="C34" s="1827" t="s">
        <v>2616</v>
      </c>
      <c r="D34" s="1827" t="s">
        <v>2617</v>
      </c>
      <c r="E34" s="1827" t="s">
        <v>2618</v>
      </c>
      <c r="F34" s="1827" t="s">
        <v>2619</v>
      </c>
      <c r="G34" s="1827" t="s">
        <v>2620</v>
      </c>
      <c r="H34" s="1827" t="s">
        <v>24</v>
      </c>
      <c r="I34" s="1827" t="s">
        <v>891</v>
      </c>
    </row>
    <row r="35" spans="1:9" ht="11.25" customHeight="1">
      <c r="A35" s="1827" t="s">
        <v>2477</v>
      </c>
      <c r="B35" s="1827" t="s">
        <v>14</v>
      </c>
      <c r="C35" s="1827" t="s">
        <v>2621</v>
      </c>
      <c r="D35" s="1827" t="s">
        <v>2622</v>
      </c>
      <c r="E35" s="1827" t="s">
        <v>2623</v>
      </c>
      <c r="F35" s="1827" t="s">
        <v>2508</v>
      </c>
      <c r="G35" s="1827" t="s">
        <v>2624</v>
      </c>
      <c r="H35" s="1827" t="s">
        <v>24</v>
      </c>
      <c r="I35" s="1827" t="s">
        <v>891</v>
      </c>
    </row>
    <row r="36" spans="1:9" ht="11.25" customHeight="1">
      <c r="A36" s="1827" t="s">
        <v>2477</v>
      </c>
      <c r="B36" s="1827" t="s">
        <v>14</v>
      </c>
      <c r="C36" s="1827" t="s">
        <v>2625</v>
      </c>
      <c r="D36" s="1827" t="s">
        <v>2626</v>
      </c>
      <c r="E36" s="1827" t="s">
        <v>2499</v>
      </c>
      <c r="F36" s="1827" t="s">
        <v>2627</v>
      </c>
      <c r="G36" s="1827" t="s">
        <v>2628</v>
      </c>
      <c r="H36" s="1827" t="s">
        <v>24</v>
      </c>
      <c r="I36" s="1827" t="s">
        <v>891</v>
      </c>
    </row>
    <row r="37" spans="1:9" ht="11.25" customHeight="1">
      <c r="A37" s="1827" t="s">
        <v>2477</v>
      </c>
      <c r="B37" s="1827" t="s">
        <v>14</v>
      </c>
      <c r="C37" s="1827" t="s">
        <v>2629</v>
      </c>
      <c r="D37" s="1827" t="s">
        <v>2630</v>
      </c>
      <c r="E37" s="1827" t="s">
        <v>2631</v>
      </c>
      <c r="F37" s="1827" t="s">
        <v>2632</v>
      </c>
      <c r="G37" s="1827" t="s">
        <v>24</v>
      </c>
      <c r="H37" s="1827" t="s">
        <v>2633</v>
      </c>
      <c r="I37" s="1827" t="s">
        <v>891</v>
      </c>
    </row>
    <row r="38" spans="1:9" ht="11.25" customHeight="1">
      <c r="A38" s="1827" t="s">
        <v>2477</v>
      </c>
      <c r="B38" s="1827" t="s">
        <v>14</v>
      </c>
      <c r="C38" s="1827" t="s">
        <v>2634</v>
      </c>
      <c r="D38" s="1827" t="s">
        <v>2635</v>
      </c>
      <c r="E38" s="1827" t="s">
        <v>2636</v>
      </c>
      <c r="F38" s="1827" t="s">
        <v>2495</v>
      </c>
      <c r="G38" s="1827" t="s">
        <v>2637</v>
      </c>
      <c r="H38" s="1827" t="s">
        <v>24</v>
      </c>
      <c r="I38" s="1827" t="s">
        <v>891</v>
      </c>
    </row>
    <row r="39" spans="1:9" ht="11.25" customHeight="1">
      <c r="A39" s="1827" t="s">
        <v>2477</v>
      </c>
      <c r="B39" s="1827" t="s">
        <v>14</v>
      </c>
      <c r="C39" s="1827" t="s">
        <v>2638</v>
      </c>
      <c r="D39" s="1827" t="s">
        <v>2639</v>
      </c>
      <c r="E39" s="1827" t="s">
        <v>2640</v>
      </c>
      <c r="F39" s="1827" t="s">
        <v>2641</v>
      </c>
      <c r="G39" s="1827" t="s">
        <v>2642</v>
      </c>
      <c r="H39" s="1827" t="s">
        <v>24</v>
      </c>
      <c r="I39" s="1827" t="s">
        <v>891</v>
      </c>
    </row>
    <row r="40" spans="1:9" ht="11.25" customHeight="1">
      <c r="A40" s="1827" t="s">
        <v>2477</v>
      </c>
      <c r="B40" s="1827" t="s">
        <v>14</v>
      </c>
      <c r="C40" s="1827" t="s">
        <v>2643</v>
      </c>
      <c r="D40" s="1827" t="s">
        <v>2644</v>
      </c>
      <c r="E40" s="1827" t="s">
        <v>2645</v>
      </c>
      <c r="F40" s="1827" t="s">
        <v>2508</v>
      </c>
      <c r="G40" s="1827" t="s">
        <v>24</v>
      </c>
      <c r="H40" s="1827" t="s">
        <v>24</v>
      </c>
      <c r="I40" s="1827" t="s">
        <v>891</v>
      </c>
    </row>
    <row r="41" spans="1:9" ht="11.25" customHeight="1">
      <c r="A41" s="1827" t="s">
        <v>2477</v>
      </c>
      <c r="B41" s="1827" t="s">
        <v>14</v>
      </c>
      <c r="C41" s="1827" t="s">
        <v>2646</v>
      </c>
      <c r="D41" s="1827" t="s">
        <v>2647</v>
      </c>
      <c r="E41" s="1827" t="s">
        <v>2648</v>
      </c>
      <c r="F41" s="1827" t="s">
        <v>2649</v>
      </c>
      <c r="G41" s="1827" t="s">
        <v>2650</v>
      </c>
      <c r="H41" s="1827" t="s">
        <v>24</v>
      </c>
      <c r="I41" s="1827" t="s">
        <v>891</v>
      </c>
    </row>
    <row r="42" spans="1:9" ht="11.25" customHeight="1">
      <c r="A42" s="1827" t="s">
        <v>2477</v>
      </c>
      <c r="B42" s="1827" t="s">
        <v>14</v>
      </c>
      <c r="C42" s="1827" t="s">
        <v>2651</v>
      </c>
      <c r="D42" s="1827" t="s">
        <v>2652</v>
      </c>
      <c r="E42" s="1827" t="s">
        <v>2653</v>
      </c>
      <c r="F42" s="1827" t="s">
        <v>2543</v>
      </c>
      <c r="G42" s="1827" t="s">
        <v>2654</v>
      </c>
      <c r="H42" s="1827" t="s">
        <v>24</v>
      </c>
      <c r="I42" s="1827" t="s">
        <v>891</v>
      </c>
    </row>
    <row r="43" spans="1:9" ht="11.25" customHeight="1">
      <c r="A43" s="1827" t="s">
        <v>2477</v>
      </c>
      <c r="B43" s="1827" t="s">
        <v>14</v>
      </c>
      <c r="C43" s="1827" t="s">
        <v>2655</v>
      </c>
      <c r="D43" s="1827" t="s">
        <v>2656</v>
      </c>
      <c r="E43" s="1827" t="s">
        <v>2657</v>
      </c>
      <c r="F43" s="1827" t="s">
        <v>2658</v>
      </c>
      <c r="G43" s="1827" t="s">
        <v>2659</v>
      </c>
      <c r="H43" s="1827" t="s">
        <v>24</v>
      </c>
      <c r="I43" s="1827" t="s">
        <v>891</v>
      </c>
    </row>
    <row r="44" spans="1:9" ht="11.25" customHeight="1">
      <c r="A44" s="1827" t="s">
        <v>2477</v>
      </c>
      <c r="B44" s="1827" t="s">
        <v>14</v>
      </c>
      <c r="C44" s="1827" t="s">
        <v>2660</v>
      </c>
      <c r="D44" s="1827" t="s">
        <v>2661</v>
      </c>
      <c r="E44" s="1827" t="s">
        <v>2662</v>
      </c>
      <c r="F44" s="1827" t="s">
        <v>2529</v>
      </c>
      <c r="G44" s="1827" t="s">
        <v>24</v>
      </c>
      <c r="H44" s="1827" t="s">
        <v>24</v>
      </c>
      <c r="I44" s="1827" t="s">
        <v>891</v>
      </c>
    </row>
    <row r="45" spans="1:9" ht="11.25" customHeight="1">
      <c r="A45" s="1827" t="s">
        <v>2477</v>
      </c>
      <c r="B45" s="1827" t="s">
        <v>14</v>
      </c>
      <c r="C45" s="1827" t="s">
        <v>2663</v>
      </c>
      <c r="D45" s="1827" t="s">
        <v>2664</v>
      </c>
      <c r="E45" s="1827" t="s">
        <v>2665</v>
      </c>
      <c r="F45" s="1827" t="s">
        <v>2495</v>
      </c>
      <c r="G45" s="1827" t="s">
        <v>24</v>
      </c>
      <c r="H45" s="1827" t="s">
        <v>24</v>
      </c>
      <c r="I45" s="1827" t="s">
        <v>891</v>
      </c>
    </row>
    <row r="46" spans="1:9" ht="11.25" customHeight="1">
      <c r="A46" s="1827" t="s">
        <v>2477</v>
      </c>
      <c r="B46" s="1827" t="s">
        <v>14</v>
      </c>
      <c r="C46" s="1827" t="s">
        <v>2666</v>
      </c>
      <c r="D46" s="1827" t="s">
        <v>2667</v>
      </c>
      <c r="E46" s="1827" t="s">
        <v>2668</v>
      </c>
      <c r="F46" s="1827" t="s">
        <v>50</v>
      </c>
      <c r="G46" s="1827" t="s">
        <v>2669</v>
      </c>
      <c r="H46" s="1827" t="s">
        <v>24</v>
      </c>
      <c r="I46" s="1827" t="s">
        <v>891</v>
      </c>
    </row>
    <row r="47" spans="1:9" ht="11.25" customHeight="1">
      <c r="A47" s="1827" t="s">
        <v>2477</v>
      </c>
      <c r="B47" s="1827" t="s">
        <v>14</v>
      </c>
      <c r="C47" s="1827" t="s">
        <v>2670</v>
      </c>
      <c r="D47" s="1827" t="s">
        <v>2671</v>
      </c>
      <c r="E47" s="1827" t="s">
        <v>2672</v>
      </c>
      <c r="F47" s="1827" t="s">
        <v>2673</v>
      </c>
      <c r="G47" s="1827" t="s">
        <v>2674</v>
      </c>
      <c r="H47" s="1827" t="s">
        <v>24</v>
      </c>
      <c r="I47" s="1827" t="s">
        <v>891</v>
      </c>
    </row>
    <row r="48" spans="1:9" ht="11.25" customHeight="1">
      <c r="A48" s="1827" t="s">
        <v>2477</v>
      </c>
      <c r="B48" s="1827" t="s">
        <v>14</v>
      </c>
      <c r="C48" s="1827" t="s">
        <v>2675</v>
      </c>
      <c r="D48" s="1827" t="s">
        <v>2676</v>
      </c>
      <c r="E48" s="1827" t="s">
        <v>2677</v>
      </c>
      <c r="F48" s="1827" t="s">
        <v>2481</v>
      </c>
      <c r="G48" s="1827" t="s">
        <v>2678</v>
      </c>
      <c r="H48" s="1827" t="s">
        <v>24</v>
      </c>
      <c r="I48" s="1827" t="s">
        <v>891</v>
      </c>
    </row>
    <row r="49" spans="1:9" ht="11.25" customHeight="1">
      <c r="A49" s="1827" t="s">
        <v>2477</v>
      </c>
      <c r="B49" s="1827" t="s">
        <v>14</v>
      </c>
      <c r="C49" s="1827" t="s">
        <v>2679</v>
      </c>
      <c r="D49" s="1827" t="s">
        <v>2680</v>
      </c>
      <c r="E49" s="1827" t="s">
        <v>2681</v>
      </c>
      <c r="F49" s="1827" t="s">
        <v>2495</v>
      </c>
      <c r="G49" s="1827" t="s">
        <v>24</v>
      </c>
      <c r="H49" s="1827" t="s">
        <v>24</v>
      </c>
      <c r="I49" s="1827" t="s">
        <v>891</v>
      </c>
    </row>
    <row r="50" spans="1:9" ht="11.25" customHeight="1">
      <c r="A50" s="1827" t="s">
        <v>2477</v>
      </c>
      <c r="B50" s="1827" t="s">
        <v>14</v>
      </c>
      <c r="C50" s="1827" t="s">
        <v>2682</v>
      </c>
      <c r="D50" s="1827" t="s">
        <v>2683</v>
      </c>
      <c r="E50" s="1827" t="s">
        <v>2684</v>
      </c>
      <c r="F50" s="1827" t="s">
        <v>2614</v>
      </c>
      <c r="G50" s="1827" t="s">
        <v>2685</v>
      </c>
      <c r="H50" s="1827" t="s">
        <v>24</v>
      </c>
      <c r="I50" s="1827" t="s">
        <v>891</v>
      </c>
    </row>
    <row r="51" spans="1:9" ht="11.25" customHeight="1">
      <c r="A51" s="1827" t="s">
        <v>2477</v>
      </c>
      <c r="B51" s="1827" t="s">
        <v>14</v>
      </c>
      <c r="C51" s="1827" t="s">
        <v>2686</v>
      </c>
      <c r="D51" s="1827" t="s">
        <v>2687</v>
      </c>
      <c r="E51" s="1827" t="s">
        <v>2688</v>
      </c>
      <c r="F51" s="1827" t="s">
        <v>2495</v>
      </c>
      <c r="G51" s="1827" t="s">
        <v>24</v>
      </c>
      <c r="H51" s="1827" t="s">
        <v>24</v>
      </c>
      <c r="I51" s="1827" t="s">
        <v>891</v>
      </c>
    </row>
    <row r="52" spans="1:9" ht="11.25" customHeight="1">
      <c r="A52" s="1827" t="s">
        <v>2477</v>
      </c>
      <c r="B52" s="1827" t="s">
        <v>14</v>
      </c>
      <c r="C52" s="1827" t="s">
        <v>2689</v>
      </c>
      <c r="D52" s="1827" t="s">
        <v>2690</v>
      </c>
      <c r="E52" s="1827" t="s">
        <v>2691</v>
      </c>
      <c r="F52" s="1827" t="s">
        <v>2524</v>
      </c>
      <c r="G52" s="1827" t="s">
        <v>2692</v>
      </c>
      <c r="H52" s="1827" t="s">
        <v>24</v>
      </c>
      <c r="I52" s="1827" t="s">
        <v>891</v>
      </c>
    </row>
    <row r="53" spans="1:9" ht="11.25" customHeight="1">
      <c r="A53" s="1827" t="s">
        <v>2477</v>
      </c>
      <c r="B53" s="1827" t="s">
        <v>14</v>
      </c>
      <c r="C53" s="1827" t="s">
        <v>2693</v>
      </c>
      <c r="D53" s="1827" t="s">
        <v>2694</v>
      </c>
      <c r="E53" s="1827" t="s">
        <v>2695</v>
      </c>
      <c r="F53" s="1827" t="s">
        <v>2486</v>
      </c>
      <c r="G53" s="1827" t="s">
        <v>2696</v>
      </c>
      <c r="H53" s="1827" t="s">
        <v>24</v>
      </c>
      <c r="I53" s="1827" t="s">
        <v>891</v>
      </c>
    </row>
    <row r="54" spans="1:9" ht="11.25" customHeight="1">
      <c r="A54" s="1827" t="s">
        <v>2477</v>
      </c>
      <c r="B54" s="1827" t="s">
        <v>14</v>
      </c>
      <c r="C54" s="1827" t="s">
        <v>2697</v>
      </c>
      <c r="D54" s="1827" t="s">
        <v>2698</v>
      </c>
      <c r="E54" s="1827" t="s">
        <v>2699</v>
      </c>
      <c r="F54" s="1827" t="s">
        <v>2524</v>
      </c>
      <c r="G54" s="1827" t="s">
        <v>2700</v>
      </c>
      <c r="H54" s="1827" t="s">
        <v>24</v>
      </c>
      <c r="I54" s="1827" t="s">
        <v>891</v>
      </c>
    </row>
    <row r="55" spans="1:9" ht="11.25" customHeight="1">
      <c r="A55" s="1827" t="s">
        <v>2477</v>
      </c>
      <c r="B55" s="1827" t="s">
        <v>14</v>
      </c>
      <c r="C55" s="1827" t="s">
        <v>2701</v>
      </c>
      <c r="D55" s="1827" t="s">
        <v>2702</v>
      </c>
      <c r="E55" s="1827" t="s">
        <v>2703</v>
      </c>
      <c r="F55" s="1827" t="s">
        <v>2704</v>
      </c>
      <c r="G55" s="1827" t="s">
        <v>2705</v>
      </c>
      <c r="H55" s="1827" t="s">
        <v>24</v>
      </c>
      <c r="I55" s="1827" t="s">
        <v>891</v>
      </c>
    </row>
    <row r="56" spans="1:9" ht="11.25" customHeight="1">
      <c r="A56" s="1827" t="s">
        <v>2477</v>
      </c>
      <c r="B56" s="1827" t="s">
        <v>14</v>
      </c>
      <c r="C56" s="1827" t="s">
        <v>2706</v>
      </c>
      <c r="D56" s="1827" t="s">
        <v>2707</v>
      </c>
      <c r="E56" s="1827" t="s">
        <v>2708</v>
      </c>
      <c r="F56" s="1827" t="s">
        <v>2614</v>
      </c>
      <c r="G56" s="1827" t="s">
        <v>2709</v>
      </c>
      <c r="H56" s="1827" t="s">
        <v>24</v>
      </c>
      <c r="I56" s="1827" t="s">
        <v>891</v>
      </c>
    </row>
    <row r="57" spans="1:9" ht="11.25" customHeight="1">
      <c r="A57" s="1827" t="s">
        <v>2477</v>
      </c>
      <c r="B57" s="1827" t="s">
        <v>14</v>
      </c>
      <c r="C57" s="1827" t="s">
        <v>2710</v>
      </c>
      <c r="D57" s="1827" t="s">
        <v>2711</v>
      </c>
      <c r="E57" s="1827" t="s">
        <v>2712</v>
      </c>
      <c r="F57" s="1827" t="s">
        <v>2704</v>
      </c>
      <c r="G57" s="1827" t="s">
        <v>2713</v>
      </c>
      <c r="H57" s="1827" t="s">
        <v>24</v>
      </c>
      <c r="I57" s="1827" t="s">
        <v>891</v>
      </c>
    </row>
    <row r="58" spans="1:9" ht="11.25" customHeight="1">
      <c r="A58" s="1827" t="s">
        <v>2477</v>
      </c>
      <c r="B58" s="1827" t="s">
        <v>14</v>
      </c>
      <c r="C58" s="1827" t="s">
        <v>2714</v>
      </c>
      <c r="D58" s="1827" t="s">
        <v>2715</v>
      </c>
      <c r="E58" s="1827" t="s">
        <v>2716</v>
      </c>
      <c r="F58" s="1827" t="s">
        <v>2673</v>
      </c>
      <c r="G58" s="1827" t="s">
        <v>2717</v>
      </c>
      <c r="H58" s="1827" t="s">
        <v>24</v>
      </c>
      <c r="I58" s="1827" t="s">
        <v>891</v>
      </c>
    </row>
    <row r="59" spans="1:9" ht="11.25" customHeight="1">
      <c r="A59" s="1827" t="s">
        <v>2477</v>
      </c>
      <c r="B59" s="1827" t="s">
        <v>14</v>
      </c>
      <c r="C59" s="1827" t="s">
        <v>2718</v>
      </c>
      <c r="D59" s="1827" t="s">
        <v>2719</v>
      </c>
      <c r="E59" s="1827" t="s">
        <v>2720</v>
      </c>
      <c r="F59" s="1827" t="s">
        <v>2508</v>
      </c>
      <c r="G59" s="1827" t="s">
        <v>2721</v>
      </c>
      <c r="H59" s="1827" t="s">
        <v>24</v>
      </c>
      <c r="I59" s="1827" t="s">
        <v>891</v>
      </c>
    </row>
    <row r="60" spans="1:9" ht="11.25" customHeight="1">
      <c r="A60" s="1827" t="s">
        <v>2477</v>
      </c>
      <c r="B60" s="1827" t="s">
        <v>14</v>
      </c>
      <c r="C60" s="1827" t="s">
        <v>2722</v>
      </c>
      <c r="D60" s="1827" t="s">
        <v>2723</v>
      </c>
      <c r="E60" s="1827" t="s">
        <v>2724</v>
      </c>
      <c r="F60" s="1827" t="s">
        <v>2725</v>
      </c>
      <c r="G60" s="1827" t="s">
        <v>24</v>
      </c>
      <c r="H60" s="1827" t="s">
        <v>24</v>
      </c>
      <c r="I60" s="1827" t="s">
        <v>891</v>
      </c>
    </row>
    <row r="61" spans="1:9" ht="11.25" customHeight="1">
      <c r="A61" s="1827" t="s">
        <v>2477</v>
      </c>
      <c r="B61" s="1827" t="s">
        <v>14</v>
      </c>
      <c r="C61" s="1827" t="s">
        <v>2726</v>
      </c>
      <c r="D61" s="1827" t="s">
        <v>2727</v>
      </c>
      <c r="E61" s="1827" t="s">
        <v>2728</v>
      </c>
      <c r="F61" s="1827" t="s">
        <v>2729</v>
      </c>
      <c r="G61" s="1827" t="s">
        <v>2730</v>
      </c>
      <c r="H61" s="1827" t="s">
        <v>24</v>
      </c>
      <c r="I61" s="1827" t="s">
        <v>891</v>
      </c>
    </row>
    <row r="62" spans="1:9" ht="11.25" customHeight="1">
      <c r="A62" s="1827" t="s">
        <v>2477</v>
      </c>
      <c r="B62" s="1827" t="s">
        <v>14</v>
      </c>
      <c r="C62" s="1827" t="s">
        <v>2731</v>
      </c>
      <c r="D62" s="1827" t="s">
        <v>2732</v>
      </c>
      <c r="E62" s="1827" t="s">
        <v>2733</v>
      </c>
      <c r="F62" s="1827" t="s">
        <v>2734</v>
      </c>
      <c r="G62" s="1827" t="s">
        <v>2735</v>
      </c>
      <c r="H62" s="1827" t="s">
        <v>24</v>
      </c>
      <c r="I62" s="1827" t="s">
        <v>891</v>
      </c>
    </row>
    <row r="63" spans="1:9" ht="11.25" customHeight="1">
      <c r="A63" s="1827" t="s">
        <v>2477</v>
      </c>
      <c r="B63" s="1827" t="s">
        <v>14</v>
      </c>
      <c r="C63" s="1827" t="s">
        <v>2736</v>
      </c>
      <c r="D63" s="1827" t="s">
        <v>2737</v>
      </c>
      <c r="E63" s="1827" t="s">
        <v>2738</v>
      </c>
      <c r="F63" s="1827" t="s">
        <v>2729</v>
      </c>
      <c r="G63" s="1827" t="s">
        <v>2739</v>
      </c>
      <c r="H63" s="1827" t="s">
        <v>24</v>
      </c>
      <c r="I63" s="1827" t="s">
        <v>891</v>
      </c>
    </row>
    <row r="64" spans="1:9" ht="11.25" customHeight="1">
      <c r="A64" s="1827" t="s">
        <v>2477</v>
      </c>
      <c r="B64" s="1827" t="s">
        <v>14</v>
      </c>
      <c r="C64" s="1827" t="s">
        <v>2740</v>
      </c>
      <c r="D64" s="1827" t="s">
        <v>2741</v>
      </c>
      <c r="E64" s="1827" t="s">
        <v>2742</v>
      </c>
      <c r="F64" s="1827" t="s">
        <v>2743</v>
      </c>
      <c r="G64" s="1827" t="s">
        <v>2744</v>
      </c>
      <c r="H64" s="1827" t="s">
        <v>24</v>
      </c>
      <c r="I64" s="1827" t="s">
        <v>891</v>
      </c>
    </row>
    <row r="65" spans="1:9" ht="11.25" customHeight="1">
      <c r="A65" s="1827" t="s">
        <v>2477</v>
      </c>
      <c r="B65" s="1827" t="s">
        <v>14</v>
      </c>
      <c r="C65" s="1827" t="s">
        <v>2745</v>
      </c>
      <c r="D65" s="1827" t="s">
        <v>2746</v>
      </c>
      <c r="E65" s="1827" t="s">
        <v>2747</v>
      </c>
      <c r="F65" s="1827" t="s">
        <v>2748</v>
      </c>
      <c r="G65" s="1827" t="s">
        <v>2749</v>
      </c>
      <c r="H65" s="1827" t="s">
        <v>24</v>
      </c>
      <c r="I65" s="1827" t="s">
        <v>891</v>
      </c>
    </row>
    <row r="66" spans="1:9" ht="11.25" customHeight="1">
      <c r="A66" s="1827" t="s">
        <v>2477</v>
      </c>
      <c r="B66" s="1827" t="s">
        <v>14</v>
      </c>
      <c r="C66" s="1827" t="s">
        <v>2750</v>
      </c>
      <c r="D66" s="1827" t="s">
        <v>2751</v>
      </c>
      <c r="E66" s="1827" t="s">
        <v>2752</v>
      </c>
      <c r="F66" s="1827" t="s">
        <v>50</v>
      </c>
      <c r="G66" s="1827" t="s">
        <v>24</v>
      </c>
      <c r="H66" s="1827" t="s">
        <v>24</v>
      </c>
      <c r="I66" s="1827" t="s">
        <v>891</v>
      </c>
    </row>
    <row r="67" spans="1:9" ht="11.25" customHeight="1">
      <c r="A67" s="1827" t="s">
        <v>2477</v>
      </c>
      <c r="B67" s="1827" t="s">
        <v>14</v>
      </c>
      <c r="C67" s="1827" t="s">
        <v>2753</v>
      </c>
      <c r="D67" s="1827" t="s">
        <v>2754</v>
      </c>
      <c r="E67" s="1827" t="s">
        <v>2755</v>
      </c>
      <c r="F67" s="1827" t="s">
        <v>2756</v>
      </c>
      <c r="G67" s="1827" t="s">
        <v>2757</v>
      </c>
      <c r="H67" s="1827" t="s">
        <v>24</v>
      </c>
      <c r="I67" s="1827" t="s">
        <v>891</v>
      </c>
    </row>
    <row r="68" spans="1:9" ht="11.25" customHeight="1">
      <c r="A68" s="1827" t="s">
        <v>2477</v>
      </c>
      <c r="B68" s="1827" t="s">
        <v>14</v>
      </c>
      <c r="C68" s="1827" t="s">
        <v>24</v>
      </c>
      <c r="D68" s="1827" t="s">
        <v>2758</v>
      </c>
      <c r="E68" s="1827" t="s">
        <v>2759</v>
      </c>
      <c r="F68" s="1827" t="s">
        <v>2760</v>
      </c>
      <c r="G68" s="1827" t="s">
        <v>24</v>
      </c>
      <c r="H68" s="1827" t="s">
        <v>24</v>
      </c>
      <c r="I68" s="1827" t="s">
        <v>891</v>
      </c>
    </row>
    <row r="69" spans="1:9" ht="11.25" customHeight="1">
      <c r="A69" s="1827" t="s">
        <v>2477</v>
      </c>
      <c r="B69" s="1827" t="s">
        <v>14</v>
      </c>
      <c r="C69" s="1827" t="s">
        <v>2761</v>
      </c>
      <c r="D69" s="1827" t="s">
        <v>2762</v>
      </c>
      <c r="E69" s="1827" t="s">
        <v>2763</v>
      </c>
      <c r="F69" s="1827" t="s">
        <v>2764</v>
      </c>
      <c r="G69" s="1827" t="s">
        <v>2765</v>
      </c>
      <c r="H69" s="1827" t="s">
        <v>24</v>
      </c>
      <c r="I69" s="1827" t="s">
        <v>891</v>
      </c>
    </row>
    <row r="70" spans="1:9" ht="11.25" customHeight="1">
      <c r="A70" s="1827" t="s">
        <v>2477</v>
      </c>
      <c r="B70" s="1827" t="s">
        <v>14</v>
      </c>
      <c r="C70" s="1827" t="s">
        <v>2766</v>
      </c>
      <c r="D70" s="1827" t="s">
        <v>2767</v>
      </c>
      <c r="E70" s="1827" t="s">
        <v>2768</v>
      </c>
      <c r="F70" s="1827" t="s">
        <v>2769</v>
      </c>
      <c r="G70" s="1827" t="s">
        <v>24</v>
      </c>
      <c r="H70" s="1827" t="s">
        <v>24</v>
      </c>
      <c r="I70" s="1827" t="s">
        <v>891</v>
      </c>
    </row>
    <row r="71" spans="1:9" ht="11.25" customHeight="1">
      <c r="A71" s="1827" t="s">
        <v>2477</v>
      </c>
      <c r="B71" s="1827" t="s">
        <v>14</v>
      </c>
      <c r="C71" s="1827" t="s">
        <v>2770</v>
      </c>
      <c r="D71" s="1827" t="s">
        <v>2771</v>
      </c>
      <c r="E71" s="1827" t="s">
        <v>2772</v>
      </c>
      <c r="F71" s="1827" t="s">
        <v>2773</v>
      </c>
      <c r="G71" s="1827" t="s">
        <v>2774</v>
      </c>
      <c r="H71" s="1827" t="s">
        <v>24</v>
      </c>
      <c r="I71" s="1827" t="s">
        <v>891</v>
      </c>
    </row>
    <row r="72" spans="1:9" ht="11.25" customHeight="1">
      <c r="A72" s="1827" t="s">
        <v>2477</v>
      </c>
      <c r="B72" s="1827" t="s">
        <v>14</v>
      </c>
      <c r="C72" s="1827" t="s">
        <v>2775</v>
      </c>
      <c r="D72" s="1827" t="s">
        <v>2776</v>
      </c>
      <c r="E72" s="1827" t="s">
        <v>2777</v>
      </c>
      <c r="F72" s="1827" t="s">
        <v>2760</v>
      </c>
      <c r="G72" s="1827" t="s">
        <v>24</v>
      </c>
      <c r="H72" s="1827" t="s">
        <v>24</v>
      </c>
      <c r="I72" s="1827" t="s">
        <v>891</v>
      </c>
    </row>
    <row r="73" spans="1:9" ht="11.25" customHeight="1">
      <c r="A73" s="1827" t="s">
        <v>2477</v>
      </c>
      <c r="B73" s="1827" t="s">
        <v>14</v>
      </c>
      <c r="C73" s="1827" t="s">
        <v>2778</v>
      </c>
      <c r="D73" s="1827" t="s">
        <v>2779</v>
      </c>
      <c r="E73" s="1827" t="s">
        <v>2780</v>
      </c>
      <c r="F73" s="1827" t="s">
        <v>2781</v>
      </c>
      <c r="G73" s="1827" t="s">
        <v>2595</v>
      </c>
      <c r="H73" s="1827" t="s">
        <v>24</v>
      </c>
      <c r="I73" s="1827" t="s">
        <v>891</v>
      </c>
    </row>
    <row r="74" spans="1:9" ht="11.25" customHeight="1">
      <c r="A74" s="1827" t="s">
        <v>2477</v>
      </c>
      <c r="B74" s="1827" t="s">
        <v>14</v>
      </c>
      <c r="C74" s="1827" t="s">
        <v>2782</v>
      </c>
      <c r="D74" s="1827" t="s">
        <v>2783</v>
      </c>
      <c r="E74" s="1827" t="s">
        <v>2784</v>
      </c>
      <c r="F74" s="1827" t="s">
        <v>2785</v>
      </c>
      <c r="G74" s="1827" t="s">
        <v>2786</v>
      </c>
      <c r="H74" s="1827" t="s">
        <v>24</v>
      </c>
      <c r="I74" s="1827" t="s">
        <v>891</v>
      </c>
    </row>
    <row r="75" spans="1:9" ht="11.25" customHeight="1">
      <c r="A75" s="1827" t="s">
        <v>2477</v>
      </c>
      <c r="B75" s="1827" t="s">
        <v>14</v>
      </c>
      <c r="C75" s="1827" t="s">
        <v>2787</v>
      </c>
      <c r="D75" s="1827" t="s">
        <v>2788</v>
      </c>
      <c r="E75" s="1827" t="s">
        <v>2789</v>
      </c>
      <c r="F75" s="1827" t="s">
        <v>2534</v>
      </c>
      <c r="G75" s="1827" t="s">
        <v>2790</v>
      </c>
      <c r="H75" s="1827" t="s">
        <v>24</v>
      </c>
      <c r="I75" s="1827" t="s">
        <v>891</v>
      </c>
    </row>
    <row r="76" spans="1:9" ht="11.25" customHeight="1">
      <c r="A76" s="1827" t="s">
        <v>2477</v>
      </c>
      <c r="B76" s="1827" t="s">
        <v>14</v>
      </c>
      <c r="C76" s="1827" t="s">
        <v>2791</v>
      </c>
      <c r="D76" s="1827" t="s">
        <v>2792</v>
      </c>
      <c r="E76" s="1827" t="s">
        <v>2747</v>
      </c>
      <c r="F76" s="1827" t="s">
        <v>2793</v>
      </c>
      <c r="G76" s="1827" t="s">
        <v>2749</v>
      </c>
      <c r="H76" s="1827" t="s">
        <v>24</v>
      </c>
      <c r="I76" s="1827" t="s">
        <v>891</v>
      </c>
    </row>
    <row r="77" spans="1:9" ht="11.25" customHeight="1">
      <c r="A77" s="1827" t="s">
        <v>2477</v>
      </c>
      <c r="B77" s="1827" t="s">
        <v>14</v>
      </c>
      <c r="C77" s="1827" t="s">
        <v>2514</v>
      </c>
      <c r="D77" s="1827" t="s">
        <v>2515</v>
      </c>
      <c r="E77" s="1827" t="s">
        <v>2516</v>
      </c>
      <c r="F77" s="1827" t="s">
        <v>2486</v>
      </c>
      <c r="G77" s="1827" t="s">
        <v>24</v>
      </c>
      <c r="H77" s="1827" t="s">
        <v>24</v>
      </c>
      <c r="I77" s="1827" t="s">
        <v>975</v>
      </c>
    </row>
    <row r="78" spans="1:9" ht="11.25" customHeight="1">
      <c r="A78" s="1827" t="s">
        <v>2477</v>
      </c>
      <c r="B78" s="1827" t="s">
        <v>14</v>
      </c>
      <c r="C78" s="1827" t="s">
        <v>2521</v>
      </c>
      <c r="D78" s="1827" t="s">
        <v>2522</v>
      </c>
      <c r="E78" s="1827" t="s">
        <v>2523</v>
      </c>
      <c r="F78" s="1827" t="s">
        <v>2524</v>
      </c>
      <c r="G78" s="1827" t="s">
        <v>2525</v>
      </c>
      <c r="H78" s="1827" t="s">
        <v>24</v>
      </c>
      <c r="I78" s="1827" t="s">
        <v>975</v>
      </c>
    </row>
    <row r="79" spans="1:9" ht="11.25" customHeight="1">
      <c r="A79" s="1827" t="s">
        <v>2477</v>
      </c>
      <c r="B79" s="1827" t="s">
        <v>14</v>
      </c>
      <c r="C79" s="1827" t="s">
        <v>2526</v>
      </c>
      <c r="D79" s="1827" t="s">
        <v>2527</v>
      </c>
      <c r="E79" s="1827" t="s">
        <v>2528</v>
      </c>
      <c r="F79" s="1827" t="s">
        <v>2529</v>
      </c>
      <c r="G79" s="1827" t="s">
        <v>2530</v>
      </c>
      <c r="H79" s="1827" t="s">
        <v>24</v>
      </c>
      <c r="I79" s="1827" t="s">
        <v>975</v>
      </c>
    </row>
    <row r="80" spans="1:9" ht="11.25" customHeight="1">
      <c r="A80" s="1827" t="s">
        <v>2477</v>
      </c>
      <c r="B80" s="1827" t="s">
        <v>14</v>
      </c>
      <c r="C80" s="1827" t="s">
        <v>2535</v>
      </c>
      <c r="D80" s="1827" t="s">
        <v>2536</v>
      </c>
      <c r="E80" s="1827" t="s">
        <v>2537</v>
      </c>
      <c r="F80" s="1827" t="s">
        <v>2538</v>
      </c>
      <c r="G80" s="1827" t="s">
        <v>2539</v>
      </c>
      <c r="H80" s="1827" t="s">
        <v>24</v>
      </c>
      <c r="I80" s="1827" t="s">
        <v>975</v>
      </c>
    </row>
    <row r="81" spans="1:9" ht="11.25" customHeight="1">
      <c r="A81" s="1827" t="s">
        <v>2477</v>
      </c>
      <c r="B81" s="1827" t="s">
        <v>14</v>
      </c>
      <c r="C81" s="1827" t="s">
        <v>2553</v>
      </c>
      <c r="D81" s="1827" t="s">
        <v>2554</v>
      </c>
      <c r="E81" s="1827" t="s">
        <v>2555</v>
      </c>
      <c r="F81" s="1827" t="s">
        <v>50</v>
      </c>
      <c r="G81" s="1827" t="s">
        <v>2556</v>
      </c>
      <c r="H81" s="1827" t="s">
        <v>24</v>
      </c>
      <c r="I81" s="1827" t="s">
        <v>975</v>
      </c>
    </row>
    <row r="82" spans="1:9" ht="11.25" customHeight="1">
      <c r="A82" s="1827" t="s">
        <v>2477</v>
      </c>
      <c r="B82" s="1827" t="s">
        <v>14</v>
      </c>
      <c r="C82" s="1827" t="s">
        <v>2557</v>
      </c>
      <c r="D82" s="1827" t="s">
        <v>45</v>
      </c>
      <c r="E82" s="1827" t="s">
        <v>48</v>
      </c>
      <c r="F82" s="1827" t="s">
        <v>50</v>
      </c>
      <c r="G82" s="1827" t="s">
        <v>2558</v>
      </c>
      <c r="H82" s="1827" t="s">
        <v>24</v>
      </c>
      <c r="I82" s="1827" t="s">
        <v>975</v>
      </c>
    </row>
    <row r="83" spans="1:9" ht="11.25" customHeight="1">
      <c r="A83" s="1827" t="s">
        <v>2477</v>
      </c>
      <c r="B83" s="1827" t="s">
        <v>14</v>
      </c>
      <c r="C83" s="1827" t="s">
        <v>2559</v>
      </c>
      <c r="D83" s="1827" t="s">
        <v>2560</v>
      </c>
      <c r="E83" s="1827" t="s">
        <v>2561</v>
      </c>
      <c r="F83" s="1827" t="s">
        <v>2562</v>
      </c>
      <c r="G83" s="1827" t="s">
        <v>2563</v>
      </c>
      <c r="H83" s="1827" t="s">
        <v>24</v>
      </c>
      <c r="I83" s="1827" t="s">
        <v>975</v>
      </c>
    </row>
    <row r="84" spans="1:9" ht="11.25" customHeight="1">
      <c r="A84" s="1827" t="s">
        <v>2477</v>
      </c>
      <c r="B84" s="1827" t="s">
        <v>14</v>
      </c>
      <c r="C84" s="1827" t="s">
        <v>2588</v>
      </c>
      <c r="D84" s="1827" t="s">
        <v>2589</v>
      </c>
      <c r="E84" s="1827" t="s">
        <v>2590</v>
      </c>
      <c r="F84" s="1827" t="s">
        <v>2495</v>
      </c>
      <c r="G84" s="1827" t="s">
        <v>2591</v>
      </c>
      <c r="H84" s="1827" t="s">
        <v>24</v>
      </c>
      <c r="I84" s="1827" t="s">
        <v>975</v>
      </c>
    </row>
    <row r="85" spans="1:9" ht="11.25" customHeight="1">
      <c r="A85" s="1827" t="s">
        <v>2477</v>
      </c>
      <c r="B85" s="1827" t="s">
        <v>14</v>
      </c>
      <c r="C85" s="1827" t="s">
        <v>2606</v>
      </c>
      <c r="D85" s="1827" t="s">
        <v>2607</v>
      </c>
      <c r="E85" s="1827" t="s">
        <v>2608</v>
      </c>
      <c r="F85" s="1827" t="s">
        <v>2609</v>
      </c>
      <c r="G85" s="1827" t="s">
        <v>2610</v>
      </c>
      <c r="H85" s="1827" t="s">
        <v>24</v>
      </c>
      <c r="I85" s="1827" t="s">
        <v>975</v>
      </c>
    </row>
    <row r="86" spans="1:9" ht="11.25" customHeight="1">
      <c r="A86" s="1827" t="s">
        <v>2477</v>
      </c>
      <c r="B86" s="1827" t="s">
        <v>14</v>
      </c>
      <c r="C86" s="1827" t="s">
        <v>2625</v>
      </c>
      <c r="D86" s="1827" t="s">
        <v>2626</v>
      </c>
      <c r="E86" s="1827" t="s">
        <v>2499</v>
      </c>
      <c r="F86" s="1827" t="s">
        <v>2627</v>
      </c>
      <c r="G86" s="1827" t="s">
        <v>2628</v>
      </c>
      <c r="H86" s="1827" t="s">
        <v>24</v>
      </c>
      <c r="I86" s="1827" t="s">
        <v>975</v>
      </c>
    </row>
    <row r="87" spans="1:9" ht="11.25" customHeight="1">
      <c r="A87" s="1827" t="s">
        <v>2477</v>
      </c>
      <c r="B87" s="1827" t="s">
        <v>14</v>
      </c>
      <c r="C87" s="1827" t="s">
        <v>2629</v>
      </c>
      <c r="D87" s="1827" t="s">
        <v>2630</v>
      </c>
      <c r="E87" s="1827" t="s">
        <v>2631</v>
      </c>
      <c r="F87" s="1827" t="s">
        <v>2632</v>
      </c>
      <c r="G87" s="1827" t="s">
        <v>24</v>
      </c>
      <c r="H87" s="1827" t="s">
        <v>2633</v>
      </c>
      <c r="I87" s="1827" t="s">
        <v>975</v>
      </c>
    </row>
    <row r="88" spans="1:9" ht="11.25" customHeight="1">
      <c r="A88" s="1827" t="s">
        <v>2477</v>
      </c>
      <c r="B88" s="1827" t="s">
        <v>14</v>
      </c>
      <c r="C88" s="1827" t="s">
        <v>2634</v>
      </c>
      <c r="D88" s="1827" t="s">
        <v>2635</v>
      </c>
      <c r="E88" s="1827" t="s">
        <v>2636</v>
      </c>
      <c r="F88" s="1827" t="s">
        <v>2495</v>
      </c>
      <c r="G88" s="1827" t="s">
        <v>2637</v>
      </c>
      <c r="H88" s="1827" t="s">
        <v>24</v>
      </c>
      <c r="I88" s="1827" t="s">
        <v>975</v>
      </c>
    </row>
    <row r="89" spans="1:9" ht="11.25" customHeight="1">
      <c r="A89" s="1827" t="s">
        <v>2477</v>
      </c>
      <c r="B89" s="1827" t="s">
        <v>14</v>
      </c>
      <c r="C89" s="1827" t="s">
        <v>2643</v>
      </c>
      <c r="D89" s="1827" t="s">
        <v>2644</v>
      </c>
      <c r="E89" s="1827" t="s">
        <v>2645</v>
      </c>
      <c r="F89" s="1827" t="s">
        <v>2508</v>
      </c>
      <c r="G89" s="1827" t="s">
        <v>24</v>
      </c>
      <c r="H89" s="1827" t="s">
        <v>24</v>
      </c>
      <c r="I89" s="1827" t="s">
        <v>975</v>
      </c>
    </row>
    <row r="90" spans="1:9" ht="11.25" customHeight="1">
      <c r="A90" s="1827" t="s">
        <v>2477</v>
      </c>
      <c r="B90" s="1827" t="s">
        <v>14</v>
      </c>
      <c r="C90" s="1827" t="s">
        <v>2651</v>
      </c>
      <c r="D90" s="1827" t="s">
        <v>2652</v>
      </c>
      <c r="E90" s="1827" t="s">
        <v>2653</v>
      </c>
      <c r="F90" s="1827" t="s">
        <v>2543</v>
      </c>
      <c r="G90" s="1827" t="s">
        <v>2654</v>
      </c>
      <c r="H90" s="1827" t="s">
        <v>24</v>
      </c>
      <c r="I90" s="1827" t="s">
        <v>975</v>
      </c>
    </row>
    <row r="91" spans="1:9" ht="11.25" customHeight="1">
      <c r="A91" s="1827" t="s">
        <v>2477</v>
      </c>
      <c r="B91" s="1827" t="s">
        <v>14</v>
      </c>
      <c r="C91" s="1827" t="s">
        <v>2660</v>
      </c>
      <c r="D91" s="1827" t="s">
        <v>2661</v>
      </c>
      <c r="E91" s="1827" t="s">
        <v>2662</v>
      </c>
      <c r="F91" s="1827" t="s">
        <v>2529</v>
      </c>
      <c r="G91" s="1827" t="s">
        <v>24</v>
      </c>
      <c r="H91" s="1827" t="s">
        <v>24</v>
      </c>
      <c r="I91" s="1827" t="s">
        <v>975</v>
      </c>
    </row>
    <row r="92" spans="1:9" ht="11.25" customHeight="1">
      <c r="A92" s="1827" t="s">
        <v>2477</v>
      </c>
      <c r="B92" s="1827" t="s">
        <v>14</v>
      </c>
      <c r="C92" s="1827" t="s">
        <v>2663</v>
      </c>
      <c r="D92" s="1827" t="s">
        <v>2664</v>
      </c>
      <c r="E92" s="1827" t="s">
        <v>2665</v>
      </c>
      <c r="F92" s="1827" t="s">
        <v>2495</v>
      </c>
      <c r="G92" s="1827" t="s">
        <v>24</v>
      </c>
      <c r="H92" s="1827" t="s">
        <v>24</v>
      </c>
      <c r="I92" s="1827" t="s">
        <v>975</v>
      </c>
    </row>
    <row r="93" spans="1:9" ht="11.25" customHeight="1">
      <c r="A93" s="1827" t="s">
        <v>2477</v>
      </c>
      <c r="B93" s="1827" t="s">
        <v>14</v>
      </c>
      <c r="C93" s="1827" t="s">
        <v>2670</v>
      </c>
      <c r="D93" s="1827" t="s">
        <v>2671</v>
      </c>
      <c r="E93" s="1827" t="s">
        <v>2672</v>
      </c>
      <c r="F93" s="1827" t="s">
        <v>2673</v>
      </c>
      <c r="G93" s="1827" t="s">
        <v>2674</v>
      </c>
      <c r="H93" s="1827" t="s">
        <v>24</v>
      </c>
      <c r="I93" s="1827" t="s">
        <v>975</v>
      </c>
    </row>
    <row r="94" spans="1:9" ht="11.25" customHeight="1">
      <c r="A94" s="1827" t="s">
        <v>2477</v>
      </c>
      <c r="B94" s="1827" t="s">
        <v>14</v>
      </c>
      <c r="C94" s="1827" t="s">
        <v>2675</v>
      </c>
      <c r="D94" s="1827" t="s">
        <v>2676</v>
      </c>
      <c r="E94" s="1827" t="s">
        <v>2677</v>
      </c>
      <c r="F94" s="1827" t="s">
        <v>2481</v>
      </c>
      <c r="G94" s="1827" t="s">
        <v>2678</v>
      </c>
      <c r="H94" s="1827" t="s">
        <v>24</v>
      </c>
      <c r="I94" s="1827" t="s">
        <v>975</v>
      </c>
    </row>
    <row r="95" spans="1:9" ht="11.25" customHeight="1">
      <c r="A95" s="1827" t="s">
        <v>2477</v>
      </c>
      <c r="B95" s="1827" t="s">
        <v>14</v>
      </c>
      <c r="C95" s="1827" t="s">
        <v>2686</v>
      </c>
      <c r="D95" s="1827" t="s">
        <v>2687</v>
      </c>
      <c r="E95" s="1827" t="s">
        <v>2688</v>
      </c>
      <c r="F95" s="1827" t="s">
        <v>2495</v>
      </c>
      <c r="G95" s="1827" t="s">
        <v>24</v>
      </c>
      <c r="H95" s="1827" t="s">
        <v>24</v>
      </c>
      <c r="I95" s="1827" t="s">
        <v>975</v>
      </c>
    </row>
    <row r="96" spans="1:9" ht="11.25" customHeight="1">
      <c r="A96" s="1827" t="s">
        <v>2477</v>
      </c>
      <c r="B96" s="1827" t="s">
        <v>14</v>
      </c>
      <c r="C96" s="1827" t="s">
        <v>2689</v>
      </c>
      <c r="D96" s="1827" t="s">
        <v>2690</v>
      </c>
      <c r="E96" s="1827" t="s">
        <v>2691</v>
      </c>
      <c r="F96" s="1827" t="s">
        <v>2524</v>
      </c>
      <c r="G96" s="1827" t="s">
        <v>2692</v>
      </c>
      <c r="H96" s="1827" t="s">
        <v>24</v>
      </c>
      <c r="I96" s="1827" t="s">
        <v>975</v>
      </c>
    </row>
    <row r="97" spans="1:9" ht="11.25" customHeight="1">
      <c r="A97" s="1827" t="s">
        <v>2477</v>
      </c>
      <c r="B97" s="1827" t="s">
        <v>14</v>
      </c>
      <c r="C97" s="1827" t="s">
        <v>2693</v>
      </c>
      <c r="D97" s="1827" t="s">
        <v>2694</v>
      </c>
      <c r="E97" s="1827" t="s">
        <v>2695</v>
      </c>
      <c r="F97" s="1827" t="s">
        <v>2486</v>
      </c>
      <c r="G97" s="1827" t="s">
        <v>2696</v>
      </c>
      <c r="H97" s="1827" t="s">
        <v>24</v>
      </c>
      <c r="I97" s="1827" t="s">
        <v>975</v>
      </c>
    </row>
    <row r="98" spans="1:9" ht="11.25" customHeight="1">
      <c r="A98" s="1827" t="s">
        <v>2477</v>
      </c>
      <c r="B98" s="1827" t="s">
        <v>14</v>
      </c>
      <c r="C98" s="1827" t="s">
        <v>2701</v>
      </c>
      <c r="D98" s="1827" t="s">
        <v>2702</v>
      </c>
      <c r="E98" s="1827" t="s">
        <v>2703</v>
      </c>
      <c r="F98" s="1827" t="s">
        <v>2704</v>
      </c>
      <c r="G98" s="1827" t="s">
        <v>2705</v>
      </c>
      <c r="H98" s="1827" t="s">
        <v>24</v>
      </c>
      <c r="I98" s="1827" t="s">
        <v>975</v>
      </c>
    </row>
    <row r="99" spans="1:9" ht="11.25" customHeight="1">
      <c r="A99" s="1827" t="s">
        <v>2477</v>
      </c>
      <c r="B99" s="1827" t="s">
        <v>14</v>
      </c>
      <c r="C99" s="1827" t="s">
        <v>2718</v>
      </c>
      <c r="D99" s="1827" t="s">
        <v>2719</v>
      </c>
      <c r="E99" s="1827" t="s">
        <v>2720</v>
      </c>
      <c r="F99" s="1827" t="s">
        <v>2508</v>
      </c>
      <c r="G99" s="1827" t="s">
        <v>2721</v>
      </c>
      <c r="H99" s="1827" t="s">
        <v>24</v>
      </c>
      <c r="I99" s="1827" t="s">
        <v>975</v>
      </c>
    </row>
    <row r="100" spans="1:9" ht="11.25" customHeight="1">
      <c r="A100" s="1827" t="s">
        <v>2477</v>
      </c>
      <c r="B100" s="1827" t="s">
        <v>14</v>
      </c>
      <c r="C100" s="1827" t="s">
        <v>2740</v>
      </c>
      <c r="D100" s="1827" t="s">
        <v>2741</v>
      </c>
      <c r="E100" s="1827" t="s">
        <v>2742</v>
      </c>
      <c r="F100" s="1827" t="s">
        <v>2743</v>
      </c>
      <c r="G100" s="1827" t="s">
        <v>2744</v>
      </c>
      <c r="H100" s="1827" t="s">
        <v>24</v>
      </c>
      <c r="I100" s="1827" t="s">
        <v>975</v>
      </c>
    </row>
    <row r="101" spans="1:9" ht="11.25" customHeight="1">
      <c r="A101" s="1827" t="s">
        <v>2477</v>
      </c>
      <c r="B101" s="1827" t="s">
        <v>14</v>
      </c>
      <c r="C101" s="1827" t="s">
        <v>2745</v>
      </c>
      <c r="D101" s="1827" t="s">
        <v>2746</v>
      </c>
      <c r="E101" s="1827" t="s">
        <v>2747</v>
      </c>
      <c r="F101" s="1827" t="s">
        <v>2748</v>
      </c>
      <c r="G101" s="1827" t="s">
        <v>2749</v>
      </c>
      <c r="H101" s="1827" t="s">
        <v>24</v>
      </c>
      <c r="I101" s="1827" t="s">
        <v>975</v>
      </c>
    </row>
    <row r="102" spans="1:9" ht="11.25" customHeight="1">
      <c r="A102" s="1827" t="s">
        <v>2477</v>
      </c>
      <c r="B102" s="1827" t="s">
        <v>14</v>
      </c>
      <c r="C102" s="1827" t="s">
        <v>24</v>
      </c>
      <c r="D102" s="1827" t="s">
        <v>2758</v>
      </c>
      <c r="E102" s="1827" t="s">
        <v>2759</v>
      </c>
      <c r="F102" s="1827" t="s">
        <v>2760</v>
      </c>
      <c r="G102" s="1827" t="s">
        <v>24</v>
      </c>
      <c r="H102" s="1827" t="s">
        <v>24</v>
      </c>
      <c r="I102" s="1827" t="s">
        <v>975</v>
      </c>
    </row>
    <row r="103" spans="1:9" ht="11.25" customHeight="1">
      <c r="A103" s="1827" t="s">
        <v>2477</v>
      </c>
      <c r="B103" s="1827" t="s">
        <v>14</v>
      </c>
      <c r="C103" s="1827" t="s">
        <v>2761</v>
      </c>
      <c r="D103" s="1827" t="s">
        <v>2762</v>
      </c>
      <c r="E103" s="1827" t="s">
        <v>2763</v>
      </c>
      <c r="F103" s="1827" t="s">
        <v>2764</v>
      </c>
      <c r="G103" s="1827" t="s">
        <v>2765</v>
      </c>
      <c r="H103" s="1827" t="s">
        <v>24</v>
      </c>
      <c r="I103" s="1827" t="s">
        <v>975</v>
      </c>
    </row>
    <row r="104" spans="1:9" ht="11.25" customHeight="1">
      <c r="A104" s="1827" t="s">
        <v>2477</v>
      </c>
      <c r="B104" s="1827" t="s">
        <v>14</v>
      </c>
      <c r="C104" s="1827" t="s">
        <v>2766</v>
      </c>
      <c r="D104" s="1827" t="s">
        <v>2767</v>
      </c>
      <c r="E104" s="1827" t="s">
        <v>2768</v>
      </c>
      <c r="F104" s="1827" t="s">
        <v>2769</v>
      </c>
      <c r="G104" s="1827" t="s">
        <v>24</v>
      </c>
      <c r="H104" s="1827" t="s">
        <v>24</v>
      </c>
      <c r="I104" s="1827" t="s">
        <v>975</v>
      </c>
    </row>
    <row r="105" spans="1:9" ht="11.25" customHeight="1">
      <c r="A105" s="1827" t="s">
        <v>2477</v>
      </c>
      <c r="B105" s="1827" t="s">
        <v>14</v>
      </c>
      <c r="C105" s="1827" t="s">
        <v>2770</v>
      </c>
      <c r="D105" s="1827" t="s">
        <v>2771</v>
      </c>
      <c r="E105" s="1827" t="s">
        <v>2772</v>
      </c>
      <c r="F105" s="1827" t="s">
        <v>2773</v>
      </c>
      <c r="G105" s="1827" t="s">
        <v>2774</v>
      </c>
      <c r="H105" s="1827" t="s">
        <v>24</v>
      </c>
      <c r="I105" s="1827" t="s">
        <v>975</v>
      </c>
    </row>
    <row r="106" spans="1:9" ht="11.25" customHeight="1">
      <c r="A106" s="1827" t="s">
        <v>2477</v>
      </c>
      <c r="B106" s="1827" t="s">
        <v>14</v>
      </c>
      <c r="C106" s="1827" t="s">
        <v>2775</v>
      </c>
      <c r="D106" s="1827" t="s">
        <v>2776</v>
      </c>
      <c r="E106" s="1827" t="s">
        <v>2777</v>
      </c>
      <c r="F106" s="1827" t="s">
        <v>2760</v>
      </c>
      <c r="G106" s="1827" t="s">
        <v>24</v>
      </c>
      <c r="H106" s="1827" t="s">
        <v>24</v>
      </c>
      <c r="I106" s="1827" t="s">
        <v>975</v>
      </c>
    </row>
    <row r="107" spans="1:9" ht="11.25" customHeight="1">
      <c r="A107" s="1827" t="s">
        <v>2477</v>
      </c>
      <c r="B107" s="1827" t="s">
        <v>14</v>
      </c>
      <c r="C107" s="1827" t="s">
        <v>2778</v>
      </c>
      <c r="D107" s="1827" t="s">
        <v>2779</v>
      </c>
      <c r="E107" s="1827" t="s">
        <v>2780</v>
      </c>
      <c r="F107" s="1827" t="s">
        <v>2781</v>
      </c>
      <c r="G107" s="1827" t="s">
        <v>2595</v>
      </c>
      <c r="H107" s="1827" t="s">
        <v>24</v>
      </c>
      <c r="I107" s="1827" t="s">
        <v>975</v>
      </c>
    </row>
    <row r="108" spans="1:9" ht="11.25" customHeight="1">
      <c r="A108" s="1827" t="s">
        <v>2477</v>
      </c>
      <c r="B108" s="1827" t="s">
        <v>14</v>
      </c>
      <c r="C108" s="1827" t="s">
        <v>2787</v>
      </c>
      <c r="D108" s="1827" t="s">
        <v>2788</v>
      </c>
      <c r="E108" s="1827" t="s">
        <v>2789</v>
      </c>
      <c r="F108" s="1827" t="s">
        <v>2534</v>
      </c>
      <c r="G108" s="1827" t="s">
        <v>2790</v>
      </c>
      <c r="H108" s="1827" t="s">
        <v>24</v>
      </c>
      <c r="I108" s="1827" t="s">
        <v>975</v>
      </c>
    </row>
    <row r="109" spans="1:9" ht="11.25" customHeight="1">
      <c r="A109" s="1827" t="s">
        <v>2477</v>
      </c>
      <c r="B109" s="1827" t="s">
        <v>14</v>
      </c>
      <c r="C109" s="1827" t="s">
        <v>2791</v>
      </c>
      <c r="D109" s="1827" t="s">
        <v>2792</v>
      </c>
      <c r="E109" s="1827" t="s">
        <v>2747</v>
      </c>
      <c r="F109" s="1827" t="s">
        <v>2793</v>
      </c>
      <c r="G109" s="1827" t="s">
        <v>2749</v>
      </c>
      <c r="H109" s="1827" t="s">
        <v>24</v>
      </c>
      <c r="I109" s="1827" t="s">
        <v>975</v>
      </c>
    </row>
    <row r="110" spans="1:9" ht="11.25" customHeight="1">
      <c r="A110" s="1827" t="s">
        <v>2477</v>
      </c>
      <c r="B110" s="1827" t="s">
        <v>14</v>
      </c>
      <c r="C110" s="1827" t="s">
        <v>2794</v>
      </c>
      <c r="D110" s="1827" t="s">
        <v>2795</v>
      </c>
      <c r="E110" s="1827" t="s">
        <v>2796</v>
      </c>
      <c r="F110" s="1827" t="s">
        <v>2486</v>
      </c>
      <c r="G110" s="1827" t="s">
        <v>2797</v>
      </c>
      <c r="H110" s="1827" t="s">
        <v>24</v>
      </c>
      <c r="I110" s="1827" t="s">
        <v>937</v>
      </c>
    </row>
    <row r="111" spans="1:9" ht="11.25" customHeight="1">
      <c r="A111" s="1827" t="s">
        <v>2477</v>
      </c>
      <c r="B111" s="1827" t="s">
        <v>14</v>
      </c>
      <c r="C111" s="1827" t="s">
        <v>2798</v>
      </c>
      <c r="D111" s="1827" t="s">
        <v>2799</v>
      </c>
      <c r="E111" s="1827" t="s">
        <v>2800</v>
      </c>
      <c r="F111" s="1827" t="s">
        <v>50</v>
      </c>
      <c r="G111" s="1827" t="s">
        <v>2801</v>
      </c>
      <c r="H111" s="1827" t="s">
        <v>24</v>
      </c>
      <c r="I111" s="1827" t="s">
        <v>937</v>
      </c>
    </row>
    <row r="112" spans="1:9" ht="11.25" customHeight="1">
      <c r="A112" s="1827" t="s">
        <v>2477</v>
      </c>
      <c r="B112" s="1827" t="s">
        <v>14</v>
      </c>
      <c r="C112" s="1827" t="s">
        <v>2488</v>
      </c>
      <c r="D112" s="1827" t="s">
        <v>2489</v>
      </c>
      <c r="E112" s="1827" t="s">
        <v>2490</v>
      </c>
      <c r="F112" s="1827" t="s">
        <v>2486</v>
      </c>
      <c r="G112" s="1827" t="s">
        <v>2491</v>
      </c>
      <c r="H112" s="1827" t="s">
        <v>24</v>
      </c>
      <c r="I112" s="1827" t="s">
        <v>937</v>
      </c>
    </row>
    <row r="113" spans="1:9" ht="11.25" customHeight="1">
      <c r="A113" s="1827" t="s">
        <v>2477</v>
      </c>
      <c r="B113" s="1827" t="s">
        <v>14</v>
      </c>
      <c r="C113" s="1827" t="s">
        <v>2802</v>
      </c>
      <c r="D113" s="1827" t="s">
        <v>2803</v>
      </c>
      <c r="E113" s="1827" t="s">
        <v>2804</v>
      </c>
      <c r="F113" s="1827" t="s">
        <v>2760</v>
      </c>
      <c r="G113" s="1827" t="s">
        <v>2805</v>
      </c>
      <c r="H113" s="1827" t="s">
        <v>24</v>
      </c>
      <c r="I113" s="1827" t="s">
        <v>937</v>
      </c>
    </row>
    <row r="114" spans="1:9" ht="11.25" customHeight="1">
      <c r="A114" s="1827" t="s">
        <v>2477</v>
      </c>
      <c r="B114" s="1827" t="s">
        <v>14</v>
      </c>
      <c r="C114" s="1827" t="s">
        <v>2540</v>
      </c>
      <c r="D114" s="1827" t="s">
        <v>2541</v>
      </c>
      <c r="E114" s="1827" t="s">
        <v>2542</v>
      </c>
      <c r="F114" s="1827" t="s">
        <v>2543</v>
      </c>
      <c r="G114" s="1827" t="s">
        <v>2544</v>
      </c>
      <c r="H114" s="1827" t="s">
        <v>24</v>
      </c>
      <c r="I114" s="1827" t="s">
        <v>937</v>
      </c>
    </row>
    <row r="115" spans="1:9" ht="11.25" customHeight="1">
      <c r="A115" s="1827" t="s">
        <v>2477</v>
      </c>
      <c r="B115" s="1827" t="s">
        <v>14</v>
      </c>
      <c r="C115" s="1827" t="s">
        <v>2806</v>
      </c>
      <c r="D115" s="1827" t="s">
        <v>2807</v>
      </c>
      <c r="E115" s="1827" t="s">
        <v>2808</v>
      </c>
      <c r="F115" s="1827" t="s">
        <v>2760</v>
      </c>
      <c r="G115" s="1827" t="s">
        <v>2809</v>
      </c>
      <c r="H115" s="1827" t="s">
        <v>24</v>
      </c>
      <c r="I115" s="1827" t="s">
        <v>937</v>
      </c>
    </row>
    <row r="116" spans="1:9" ht="11.25" customHeight="1">
      <c r="A116" s="1827" t="s">
        <v>2477</v>
      </c>
      <c r="B116" s="1827" t="s">
        <v>14</v>
      </c>
      <c r="C116" s="1827" t="s">
        <v>2810</v>
      </c>
      <c r="D116" s="1827" t="s">
        <v>2811</v>
      </c>
      <c r="E116" s="1827" t="s">
        <v>2812</v>
      </c>
      <c r="F116" s="1827" t="s">
        <v>2813</v>
      </c>
      <c r="G116" s="1827" t="s">
        <v>2814</v>
      </c>
      <c r="H116" s="1827" t="s">
        <v>24</v>
      </c>
      <c r="I116" s="1827" t="s">
        <v>937</v>
      </c>
    </row>
    <row r="117" spans="1:9" ht="11.25" customHeight="1">
      <c r="A117" s="1827" t="s">
        <v>2477</v>
      </c>
      <c r="B117" s="1827" t="s">
        <v>14</v>
      </c>
      <c r="C117" s="1827" t="s">
        <v>2815</v>
      </c>
      <c r="D117" s="1827" t="s">
        <v>2816</v>
      </c>
      <c r="E117" s="1827" t="s">
        <v>2817</v>
      </c>
      <c r="F117" s="1827" t="s">
        <v>2818</v>
      </c>
      <c r="G117" s="1827" t="s">
        <v>2819</v>
      </c>
      <c r="H117" s="1827" t="s">
        <v>24</v>
      </c>
      <c r="I117" s="1827" t="s">
        <v>937</v>
      </c>
    </row>
    <row r="118" spans="1:9" ht="11.25" customHeight="1">
      <c r="A118" s="1827" t="s">
        <v>2477</v>
      </c>
      <c r="B118" s="1827" t="s">
        <v>14</v>
      </c>
      <c r="C118" s="1827" t="s">
        <v>2820</v>
      </c>
      <c r="D118" s="1827" t="s">
        <v>2821</v>
      </c>
      <c r="E118" s="1827" t="s">
        <v>2822</v>
      </c>
      <c r="F118" s="1827" t="s">
        <v>2818</v>
      </c>
      <c r="G118" s="1827" t="s">
        <v>2823</v>
      </c>
      <c r="H118" s="1827" t="s">
        <v>24</v>
      </c>
      <c r="I118" s="1827" t="s">
        <v>937</v>
      </c>
    </row>
    <row r="119" spans="1:9" ht="11.25" customHeight="1">
      <c r="A119" s="1827" t="s">
        <v>2477</v>
      </c>
      <c r="B119" s="1827" t="s">
        <v>14</v>
      </c>
      <c r="C119" s="1827" t="s">
        <v>2824</v>
      </c>
      <c r="D119" s="1827" t="s">
        <v>2825</v>
      </c>
      <c r="E119" s="1827" t="s">
        <v>2826</v>
      </c>
      <c r="F119" s="1827" t="s">
        <v>2813</v>
      </c>
      <c r="G119" s="1827" t="s">
        <v>2827</v>
      </c>
      <c r="H119" s="1827" t="s">
        <v>24</v>
      </c>
      <c r="I119" s="1827" t="s">
        <v>937</v>
      </c>
    </row>
    <row r="120" spans="1:9" ht="11.25" customHeight="1">
      <c r="A120" s="1827" t="s">
        <v>2477</v>
      </c>
      <c r="B120" s="1827" t="s">
        <v>14</v>
      </c>
      <c r="C120" s="1827" t="s">
        <v>2828</v>
      </c>
      <c r="D120" s="1827" t="s">
        <v>2829</v>
      </c>
      <c r="E120" s="1827" t="s">
        <v>2830</v>
      </c>
      <c r="F120" s="1827" t="s">
        <v>2729</v>
      </c>
      <c r="G120" s="1827" t="s">
        <v>2831</v>
      </c>
      <c r="H120" s="1827" t="s">
        <v>24</v>
      </c>
      <c r="I120" s="1827" t="s">
        <v>937</v>
      </c>
    </row>
    <row r="121" spans="1:9" ht="11.25" customHeight="1">
      <c r="A121" s="1827" t="s">
        <v>2477</v>
      </c>
      <c r="B121" s="1827" t="s">
        <v>14</v>
      </c>
      <c r="C121" s="1827" t="s">
        <v>2557</v>
      </c>
      <c r="D121" s="1827" t="s">
        <v>45</v>
      </c>
      <c r="E121" s="1827" t="s">
        <v>48</v>
      </c>
      <c r="F121" s="1827" t="s">
        <v>50</v>
      </c>
      <c r="G121" s="1827" t="s">
        <v>2558</v>
      </c>
      <c r="H121" s="1827" t="s">
        <v>24</v>
      </c>
      <c r="I121" s="1827" t="s">
        <v>937</v>
      </c>
    </row>
    <row r="122" spans="1:9" ht="11.25" customHeight="1">
      <c r="A122" s="1827" t="s">
        <v>2477</v>
      </c>
      <c r="B122" s="1827" t="s">
        <v>14</v>
      </c>
      <c r="C122" s="1827" t="s">
        <v>2832</v>
      </c>
      <c r="D122" s="1827" t="s">
        <v>2833</v>
      </c>
      <c r="E122" s="1827" t="s">
        <v>2834</v>
      </c>
      <c r="F122" s="1827" t="s">
        <v>2543</v>
      </c>
      <c r="G122" s="1827" t="s">
        <v>2835</v>
      </c>
      <c r="H122" s="1827" t="s">
        <v>24</v>
      </c>
      <c r="I122" s="1827" t="s">
        <v>937</v>
      </c>
    </row>
    <row r="123" spans="1:9" ht="11.25" customHeight="1">
      <c r="A123" s="1827" t="s">
        <v>2477</v>
      </c>
      <c r="B123" s="1827" t="s">
        <v>14</v>
      </c>
      <c r="C123" s="1827" t="s">
        <v>2836</v>
      </c>
      <c r="D123" s="1827" t="s">
        <v>2837</v>
      </c>
      <c r="E123" s="1827" t="s">
        <v>2838</v>
      </c>
      <c r="F123" s="1827" t="s">
        <v>2673</v>
      </c>
      <c r="G123" s="1827" t="s">
        <v>2839</v>
      </c>
      <c r="H123" s="1827" t="s">
        <v>24</v>
      </c>
      <c r="I123" s="1827" t="s">
        <v>937</v>
      </c>
    </row>
    <row r="124" spans="1:9" ht="11.25" customHeight="1">
      <c r="A124" s="1827" t="s">
        <v>2477</v>
      </c>
      <c r="B124" s="1827" t="s">
        <v>14</v>
      </c>
      <c r="C124" s="1827" t="s">
        <v>2840</v>
      </c>
      <c r="D124" s="1827" t="s">
        <v>2841</v>
      </c>
      <c r="E124" s="1827" t="s">
        <v>2842</v>
      </c>
      <c r="F124" s="1827" t="s">
        <v>744</v>
      </c>
      <c r="G124" s="1827" t="s">
        <v>2843</v>
      </c>
      <c r="H124" s="1827" t="s">
        <v>24</v>
      </c>
      <c r="I124" s="1827" t="s">
        <v>937</v>
      </c>
    </row>
    <row r="125" spans="1:9" ht="11.25" customHeight="1">
      <c r="A125" s="1827" t="s">
        <v>2477</v>
      </c>
      <c r="B125" s="1827" t="s">
        <v>14</v>
      </c>
      <c r="C125" s="1827" t="s">
        <v>2844</v>
      </c>
      <c r="D125" s="1827" t="s">
        <v>2845</v>
      </c>
      <c r="E125" s="1827" t="s">
        <v>2846</v>
      </c>
      <c r="F125" s="1827" t="s">
        <v>2847</v>
      </c>
      <c r="G125" s="1827" t="s">
        <v>2848</v>
      </c>
      <c r="H125" s="1827" t="s">
        <v>24</v>
      </c>
      <c r="I125" s="1827" t="s">
        <v>937</v>
      </c>
    </row>
    <row r="126" spans="1:9" ht="11.25" customHeight="1">
      <c r="A126" s="1827" t="s">
        <v>2477</v>
      </c>
      <c r="B126" s="1827" t="s">
        <v>14</v>
      </c>
      <c r="C126" s="1827" t="s">
        <v>2849</v>
      </c>
      <c r="D126" s="1827" t="s">
        <v>2850</v>
      </c>
      <c r="E126" s="1827" t="s">
        <v>2851</v>
      </c>
      <c r="F126" s="1827" t="s">
        <v>2852</v>
      </c>
      <c r="G126" s="1827" t="s">
        <v>2853</v>
      </c>
      <c r="H126" s="1827" t="s">
        <v>24</v>
      </c>
      <c r="I126" s="1827" t="s">
        <v>937</v>
      </c>
    </row>
    <row r="127" spans="1:9" ht="11.25" customHeight="1">
      <c r="A127" s="1827" t="s">
        <v>2477</v>
      </c>
      <c r="B127" s="1827" t="s">
        <v>14</v>
      </c>
      <c r="C127" s="1827" t="s">
        <v>2854</v>
      </c>
      <c r="D127" s="1827" t="s">
        <v>2855</v>
      </c>
      <c r="E127" s="1827" t="s">
        <v>2856</v>
      </c>
      <c r="F127" s="1827" t="s">
        <v>2852</v>
      </c>
      <c r="G127" s="1827" t="s">
        <v>2857</v>
      </c>
      <c r="H127" s="1827" t="s">
        <v>24</v>
      </c>
      <c r="I127" s="1827" t="s">
        <v>937</v>
      </c>
    </row>
    <row r="128" spans="1:9" ht="11.25" customHeight="1">
      <c r="A128" s="1827" t="s">
        <v>2477</v>
      </c>
      <c r="B128" s="1827" t="s">
        <v>14</v>
      </c>
      <c r="C128" s="1827" t="s">
        <v>2858</v>
      </c>
      <c r="D128" s="1827" t="s">
        <v>2859</v>
      </c>
      <c r="E128" s="1827" t="s">
        <v>2860</v>
      </c>
      <c r="F128" s="1827" t="s">
        <v>2861</v>
      </c>
      <c r="G128" s="1827" t="s">
        <v>2862</v>
      </c>
      <c r="H128" s="1827" t="s">
        <v>24</v>
      </c>
      <c r="I128" s="1827" t="s">
        <v>937</v>
      </c>
    </row>
    <row r="129" spans="1:9" ht="11.25" customHeight="1">
      <c r="A129" s="1827" t="s">
        <v>2477</v>
      </c>
      <c r="B129" s="1827" t="s">
        <v>14</v>
      </c>
      <c r="C129" s="1827" t="s">
        <v>2863</v>
      </c>
      <c r="D129" s="1827" t="s">
        <v>2864</v>
      </c>
      <c r="E129" s="1827" t="s">
        <v>2865</v>
      </c>
      <c r="F129" s="1827" t="s">
        <v>2861</v>
      </c>
      <c r="G129" s="1827" t="s">
        <v>2866</v>
      </c>
      <c r="H129" s="1827" t="s">
        <v>24</v>
      </c>
      <c r="I129" s="1827" t="s">
        <v>937</v>
      </c>
    </row>
    <row r="130" spans="1:9" ht="11.25" customHeight="1">
      <c r="A130" s="1827" t="s">
        <v>2477</v>
      </c>
      <c r="B130" s="1827" t="s">
        <v>14</v>
      </c>
      <c r="C130" s="1827" t="s">
        <v>2867</v>
      </c>
      <c r="D130" s="1827" t="s">
        <v>2868</v>
      </c>
      <c r="E130" s="1827" t="s">
        <v>2869</v>
      </c>
      <c r="F130" s="1827" t="s">
        <v>50</v>
      </c>
      <c r="G130" s="1827" t="s">
        <v>2870</v>
      </c>
      <c r="H130" s="1827" t="s">
        <v>24</v>
      </c>
      <c r="I130" s="1827" t="s">
        <v>937</v>
      </c>
    </row>
    <row r="131" spans="1:9" ht="11.25" customHeight="1">
      <c r="A131" s="1827" t="s">
        <v>2477</v>
      </c>
      <c r="B131" s="1827" t="s">
        <v>14</v>
      </c>
      <c r="C131" s="1827" t="s">
        <v>2871</v>
      </c>
      <c r="D131" s="1827" t="s">
        <v>2872</v>
      </c>
      <c r="E131" s="1827" t="s">
        <v>2873</v>
      </c>
      <c r="F131" s="1827" t="s">
        <v>2604</v>
      </c>
      <c r="G131" s="1827" t="s">
        <v>2874</v>
      </c>
      <c r="H131" s="1827" t="s">
        <v>24</v>
      </c>
      <c r="I131" s="1827" t="s">
        <v>937</v>
      </c>
    </row>
    <row r="132" spans="1:9" ht="11.25" customHeight="1">
      <c r="A132" s="1827" t="s">
        <v>2477</v>
      </c>
      <c r="B132" s="1827" t="s">
        <v>14</v>
      </c>
      <c r="C132" s="1827" t="s">
        <v>2875</v>
      </c>
      <c r="D132" s="1827" t="s">
        <v>2876</v>
      </c>
      <c r="E132" s="1827" t="s">
        <v>2877</v>
      </c>
      <c r="F132" s="1827" t="s">
        <v>2813</v>
      </c>
      <c r="G132" s="1827" t="s">
        <v>2878</v>
      </c>
      <c r="H132" s="1827" t="s">
        <v>24</v>
      </c>
      <c r="I132" s="1827" t="s">
        <v>937</v>
      </c>
    </row>
    <row r="133" spans="1:9" ht="11.25" customHeight="1">
      <c r="A133" s="1827" t="s">
        <v>2477</v>
      </c>
      <c r="B133" s="1827" t="s">
        <v>14</v>
      </c>
      <c r="C133" s="1827" t="s">
        <v>2879</v>
      </c>
      <c r="D133" s="1827" t="s">
        <v>2880</v>
      </c>
      <c r="E133" s="1827" t="s">
        <v>2881</v>
      </c>
      <c r="F133" s="1827" t="s">
        <v>2861</v>
      </c>
      <c r="G133" s="1827" t="s">
        <v>2882</v>
      </c>
      <c r="H133" s="1827" t="s">
        <v>24</v>
      </c>
      <c r="I133" s="1827" t="s">
        <v>937</v>
      </c>
    </row>
    <row r="134" spans="1:9" ht="11.25" customHeight="1">
      <c r="A134" s="1827" t="s">
        <v>2477</v>
      </c>
      <c r="B134" s="1827" t="s">
        <v>14</v>
      </c>
      <c r="C134" s="1827" t="s">
        <v>2601</v>
      </c>
      <c r="D134" s="1827" t="s">
        <v>2602</v>
      </c>
      <c r="E134" s="1827" t="s">
        <v>2603</v>
      </c>
      <c r="F134" s="1827" t="s">
        <v>2604</v>
      </c>
      <c r="G134" s="1827" t="s">
        <v>2605</v>
      </c>
      <c r="H134" s="1827" t="s">
        <v>24</v>
      </c>
      <c r="I134" s="1827" t="s">
        <v>937</v>
      </c>
    </row>
    <row r="135" spans="1:9" ht="11.25" customHeight="1">
      <c r="A135" s="1827" t="s">
        <v>2477</v>
      </c>
      <c r="B135" s="1827" t="s">
        <v>14</v>
      </c>
      <c r="C135" s="1827" t="s">
        <v>2883</v>
      </c>
      <c r="D135" s="1827" t="s">
        <v>2884</v>
      </c>
      <c r="E135" s="1827" t="s">
        <v>2885</v>
      </c>
      <c r="F135" s="1827" t="s">
        <v>2818</v>
      </c>
      <c r="G135" s="1827" t="s">
        <v>2886</v>
      </c>
      <c r="H135" s="1827" t="s">
        <v>24</v>
      </c>
      <c r="I135" s="1827" t="s">
        <v>937</v>
      </c>
    </row>
    <row r="136" spans="1:9" ht="11.25" customHeight="1">
      <c r="A136" s="1827" t="s">
        <v>2477</v>
      </c>
      <c r="B136" s="1827" t="s">
        <v>14</v>
      </c>
      <c r="C136" s="1827" t="s">
        <v>2887</v>
      </c>
      <c r="D136" s="1827" t="s">
        <v>2888</v>
      </c>
      <c r="E136" s="1827" t="s">
        <v>2889</v>
      </c>
      <c r="F136" s="1827" t="s">
        <v>2890</v>
      </c>
      <c r="G136" s="1827" t="s">
        <v>2891</v>
      </c>
      <c r="H136" s="1827" t="s">
        <v>24</v>
      </c>
      <c r="I136" s="1827" t="s">
        <v>937</v>
      </c>
    </row>
    <row r="137" spans="1:9" ht="11.25" customHeight="1">
      <c r="A137" s="1827" t="s">
        <v>2477</v>
      </c>
      <c r="B137" s="1827" t="s">
        <v>14</v>
      </c>
      <c r="C137" s="1827" t="s">
        <v>2892</v>
      </c>
      <c r="D137" s="1827" t="s">
        <v>2888</v>
      </c>
      <c r="E137" s="1827" t="s">
        <v>2893</v>
      </c>
      <c r="F137" s="1827" t="s">
        <v>2813</v>
      </c>
      <c r="G137" s="1827" t="s">
        <v>2894</v>
      </c>
      <c r="H137" s="1827" t="s">
        <v>24</v>
      </c>
      <c r="I137" s="1827" t="s">
        <v>937</v>
      </c>
    </row>
    <row r="138" spans="1:9" ht="11.25" customHeight="1">
      <c r="A138" s="1827" t="s">
        <v>2477</v>
      </c>
      <c r="B138" s="1827" t="s">
        <v>14</v>
      </c>
      <c r="C138" s="1827" t="s">
        <v>2895</v>
      </c>
      <c r="D138" s="1827" t="s">
        <v>2896</v>
      </c>
      <c r="E138" s="1827" t="s">
        <v>2897</v>
      </c>
      <c r="F138" s="1827" t="s">
        <v>2861</v>
      </c>
      <c r="G138" s="1827" t="s">
        <v>2898</v>
      </c>
      <c r="H138" s="1827" t="s">
        <v>24</v>
      </c>
      <c r="I138" s="1827" t="s">
        <v>937</v>
      </c>
    </row>
    <row r="139" spans="1:9" ht="11.25" customHeight="1">
      <c r="A139" s="1827" t="s">
        <v>2477</v>
      </c>
      <c r="B139" s="1827" t="s">
        <v>14</v>
      </c>
      <c r="C139" s="1827" t="s">
        <v>2899</v>
      </c>
      <c r="D139" s="1827" t="s">
        <v>2900</v>
      </c>
      <c r="E139" s="1827" t="s">
        <v>2901</v>
      </c>
      <c r="F139" s="1827" t="s">
        <v>2813</v>
      </c>
      <c r="G139" s="1827" t="s">
        <v>2902</v>
      </c>
      <c r="H139" s="1827" t="s">
        <v>24</v>
      </c>
      <c r="I139" s="1827" t="s">
        <v>937</v>
      </c>
    </row>
    <row r="140" spans="1:9" ht="11.25" customHeight="1">
      <c r="A140" s="1827" t="s">
        <v>2477</v>
      </c>
      <c r="B140" s="1827" t="s">
        <v>14</v>
      </c>
      <c r="C140" s="1827" t="s">
        <v>2903</v>
      </c>
      <c r="D140" s="1827" t="s">
        <v>2904</v>
      </c>
      <c r="E140" s="1827" t="s">
        <v>2905</v>
      </c>
      <c r="F140" s="1827" t="s">
        <v>2861</v>
      </c>
      <c r="G140" s="1827" t="s">
        <v>2906</v>
      </c>
      <c r="H140" s="1827" t="s">
        <v>2907</v>
      </c>
      <c r="I140" s="1827" t="s">
        <v>937</v>
      </c>
    </row>
    <row r="141" spans="1:9" ht="11.25" customHeight="1">
      <c r="A141" s="1827" t="s">
        <v>2477</v>
      </c>
      <c r="B141" s="1827" t="s">
        <v>14</v>
      </c>
      <c r="C141" s="1827" t="s">
        <v>2908</v>
      </c>
      <c r="D141" s="1827" t="s">
        <v>2909</v>
      </c>
      <c r="E141" s="1827" t="s">
        <v>2910</v>
      </c>
      <c r="F141" s="1827" t="s">
        <v>2508</v>
      </c>
      <c r="G141" s="1827" t="s">
        <v>2911</v>
      </c>
      <c r="H141" s="1827" t="s">
        <v>24</v>
      </c>
      <c r="I141" s="1827" t="s">
        <v>937</v>
      </c>
    </row>
    <row r="142" spans="1:9" ht="11.25" customHeight="1">
      <c r="A142" s="1827" t="s">
        <v>2477</v>
      </c>
      <c r="B142" s="1827" t="s">
        <v>14</v>
      </c>
      <c r="C142" s="1827" t="s">
        <v>2912</v>
      </c>
      <c r="D142" s="1827" t="s">
        <v>2913</v>
      </c>
      <c r="E142" s="1827" t="s">
        <v>2914</v>
      </c>
      <c r="F142" s="1827" t="s">
        <v>2543</v>
      </c>
      <c r="G142" s="1827" t="s">
        <v>2915</v>
      </c>
      <c r="H142" s="1827" t="s">
        <v>24</v>
      </c>
      <c r="I142" s="1827" t="s">
        <v>937</v>
      </c>
    </row>
    <row r="143" spans="1:9" ht="11.25" customHeight="1">
      <c r="A143" s="1827" t="s">
        <v>2477</v>
      </c>
      <c r="B143" s="1827" t="s">
        <v>14</v>
      </c>
      <c r="C143" s="1827" t="s">
        <v>2916</v>
      </c>
      <c r="D143" s="1827" t="s">
        <v>2917</v>
      </c>
      <c r="E143" s="1827" t="s">
        <v>2918</v>
      </c>
      <c r="F143" s="1827" t="s">
        <v>2481</v>
      </c>
      <c r="G143" s="1827" t="s">
        <v>2919</v>
      </c>
      <c r="H143" s="1827" t="s">
        <v>24</v>
      </c>
      <c r="I143" s="1827" t="s">
        <v>937</v>
      </c>
    </row>
    <row r="144" spans="1:9" ht="11.25" customHeight="1">
      <c r="A144" s="1827" t="s">
        <v>2477</v>
      </c>
      <c r="B144" s="1827" t="s">
        <v>14</v>
      </c>
      <c r="C144" s="1827" t="s">
        <v>2920</v>
      </c>
      <c r="D144" s="1827" t="s">
        <v>2921</v>
      </c>
      <c r="E144" s="1827" t="s">
        <v>2922</v>
      </c>
      <c r="F144" s="1827" t="s">
        <v>2890</v>
      </c>
      <c r="G144" s="1827" t="s">
        <v>2923</v>
      </c>
      <c r="H144" s="1827" t="s">
        <v>24</v>
      </c>
      <c r="I144" s="1827" t="s">
        <v>937</v>
      </c>
    </row>
    <row r="145" spans="1:9" ht="11.25" customHeight="1">
      <c r="A145" s="1827" t="s">
        <v>2477</v>
      </c>
      <c r="B145" s="1827" t="s">
        <v>14</v>
      </c>
      <c r="C145" s="1827" t="s">
        <v>2924</v>
      </c>
      <c r="D145" s="1827" t="s">
        <v>2925</v>
      </c>
      <c r="E145" s="1827" t="s">
        <v>2926</v>
      </c>
      <c r="F145" s="1827" t="s">
        <v>2813</v>
      </c>
      <c r="G145" s="1827" t="s">
        <v>2927</v>
      </c>
      <c r="H145" s="1827" t="s">
        <v>24</v>
      </c>
      <c r="I145" s="1827" t="s">
        <v>937</v>
      </c>
    </row>
    <row r="146" spans="1:9" ht="11.25" customHeight="1">
      <c r="A146" s="1827" t="s">
        <v>2477</v>
      </c>
      <c r="B146" s="1827" t="s">
        <v>14</v>
      </c>
      <c r="C146" s="1827" t="s">
        <v>2928</v>
      </c>
      <c r="D146" s="1827" t="s">
        <v>2929</v>
      </c>
      <c r="E146" s="1827" t="s">
        <v>2930</v>
      </c>
      <c r="F146" s="1827" t="s">
        <v>2931</v>
      </c>
      <c r="G146" s="1827" t="s">
        <v>2932</v>
      </c>
      <c r="H146" s="1827" t="s">
        <v>24</v>
      </c>
      <c r="I146" s="1827" t="s">
        <v>937</v>
      </c>
    </row>
    <row r="147" spans="1:9" ht="11.25" customHeight="1">
      <c r="A147" s="1827" t="s">
        <v>2477</v>
      </c>
      <c r="B147" s="1827" t="s">
        <v>14</v>
      </c>
      <c r="C147" s="1827" t="s">
        <v>2621</v>
      </c>
      <c r="D147" s="1827" t="s">
        <v>2622</v>
      </c>
      <c r="E147" s="1827" t="s">
        <v>2623</v>
      </c>
      <c r="F147" s="1827" t="s">
        <v>2508</v>
      </c>
      <c r="G147" s="1827" t="s">
        <v>2624</v>
      </c>
      <c r="H147" s="1827" t="s">
        <v>24</v>
      </c>
      <c r="I147" s="1827" t="s">
        <v>937</v>
      </c>
    </row>
    <row r="148" spans="1:9" ht="11.25" customHeight="1">
      <c r="A148" s="1827" t="s">
        <v>2477</v>
      </c>
      <c r="B148" s="1827" t="s">
        <v>14</v>
      </c>
      <c r="C148" s="1827" t="s">
        <v>2933</v>
      </c>
      <c r="D148" s="1827" t="s">
        <v>2934</v>
      </c>
      <c r="E148" s="1827" t="s">
        <v>2935</v>
      </c>
      <c r="F148" s="1827" t="s">
        <v>2481</v>
      </c>
      <c r="G148" s="1827" t="s">
        <v>2936</v>
      </c>
      <c r="H148" s="1827" t="s">
        <v>24</v>
      </c>
      <c r="I148" s="1827" t="s">
        <v>937</v>
      </c>
    </row>
    <row r="149" spans="1:9" ht="11.25" customHeight="1">
      <c r="A149" s="1827" t="s">
        <v>2477</v>
      </c>
      <c r="B149" s="1827" t="s">
        <v>14</v>
      </c>
      <c r="C149" s="1827" t="s">
        <v>2937</v>
      </c>
      <c r="D149" s="1827" t="s">
        <v>2938</v>
      </c>
      <c r="E149" s="1827" t="s">
        <v>2939</v>
      </c>
      <c r="F149" s="1827" t="s">
        <v>2852</v>
      </c>
      <c r="G149" s="1827" t="s">
        <v>2940</v>
      </c>
      <c r="H149" s="1827" t="s">
        <v>24</v>
      </c>
      <c r="I149" s="1827" t="s">
        <v>937</v>
      </c>
    </row>
    <row r="150" spans="1:9" ht="11.25" customHeight="1">
      <c r="A150" s="1827" t="s">
        <v>2477</v>
      </c>
      <c r="B150" s="1827" t="s">
        <v>14</v>
      </c>
      <c r="C150" s="1827" t="s">
        <v>2941</v>
      </c>
      <c r="D150" s="1827" t="s">
        <v>2942</v>
      </c>
      <c r="E150" s="1827" t="s">
        <v>2943</v>
      </c>
      <c r="F150" s="1827" t="s">
        <v>2818</v>
      </c>
      <c r="G150" s="1827" t="s">
        <v>2944</v>
      </c>
      <c r="H150" s="1827" t="s">
        <v>2945</v>
      </c>
      <c r="I150" s="1827" t="s">
        <v>937</v>
      </c>
    </row>
    <row r="151" spans="1:9" ht="11.25" customHeight="1">
      <c r="A151" s="1827" t="s">
        <v>2477</v>
      </c>
      <c r="B151" s="1827" t="s">
        <v>14</v>
      </c>
      <c r="C151" s="1827" t="s">
        <v>2946</v>
      </c>
      <c r="D151" s="1827" t="s">
        <v>2947</v>
      </c>
      <c r="E151" s="1827" t="s">
        <v>2948</v>
      </c>
      <c r="F151" s="1827" t="s">
        <v>2543</v>
      </c>
      <c r="G151" s="1827" t="s">
        <v>2949</v>
      </c>
      <c r="H151" s="1827" t="s">
        <v>24</v>
      </c>
      <c r="I151" s="1827" t="s">
        <v>937</v>
      </c>
    </row>
    <row r="152" spans="1:9" ht="11.25" customHeight="1">
      <c r="A152" s="1827" t="s">
        <v>2477</v>
      </c>
      <c r="B152" s="1827" t="s">
        <v>14</v>
      </c>
      <c r="C152" s="1827" t="s">
        <v>2950</v>
      </c>
      <c r="D152" s="1827" t="s">
        <v>2951</v>
      </c>
      <c r="E152" s="1827" t="s">
        <v>2952</v>
      </c>
      <c r="F152" s="1827" t="s">
        <v>2847</v>
      </c>
      <c r="G152" s="1827" t="s">
        <v>2953</v>
      </c>
      <c r="H152" s="1827" t="s">
        <v>24</v>
      </c>
      <c r="I152" s="1827" t="s">
        <v>937</v>
      </c>
    </row>
    <row r="153" spans="1:9" ht="11.25" customHeight="1">
      <c r="A153" s="1827" t="s">
        <v>2477</v>
      </c>
      <c r="B153" s="1827" t="s">
        <v>14</v>
      </c>
      <c r="C153" s="1827" t="s">
        <v>2954</v>
      </c>
      <c r="D153" s="1827" t="s">
        <v>2955</v>
      </c>
      <c r="E153" s="1827" t="s">
        <v>2956</v>
      </c>
      <c r="F153" s="1827" t="s">
        <v>2931</v>
      </c>
      <c r="G153" s="1827" t="s">
        <v>24</v>
      </c>
      <c r="H153" s="1827" t="s">
        <v>24</v>
      </c>
      <c r="I153" s="1827" t="s">
        <v>937</v>
      </c>
    </row>
    <row r="154" spans="1:9" ht="11.25" customHeight="1">
      <c r="A154" s="1827" t="s">
        <v>2477</v>
      </c>
      <c r="B154" s="1827" t="s">
        <v>14</v>
      </c>
      <c r="C154" s="1827" t="s">
        <v>2957</v>
      </c>
      <c r="D154" s="1827" t="s">
        <v>2958</v>
      </c>
      <c r="E154" s="1827" t="s">
        <v>2959</v>
      </c>
      <c r="F154" s="1827" t="s">
        <v>2543</v>
      </c>
      <c r="G154" s="1827" t="s">
        <v>2949</v>
      </c>
      <c r="H154" s="1827" t="s">
        <v>24</v>
      </c>
      <c r="I154" s="1827" t="s">
        <v>937</v>
      </c>
    </row>
    <row r="155" spans="1:9" ht="11.25" customHeight="1">
      <c r="A155" s="1827" t="s">
        <v>2477</v>
      </c>
      <c r="B155" s="1827" t="s">
        <v>14</v>
      </c>
      <c r="C155" s="1827" t="s">
        <v>2651</v>
      </c>
      <c r="D155" s="1827" t="s">
        <v>2652</v>
      </c>
      <c r="E155" s="1827" t="s">
        <v>2653</v>
      </c>
      <c r="F155" s="1827" t="s">
        <v>2543</v>
      </c>
      <c r="G155" s="1827" t="s">
        <v>2654</v>
      </c>
      <c r="H155" s="1827" t="s">
        <v>24</v>
      </c>
      <c r="I155" s="1827" t="s">
        <v>937</v>
      </c>
    </row>
    <row r="156" spans="1:9" ht="11.25" customHeight="1">
      <c r="A156" s="1827" t="s">
        <v>2477</v>
      </c>
      <c r="B156" s="1827" t="s">
        <v>14</v>
      </c>
      <c r="C156" s="1827" t="s">
        <v>2960</v>
      </c>
      <c r="D156" s="1827" t="s">
        <v>2961</v>
      </c>
      <c r="E156" s="1827" t="s">
        <v>2962</v>
      </c>
      <c r="F156" s="1827" t="s">
        <v>2963</v>
      </c>
      <c r="G156" s="1827" t="s">
        <v>2964</v>
      </c>
      <c r="H156" s="1827" t="s">
        <v>24</v>
      </c>
      <c r="I156" s="1827" t="s">
        <v>937</v>
      </c>
    </row>
    <row r="157" spans="1:9" ht="11.25" customHeight="1">
      <c r="A157" s="1827" t="s">
        <v>2477</v>
      </c>
      <c r="B157" s="1827" t="s">
        <v>14</v>
      </c>
      <c r="C157" s="1827" t="s">
        <v>2965</v>
      </c>
      <c r="D157" s="1827" t="s">
        <v>2966</v>
      </c>
      <c r="E157" s="1827" t="s">
        <v>2967</v>
      </c>
      <c r="F157" s="1827" t="s">
        <v>2890</v>
      </c>
      <c r="G157" s="1827" t="s">
        <v>2968</v>
      </c>
      <c r="H157" s="1827" t="s">
        <v>24</v>
      </c>
      <c r="I157" s="1827" t="s">
        <v>937</v>
      </c>
    </row>
    <row r="158" spans="1:9" ht="11.25" customHeight="1">
      <c r="A158" s="1827" t="s">
        <v>2477</v>
      </c>
      <c r="B158" s="1827" t="s">
        <v>14</v>
      </c>
      <c r="C158" s="1827" t="s">
        <v>2969</v>
      </c>
      <c r="D158" s="1827" t="s">
        <v>2970</v>
      </c>
      <c r="E158" s="1827" t="s">
        <v>2971</v>
      </c>
      <c r="F158" s="1827" t="s">
        <v>2673</v>
      </c>
      <c r="G158" s="1827" t="s">
        <v>2972</v>
      </c>
      <c r="H158" s="1827" t="s">
        <v>24</v>
      </c>
      <c r="I158" s="1827" t="s">
        <v>937</v>
      </c>
    </row>
    <row r="159" spans="1:9" ht="11.25" customHeight="1">
      <c r="A159" s="1827" t="s">
        <v>2477</v>
      </c>
      <c r="B159" s="1827" t="s">
        <v>14</v>
      </c>
      <c r="C159" s="1827" t="s">
        <v>2973</v>
      </c>
      <c r="D159" s="1827" t="s">
        <v>2974</v>
      </c>
      <c r="E159" s="1827" t="s">
        <v>2975</v>
      </c>
      <c r="F159" s="1827" t="s">
        <v>2673</v>
      </c>
      <c r="G159" s="1827" t="s">
        <v>2976</v>
      </c>
      <c r="H159" s="1827" t="s">
        <v>24</v>
      </c>
      <c r="I159" s="1827" t="s">
        <v>937</v>
      </c>
    </row>
    <row r="160" spans="1:9" ht="11.25" customHeight="1">
      <c r="A160" s="1827" t="s">
        <v>2477</v>
      </c>
      <c r="B160" s="1827" t="s">
        <v>14</v>
      </c>
      <c r="C160" s="1827" t="s">
        <v>2977</v>
      </c>
      <c r="D160" s="1827" t="s">
        <v>2978</v>
      </c>
      <c r="E160" s="1827" t="s">
        <v>2979</v>
      </c>
      <c r="F160" s="1827" t="s">
        <v>50</v>
      </c>
      <c r="G160" s="1827" t="s">
        <v>2685</v>
      </c>
      <c r="H160" s="1827" t="s">
        <v>24</v>
      </c>
      <c r="I160" s="1827" t="s">
        <v>937</v>
      </c>
    </row>
    <row r="161" spans="1:9" ht="11.25" customHeight="1">
      <c r="A161" s="1827" t="s">
        <v>2477</v>
      </c>
      <c r="B161" s="1827" t="s">
        <v>14</v>
      </c>
      <c r="C161" s="1827" t="s">
        <v>2980</v>
      </c>
      <c r="D161" s="1827" t="s">
        <v>2981</v>
      </c>
      <c r="E161" s="1827" t="s">
        <v>2982</v>
      </c>
      <c r="F161" s="1827" t="s">
        <v>2847</v>
      </c>
      <c r="G161" s="1827" t="s">
        <v>2983</v>
      </c>
      <c r="H161" s="1827" t="s">
        <v>24</v>
      </c>
      <c r="I161" s="1827" t="s">
        <v>937</v>
      </c>
    </row>
    <row r="162" spans="1:9" ht="11.25" customHeight="1">
      <c r="A162" s="1827" t="s">
        <v>2477</v>
      </c>
      <c r="B162" s="1827" t="s">
        <v>14</v>
      </c>
      <c r="C162" s="1827" t="s">
        <v>2984</v>
      </c>
      <c r="D162" s="1827" t="s">
        <v>2985</v>
      </c>
      <c r="E162" s="1827" t="s">
        <v>2986</v>
      </c>
      <c r="F162" s="1827" t="s">
        <v>2529</v>
      </c>
      <c r="G162" s="1827" t="s">
        <v>2987</v>
      </c>
      <c r="H162" s="1827" t="s">
        <v>24</v>
      </c>
      <c r="I162" s="1827" t="s">
        <v>937</v>
      </c>
    </row>
    <row r="163" spans="1:9" ht="11.25" customHeight="1">
      <c r="A163" s="1827" t="s">
        <v>2477</v>
      </c>
      <c r="B163" s="1827" t="s">
        <v>14</v>
      </c>
      <c r="C163" s="1827" t="s">
        <v>2740</v>
      </c>
      <c r="D163" s="1827" t="s">
        <v>2741</v>
      </c>
      <c r="E163" s="1827" t="s">
        <v>2742</v>
      </c>
      <c r="F163" s="1827" t="s">
        <v>2743</v>
      </c>
      <c r="G163" s="1827" t="s">
        <v>2744</v>
      </c>
      <c r="H163" s="1827" t="s">
        <v>24</v>
      </c>
      <c r="I163" s="1827" t="s">
        <v>937</v>
      </c>
    </row>
    <row r="164" spans="1:9" ht="11.25" customHeight="1">
      <c r="A164" s="1827" t="s">
        <v>2477</v>
      </c>
      <c r="B164" s="1827" t="s">
        <v>14</v>
      </c>
      <c r="C164" s="1827" t="s">
        <v>24</v>
      </c>
      <c r="D164" s="1827" t="s">
        <v>2758</v>
      </c>
      <c r="E164" s="1827" t="s">
        <v>2759</v>
      </c>
      <c r="F164" s="1827" t="s">
        <v>2760</v>
      </c>
      <c r="G164" s="1827" t="s">
        <v>24</v>
      </c>
      <c r="H164" s="1827" t="s">
        <v>24</v>
      </c>
      <c r="I164" s="1827" t="s">
        <v>937</v>
      </c>
    </row>
    <row r="165" spans="1:9" ht="11.25" customHeight="1">
      <c r="A165" s="1827" t="s">
        <v>2477</v>
      </c>
      <c r="B165" s="1827" t="s">
        <v>14</v>
      </c>
      <c r="C165" s="1827" t="s">
        <v>2988</v>
      </c>
      <c r="D165" s="1827" t="s">
        <v>2989</v>
      </c>
      <c r="E165" s="1827" t="s">
        <v>2990</v>
      </c>
      <c r="F165" s="1827" t="s">
        <v>2543</v>
      </c>
      <c r="G165" s="1827" t="s">
        <v>2991</v>
      </c>
      <c r="H165" s="1827" t="s">
        <v>24</v>
      </c>
      <c r="I165" s="1827" t="s">
        <v>937</v>
      </c>
    </row>
    <row r="166" spans="1:9" ht="11.25" customHeight="1">
      <c r="A166" s="1827" t="s">
        <v>2477</v>
      </c>
      <c r="B166" s="1827" t="s">
        <v>14</v>
      </c>
      <c r="C166" s="1827" t="s">
        <v>2992</v>
      </c>
      <c r="D166" s="1827" t="s">
        <v>2993</v>
      </c>
      <c r="E166" s="1827" t="s">
        <v>2994</v>
      </c>
      <c r="F166" s="1827" t="s">
        <v>2852</v>
      </c>
      <c r="G166" s="1827" t="s">
        <v>2995</v>
      </c>
      <c r="H166" s="1827" t="s">
        <v>24</v>
      </c>
      <c r="I166" s="1827" t="s">
        <v>937</v>
      </c>
    </row>
    <row r="167" spans="1:9" ht="11.25" customHeight="1">
      <c r="A167" s="1827" t="s">
        <v>2477</v>
      </c>
      <c r="B167" s="1827" t="s">
        <v>14</v>
      </c>
      <c r="C167" s="1827" t="s">
        <v>2996</v>
      </c>
      <c r="D167" s="1827" t="s">
        <v>2997</v>
      </c>
      <c r="E167" s="1827" t="s">
        <v>2998</v>
      </c>
      <c r="F167" s="1827" t="s">
        <v>2818</v>
      </c>
      <c r="G167" s="1827" t="s">
        <v>2999</v>
      </c>
      <c r="H167" s="1827" t="s">
        <v>3000</v>
      </c>
      <c r="I167" s="1827" t="s">
        <v>937</v>
      </c>
    </row>
    <row r="168" spans="1:9" ht="11.25" customHeight="1">
      <c r="A168" s="1827" t="s">
        <v>2477</v>
      </c>
      <c r="B168" s="1827" t="s">
        <v>14</v>
      </c>
      <c r="C168" s="1827" t="s">
        <v>3001</v>
      </c>
      <c r="D168" s="1827" t="s">
        <v>3002</v>
      </c>
      <c r="E168" s="1827" t="s">
        <v>3003</v>
      </c>
      <c r="F168" s="1827" t="s">
        <v>2818</v>
      </c>
      <c r="G168" s="1827" t="s">
        <v>3004</v>
      </c>
      <c r="H168" s="1827" t="s">
        <v>24</v>
      </c>
      <c r="I168" s="1827" t="s">
        <v>937</v>
      </c>
    </row>
    <row r="169" spans="1:9" ht="11.25" customHeight="1">
      <c r="A169" s="1827" t="s">
        <v>2477</v>
      </c>
      <c r="B169" s="1827" t="s">
        <v>14</v>
      </c>
      <c r="C169" s="1827" t="s">
        <v>3005</v>
      </c>
      <c r="D169" s="1827" t="s">
        <v>3006</v>
      </c>
      <c r="E169" s="1827" t="s">
        <v>3007</v>
      </c>
      <c r="F169" s="1827" t="s">
        <v>2852</v>
      </c>
      <c r="G169" s="1827" t="s">
        <v>3008</v>
      </c>
      <c r="H169" s="1827" t="s">
        <v>24</v>
      </c>
      <c r="I169" s="1827" t="s">
        <v>937</v>
      </c>
    </row>
    <row r="170" spans="1:9" ht="11.25" customHeight="1">
      <c r="A170" s="1827" t="s">
        <v>2477</v>
      </c>
      <c r="B170" s="1827" t="s">
        <v>14</v>
      </c>
      <c r="C170" s="1827" t="s">
        <v>2766</v>
      </c>
      <c r="D170" s="1827" t="s">
        <v>2767</v>
      </c>
      <c r="E170" s="1827" t="s">
        <v>2768</v>
      </c>
      <c r="F170" s="1827" t="s">
        <v>2769</v>
      </c>
      <c r="G170" s="1827" t="s">
        <v>24</v>
      </c>
      <c r="H170" s="1827" t="s">
        <v>24</v>
      </c>
      <c r="I170" s="1827" t="s">
        <v>937</v>
      </c>
    </row>
    <row r="171" spans="1:9" ht="11.25" customHeight="1">
      <c r="A171" s="1827" t="s">
        <v>2477</v>
      </c>
      <c r="B171" s="1827" t="s">
        <v>14</v>
      </c>
      <c r="C171" s="1827" t="s">
        <v>2770</v>
      </c>
      <c r="D171" s="1827" t="s">
        <v>2771</v>
      </c>
      <c r="E171" s="1827" t="s">
        <v>2772</v>
      </c>
      <c r="F171" s="1827" t="s">
        <v>2773</v>
      </c>
      <c r="G171" s="1827" t="s">
        <v>2774</v>
      </c>
      <c r="H171" s="1827" t="s">
        <v>24</v>
      </c>
      <c r="I171" s="1827" t="s">
        <v>937</v>
      </c>
    </row>
    <row r="172" spans="1:9" ht="11.25" customHeight="1">
      <c r="A172" s="1827" t="s">
        <v>2477</v>
      </c>
      <c r="B172" s="1827" t="s">
        <v>14</v>
      </c>
      <c r="C172" s="1827" t="s">
        <v>2778</v>
      </c>
      <c r="D172" s="1827" t="s">
        <v>2779</v>
      </c>
      <c r="E172" s="1827" t="s">
        <v>2780</v>
      </c>
      <c r="F172" s="1827" t="s">
        <v>2781</v>
      </c>
      <c r="G172" s="1827" t="s">
        <v>2595</v>
      </c>
      <c r="H172" s="1827" t="s">
        <v>24</v>
      </c>
      <c r="I172" s="1827" t="s">
        <v>937</v>
      </c>
    </row>
    <row r="173" spans="1:9" ht="11.25" customHeight="1">
      <c r="A173" s="1827" t="s">
        <v>2477</v>
      </c>
      <c r="B173" s="1827" t="s">
        <v>14</v>
      </c>
      <c r="C173" s="1827" t="s">
        <v>3009</v>
      </c>
      <c r="D173" s="1827" t="s">
        <v>3010</v>
      </c>
      <c r="E173" s="1827" t="s">
        <v>3011</v>
      </c>
      <c r="F173" s="1827" t="s">
        <v>2847</v>
      </c>
      <c r="G173" s="1827" t="s">
        <v>3012</v>
      </c>
      <c r="H173" s="1827" t="s">
        <v>24</v>
      </c>
      <c r="I173" s="1827" t="s">
        <v>937</v>
      </c>
    </row>
    <row r="174" spans="1:9" ht="11.25" customHeight="1">
      <c r="A174" s="1827" t="s">
        <v>2477</v>
      </c>
      <c r="B174" s="1827" t="s">
        <v>14</v>
      </c>
      <c r="C174" s="1827" t="s">
        <v>2782</v>
      </c>
      <c r="D174" s="1827" t="s">
        <v>2783</v>
      </c>
      <c r="E174" s="1827" t="s">
        <v>2784</v>
      </c>
      <c r="F174" s="1827" t="s">
        <v>2785</v>
      </c>
      <c r="G174" s="1827" t="s">
        <v>2786</v>
      </c>
      <c r="H174" s="1827" t="s">
        <v>24</v>
      </c>
      <c r="I174" s="1827" t="s">
        <v>937</v>
      </c>
    </row>
    <row r="175" spans="1:9" ht="11.25" customHeight="1">
      <c r="A175" s="1827" t="s">
        <v>2477</v>
      </c>
      <c r="B175" s="1827" t="s">
        <v>14</v>
      </c>
      <c r="C175" s="1827" t="s">
        <v>2794</v>
      </c>
      <c r="D175" s="1827" t="s">
        <v>2795</v>
      </c>
      <c r="E175" s="1827" t="s">
        <v>2796</v>
      </c>
      <c r="F175" s="1827" t="s">
        <v>2486</v>
      </c>
      <c r="G175" s="1827" t="s">
        <v>2797</v>
      </c>
      <c r="H175" s="1827" t="s">
        <v>24</v>
      </c>
      <c r="I175" s="1827" t="s">
        <v>989</v>
      </c>
    </row>
    <row r="176" spans="1:9" ht="11.25" customHeight="1">
      <c r="A176" s="1827" t="s">
        <v>2477</v>
      </c>
      <c r="B176" s="1827" t="s">
        <v>14</v>
      </c>
      <c r="C176" s="1827" t="s">
        <v>2488</v>
      </c>
      <c r="D176" s="1827" t="s">
        <v>2489</v>
      </c>
      <c r="E176" s="1827" t="s">
        <v>2490</v>
      </c>
      <c r="F176" s="1827" t="s">
        <v>2486</v>
      </c>
      <c r="G176" s="1827" t="s">
        <v>2491</v>
      </c>
      <c r="H176" s="1827" t="s">
        <v>24</v>
      </c>
      <c r="I176" s="1827" t="s">
        <v>989</v>
      </c>
    </row>
    <row r="177" spans="1:9" ht="11.25" customHeight="1">
      <c r="A177" s="1827" t="s">
        <v>2477</v>
      </c>
      <c r="B177" s="1827" t="s">
        <v>14</v>
      </c>
      <c r="C177" s="1827" t="s">
        <v>2540</v>
      </c>
      <c r="D177" s="1827" t="s">
        <v>2541</v>
      </c>
      <c r="E177" s="1827" t="s">
        <v>2542</v>
      </c>
      <c r="F177" s="1827" t="s">
        <v>2543</v>
      </c>
      <c r="G177" s="1827" t="s">
        <v>2544</v>
      </c>
      <c r="H177" s="1827" t="s">
        <v>24</v>
      </c>
      <c r="I177" s="1827" t="s">
        <v>989</v>
      </c>
    </row>
    <row r="178" spans="1:9" ht="11.25" customHeight="1">
      <c r="A178" s="1827" t="s">
        <v>2477</v>
      </c>
      <c r="B178" s="1827" t="s">
        <v>14</v>
      </c>
      <c r="C178" s="1827" t="s">
        <v>2820</v>
      </c>
      <c r="D178" s="1827" t="s">
        <v>2821</v>
      </c>
      <c r="E178" s="1827" t="s">
        <v>2822</v>
      </c>
      <c r="F178" s="1827" t="s">
        <v>2818</v>
      </c>
      <c r="G178" s="1827" t="s">
        <v>2823</v>
      </c>
      <c r="H178" s="1827" t="s">
        <v>24</v>
      </c>
      <c r="I178" s="1827" t="s">
        <v>989</v>
      </c>
    </row>
    <row r="179" spans="1:9" ht="11.25" customHeight="1">
      <c r="A179" s="1827" t="s">
        <v>2477</v>
      </c>
      <c r="B179" s="1827" t="s">
        <v>14</v>
      </c>
      <c r="C179" s="1827" t="s">
        <v>2828</v>
      </c>
      <c r="D179" s="1827" t="s">
        <v>2829</v>
      </c>
      <c r="E179" s="1827" t="s">
        <v>2830</v>
      </c>
      <c r="F179" s="1827" t="s">
        <v>2729</v>
      </c>
      <c r="G179" s="1827" t="s">
        <v>2831</v>
      </c>
      <c r="H179" s="1827" t="s">
        <v>24</v>
      </c>
      <c r="I179" s="1827" t="s">
        <v>989</v>
      </c>
    </row>
    <row r="180" spans="1:9" ht="11.25" customHeight="1">
      <c r="A180" s="1827" t="s">
        <v>2477</v>
      </c>
      <c r="B180" s="1827" t="s">
        <v>14</v>
      </c>
      <c r="C180" s="1827" t="s">
        <v>2557</v>
      </c>
      <c r="D180" s="1827" t="s">
        <v>45</v>
      </c>
      <c r="E180" s="1827" t="s">
        <v>48</v>
      </c>
      <c r="F180" s="1827" t="s">
        <v>50</v>
      </c>
      <c r="G180" s="1827" t="s">
        <v>2558</v>
      </c>
      <c r="H180" s="1827" t="s">
        <v>24</v>
      </c>
      <c r="I180" s="1827" t="s">
        <v>989</v>
      </c>
    </row>
    <row r="181" spans="1:9" ht="11.25" customHeight="1">
      <c r="A181" s="1827" t="s">
        <v>2477</v>
      </c>
      <c r="B181" s="1827" t="s">
        <v>14</v>
      </c>
      <c r="C181" s="1827" t="s">
        <v>3013</v>
      </c>
      <c r="D181" s="1827" t="s">
        <v>3014</v>
      </c>
      <c r="E181" s="1827" t="s">
        <v>3015</v>
      </c>
      <c r="F181" s="1827" t="s">
        <v>50</v>
      </c>
      <c r="G181" s="1827" t="s">
        <v>3016</v>
      </c>
      <c r="H181" s="1827" t="s">
        <v>24</v>
      </c>
      <c r="I181" s="1827" t="s">
        <v>989</v>
      </c>
    </row>
    <row r="182" spans="1:9" ht="11.25" customHeight="1">
      <c r="A182" s="1827" t="s">
        <v>2477</v>
      </c>
      <c r="B182" s="1827" t="s">
        <v>14</v>
      </c>
      <c r="C182" s="1827" t="s">
        <v>2836</v>
      </c>
      <c r="D182" s="1827" t="s">
        <v>2837</v>
      </c>
      <c r="E182" s="1827" t="s">
        <v>2838</v>
      </c>
      <c r="F182" s="1827" t="s">
        <v>2673</v>
      </c>
      <c r="G182" s="1827" t="s">
        <v>2839</v>
      </c>
      <c r="H182" s="1827" t="s">
        <v>24</v>
      </c>
      <c r="I182" s="1827" t="s">
        <v>989</v>
      </c>
    </row>
    <row r="183" spans="1:9" ht="11.25" customHeight="1">
      <c r="A183" s="1827" t="s">
        <v>2477</v>
      </c>
      <c r="B183" s="1827" t="s">
        <v>14</v>
      </c>
      <c r="C183" s="1827" t="s">
        <v>2867</v>
      </c>
      <c r="D183" s="1827" t="s">
        <v>2868</v>
      </c>
      <c r="E183" s="1827" t="s">
        <v>2869</v>
      </c>
      <c r="F183" s="1827" t="s">
        <v>50</v>
      </c>
      <c r="G183" s="1827" t="s">
        <v>2870</v>
      </c>
      <c r="H183" s="1827" t="s">
        <v>24</v>
      </c>
      <c r="I183" s="1827" t="s">
        <v>989</v>
      </c>
    </row>
    <row r="184" spans="1:9" ht="11.25" customHeight="1">
      <c r="A184" s="1827" t="s">
        <v>2477</v>
      </c>
      <c r="B184" s="1827" t="s">
        <v>14</v>
      </c>
      <c r="C184" s="1827" t="s">
        <v>3017</v>
      </c>
      <c r="D184" s="1827" t="s">
        <v>3018</v>
      </c>
      <c r="E184" s="1827" t="s">
        <v>3019</v>
      </c>
      <c r="F184" s="1827" t="s">
        <v>2604</v>
      </c>
      <c r="G184" s="1827" t="s">
        <v>3020</v>
      </c>
      <c r="H184" s="1827" t="s">
        <v>24</v>
      </c>
      <c r="I184" s="1827" t="s">
        <v>989</v>
      </c>
    </row>
    <row r="185" spans="1:9" ht="11.25" customHeight="1">
      <c r="A185" s="1827" t="s">
        <v>2477</v>
      </c>
      <c r="B185" s="1827" t="s">
        <v>14</v>
      </c>
      <c r="C185" s="1827" t="s">
        <v>2621</v>
      </c>
      <c r="D185" s="1827" t="s">
        <v>2622</v>
      </c>
      <c r="E185" s="1827" t="s">
        <v>2623</v>
      </c>
      <c r="F185" s="1827" t="s">
        <v>2508</v>
      </c>
      <c r="G185" s="1827" t="s">
        <v>2624</v>
      </c>
      <c r="H185" s="1827" t="s">
        <v>24</v>
      </c>
      <c r="I185" s="1827" t="s">
        <v>989</v>
      </c>
    </row>
    <row r="186" spans="1:9" ht="11.25" customHeight="1">
      <c r="A186" s="1827" t="s">
        <v>2477</v>
      </c>
      <c r="B186" s="1827" t="s">
        <v>14</v>
      </c>
      <c r="C186" s="1827" t="s">
        <v>3021</v>
      </c>
      <c r="D186" s="1827" t="s">
        <v>3022</v>
      </c>
      <c r="E186" s="1827" t="s">
        <v>3023</v>
      </c>
      <c r="F186" s="1827" t="s">
        <v>3024</v>
      </c>
      <c r="G186" s="1827" t="s">
        <v>24</v>
      </c>
      <c r="H186" s="1827" t="s">
        <v>24</v>
      </c>
      <c r="I186" s="1827" t="s">
        <v>989</v>
      </c>
    </row>
    <row r="187" spans="1:9" ht="11.25" customHeight="1">
      <c r="A187" s="1827" t="s">
        <v>2477</v>
      </c>
      <c r="B187" s="1827" t="s">
        <v>14</v>
      </c>
      <c r="C187" s="1827" t="s">
        <v>2957</v>
      </c>
      <c r="D187" s="1827" t="s">
        <v>2958</v>
      </c>
      <c r="E187" s="1827" t="s">
        <v>2959</v>
      </c>
      <c r="F187" s="1827" t="s">
        <v>2543</v>
      </c>
      <c r="G187" s="1827" t="s">
        <v>2949</v>
      </c>
      <c r="H187" s="1827" t="s">
        <v>24</v>
      </c>
      <c r="I187" s="1827" t="s">
        <v>989</v>
      </c>
    </row>
    <row r="188" spans="1:9" ht="11.25" customHeight="1">
      <c r="A188" s="1827" t="s">
        <v>2477</v>
      </c>
      <c r="B188" s="1827" t="s">
        <v>14</v>
      </c>
      <c r="C188" s="1827" t="s">
        <v>2651</v>
      </c>
      <c r="D188" s="1827" t="s">
        <v>2652</v>
      </c>
      <c r="E188" s="1827" t="s">
        <v>2653</v>
      </c>
      <c r="F188" s="1827" t="s">
        <v>2543</v>
      </c>
      <c r="G188" s="1827" t="s">
        <v>2654</v>
      </c>
      <c r="H188" s="1827" t="s">
        <v>24</v>
      </c>
      <c r="I188" s="1827" t="s">
        <v>989</v>
      </c>
    </row>
    <row r="189" spans="1:9" ht="11.25" customHeight="1">
      <c r="A189" s="1827" t="s">
        <v>2477</v>
      </c>
      <c r="B189" s="1827" t="s">
        <v>14</v>
      </c>
      <c r="C189" s="1827" t="s">
        <v>2960</v>
      </c>
      <c r="D189" s="1827" t="s">
        <v>2961</v>
      </c>
      <c r="E189" s="1827" t="s">
        <v>2962</v>
      </c>
      <c r="F189" s="1827" t="s">
        <v>2963</v>
      </c>
      <c r="G189" s="1827" t="s">
        <v>2964</v>
      </c>
      <c r="H189" s="1827" t="s">
        <v>24</v>
      </c>
      <c r="I189" s="1827" t="s">
        <v>989</v>
      </c>
    </row>
    <row r="190" spans="1:9" ht="11.25" customHeight="1">
      <c r="A190" s="1827" t="s">
        <v>2477</v>
      </c>
      <c r="B190" s="1827" t="s">
        <v>14</v>
      </c>
      <c r="C190" s="1827" t="s">
        <v>2655</v>
      </c>
      <c r="D190" s="1827" t="s">
        <v>2656</v>
      </c>
      <c r="E190" s="1827" t="s">
        <v>2657</v>
      </c>
      <c r="F190" s="1827" t="s">
        <v>2658</v>
      </c>
      <c r="G190" s="1827" t="s">
        <v>2659</v>
      </c>
      <c r="H190" s="1827" t="s">
        <v>24</v>
      </c>
      <c r="I190" s="1827" t="s">
        <v>989</v>
      </c>
    </row>
    <row r="191" spans="1:9" ht="11.25" customHeight="1">
      <c r="A191" s="1827" t="s">
        <v>2477</v>
      </c>
      <c r="B191" s="1827" t="s">
        <v>14</v>
      </c>
      <c r="C191" s="1827" t="s">
        <v>2973</v>
      </c>
      <c r="D191" s="1827" t="s">
        <v>2974</v>
      </c>
      <c r="E191" s="1827" t="s">
        <v>2975</v>
      </c>
      <c r="F191" s="1827" t="s">
        <v>2673</v>
      </c>
      <c r="G191" s="1827" t="s">
        <v>2976</v>
      </c>
      <c r="H191" s="1827" t="s">
        <v>24</v>
      </c>
      <c r="I191" s="1827" t="s">
        <v>989</v>
      </c>
    </row>
    <row r="192" spans="1:9" ht="11.25" customHeight="1">
      <c r="A192" s="1827" t="s">
        <v>2477</v>
      </c>
      <c r="B192" s="1827" t="s">
        <v>14</v>
      </c>
      <c r="C192" s="1827" t="s">
        <v>2977</v>
      </c>
      <c r="D192" s="1827" t="s">
        <v>2978</v>
      </c>
      <c r="E192" s="1827" t="s">
        <v>2979</v>
      </c>
      <c r="F192" s="1827" t="s">
        <v>50</v>
      </c>
      <c r="G192" s="1827" t="s">
        <v>2685</v>
      </c>
      <c r="H192" s="1827" t="s">
        <v>24</v>
      </c>
      <c r="I192" s="1827" t="s">
        <v>989</v>
      </c>
    </row>
    <row r="193" spans="1:9" ht="11.25" customHeight="1">
      <c r="A193" s="1827" t="s">
        <v>2477</v>
      </c>
      <c r="B193" s="1827" t="s">
        <v>14</v>
      </c>
      <c r="C193" s="1827" t="s">
        <v>3025</v>
      </c>
      <c r="D193" s="1827" t="s">
        <v>3026</v>
      </c>
      <c r="E193" s="1827" t="s">
        <v>3027</v>
      </c>
      <c r="F193" s="1827" t="s">
        <v>2481</v>
      </c>
      <c r="G193" s="1827" t="s">
        <v>3028</v>
      </c>
      <c r="H193" s="1827" t="s">
        <v>24</v>
      </c>
      <c r="I193" s="1827" t="s">
        <v>989</v>
      </c>
    </row>
    <row r="194" spans="1:9" ht="11.25" customHeight="1">
      <c r="A194" s="1827" t="s">
        <v>2477</v>
      </c>
      <c r="B194" s="1827" t="s">
        <v>14</v>
      </c>
      <c r="C194" s="1827" t="s">
        <v>3029</v>
      </c>
      <c r="D194" s="1827" t="s">
        <v>3030</v>
      </c>
      <c r="E194" s="1827" t="s">
        <v>3031</v>
      </c>
      <c r="F194" s="1827" t="s">
        <v>2729</v>
      </c>
      <c r="G194" s="1827" t="s">
        <v>3032</v>
      </c>
      <c r="H194" s="1827" t="s">
        <v>24</v>
      </c>
      <c r="I194" s="1827" t="s">
        <v>989</v>
      </c>
    </row>
    <row r="195" spans="1:9" ht="11.25" customHeight="1">
      <c r="A195" s="1827" t="s">
        <v>2477</v>
      </c>
      <c r="B195" s="1827" t="s">
        <v>14</v>
      </c>
      <c r="C195" s="1827" t="s">
        <v>3033</v>
      </c>
      <c r="D195" s="1827" t="s">
        <v>3034</v>
      </c>
      <c r="E195" s="1827" t="s">
        <v>3035</v>
      </c>
      <c r="F195" s="1827" t="s">
        <v>3036</v>
      </c>
      <c r="G195" s="1827" t="s">
        <v>3037</v>
      </c>
      <c r="H195" s="1827" t="s">
        <v>24</v>
      </c>
      <c r="I195" s="1827" t="s">
        <v>989</v>
      </c>
    </row>
    <row r="196" spans="1:9" ht="11.25" customHeight="1">
      <c r="A196" s="1827" t="s">
        <v>2477</v>
      </c>
      <c r="B196" s="1827" t="s">
        <v>14</v>
      </c>
      <c r="C196" s="1827" t="s">
        <v>3038</v>
      </c>
      <c r="D196" s="1827" t="s">
        <v>3039</v>
      </c>
      <c r="E196" s="1827" t="s">
        <v>3040</v>
      </c>
      <c r="F196" s="1827" t="s">
        <v>2543</v>
      </c>
      <c r="G196" s="1827" t="s">
        <v>3041</v>
      </c>
      <c r="H196" s="1827" t="s">
        <v>24</v>
      </c>
      <c r="I196" s="1827" t="s">
        <v>989</v>
      </c>
    </row>
    <row r="197" spans="1:9" ht="11.25" customHeight="1">
      <c r="A197" s="1827" t="s">
        <v>2477</v>
      </c>
      <c r="B197" s="1827" t="s">
        <v>14</v>
      </c>
      <c r="C197" s="1827" t="s">
        <v>2731</v>
      </c>
      <c r="D197" s="1827" t="s">
        <v>2732</v>
      </c>
      <c r="E197" s="1827" t="s">
        <v>2733</v>
      </c>
      <c r="F197" s="1827" t="s">
        <v>2734</v>
      </c>
      <c r="G197" s="1827" t="s">
        <v>2735</v>
      </c>
      <c r="H197" s="1827" t="s">
        <v>24</v>
      </c>
      <c r="I197" s="1827" t="s">
        <v>989</v>
      </c>
    </row>
    <row r="198" spans="1:9" ht="11.25" customHeight="1">
      <c r="A198" s="1827" t="s">
        <v>2477</v>
      </c>
      <c r="B198" s="1827" t="s">
        <v>14</v>
      </c>
      <c r="C198" s="1827" t="s">
        <v>2984</v>
      </c>
      <c r="D198" s="1827" t="s">
        <v>2985</v>
      </c>
      <c r="E198" s="1827" t="s">
        <v>2986</v>
      </c>
      <c r="F198" s="1827" t="s">
        <v>2529</v>
      </c>
      <c r="G198" s="1827" t="s">
        <v>2987</v>
      </c>
      <c r="H198" s="1827" t="s">
        <v>24</v>
      </c>
      <c r="I198" s="1827" t="s">
        <v>989</v>
      </c>
    </row>
    <row r="199" spans="1:9" ht="11.25" customHeight="1">
      <c r="A199" s="1827" t="s">
        <v>2477</v>
      </c>
      <c r="B199" s="1827" t="s">
        <v>14</v>
      </c>
      <c r="C199" s="1827" t="s">
        <v>2740</v>
      </c>
      <c r="D199" s="1827" t="s">
        <v>2741</v>
      </c>
      <c r="E199" s="1827" t="s">
        <v>2742</v>
      </c>
      <c r="F199" s="1827" t="s">
        <v>2743</v>
      </c>
      <c r="G199" s="1827" t="s">
        <v>2744</v>
      </c>
      <c r="H199" s="1827" t="s">
        <v>24</v>
      </c>
      <c r="I199" s="1827" t="s">
        <v>989</v>
      </c>
    </row>
    <row r="200" spans="1:9" ht="11.25" customHeight="1">
      <c r="A200" s="1827" t="s">
        <v>2477</v>
      </c>
      <c r="B200" s="1827" t="s">
        <v>14</v>
      </c>
      <c r="C200" s="1827" t="s">
        <v>24</v>
      </c>
      <c r="D200" s="1827" t="s">
        <v>2758</v>
      </c>
      <c r="E200" s="1827" t="s">
        <v>2759</v>
      </c>
      <c r="F200" s="1827" t="s">
        <v>2760</v>
      </c>
      <c r="G200" s="1827" t="s">
        <v>24</v>
      </c>
      <c r="H200" s="1827" t="s">
        <v>24</v>
      </c>
      <c r="I200" s="1827" t="s">
        <v>989</v>
      </c>
    </row>
    <row r="201" spans="1:9" ht="11.25" customHeight="1">
      <c r="A201" s="1827" t="s">
        <v>2477</v>
      </c>
      <c r="B201" s="1827" t="s">
        <v>14</v>
      </c>
      <c r="C201" s="1827" t="s">
        <v>2766</v>
      </c>
      <c r="D201" s="1827" t="s">
        <v>2767</v>
      </c>
      <c r="E201" s="1827" t="s">
        <v>2768</v>
      </c>
      <c r="F201" s="1827" t="s">
        <v>2769</v>
      </c>
      <c r="G201" s="1827" t="s">
        <v>24</v>
      </c>
      <c r="H201" s="1827" t="s">
        <v>24</v>
      </c>
      <c r="I201" s="1827" t="s">
        <v>989</v>
      </c>
    </row>
    <row r="202" spans="1:9" ht="11.25" customHeight="1">
      <c r="A202" s="1827" t="s">
        <v>2477</v>
      </c>
      <c r="B202" s="1827" t="s">
        <v>14</v>
      </c>
      <c r="C202" s="1827" t="s">
        <v>2770</v>
      </c>
      <c r="D202" s="1827" t="s">
        <v>2771</v>
      </c>
      <c r="E202" s="1827" t="s">
        <v>2772</v>
      </c>
      <c r="F202" s="1827" t="s">
        <v>2773</v>
      </c>
      <c r="G202" s="1827" t="s">
        <v>2774</v>
      </c>
      <c r="H202" s="1827" t="s">
        <v>24</v>
      </c>
      <c r="I202" s="1827" t="s">
        <v>989</v>
      </c>
    </row>
    <row r="203" spans="1:9" ht="11.25" customHeight="1">
      <c r="A203" s="1827" t="s">
        <v>2477</v>
      </c>
      <c r="B203" s="1827" t="s">
        <v>14</v>
      </c>
      <c r="C203" s="1827" t="s">
        <v>2778</v>
      </c>
      <c r="D203" s="1827" t="s">
        <v>2779</v>
      </c>
      <c r="E203" s="1827" t="s">
        <v>2780</v>
      </c>
      <c r="F203" s="1827" t="s">
        <v>2781</v>
      </c>
      <c r="G203" s="1827" t="s">
        <v>2595</v>
      </c>
      <c r="H203" s="1827" t="s">
        <v>24</v>
      </c>
      <c r="I203" s="1827" t="s">
        <v>989</v>
      </c>
    </row>
    <row r="204" spans="1:9" ht="11.25" customHeight="1">
      <c r="A204" s="1827" t="s">
        <v>2477</v>
      </c>
      <c r="B204" s="1827" t="s">
        <v>14</v>
      </c>
      <c r="C204" s="1827" t="s">
        <v>2782</v>
      </c>
      <c r="D204" s="1827" t="s">
        <v>2783</v>
      </c>
      <c r="E204" s="1827" t="s">
        <v>2784</v>
      </c>
      <c r="F204" s="1827" t="s">
        <v>2785</v>
      </c>
      <c r="G204" s="1827" t="s">
        <v>2786</v>
      </c>
      <c r="H204" s="1827" t="s">
        <v>24</v>
      </c>
      <c r="I204" s="1827" t="s">
        <v>989</v>
      </c>
    </row>
    <row r="205" spans="1:9" ht="11.25" customHeight="1">
      <c r="A205" s="1827" t="s">
        <v>2477</v>
      </c>
      <c r="B205" s="1827" t="s">
        <v>14</v>
      </c>
      <c r="C205" s="1827" t="s">
        <v>2492</v>
      </c>
      <c r="D205" s="1827" t="s">
        <v>2493</v>
      </c>
      <c r="E205" s="1827" t="s">
        <v>2494</v>
      </c>
      <c r="F205" s="1827" t="s">
        <v>2495</v>
      </c>
      <c r="G205" s="1827" t="s">
        <v>2496</v>
      </c>
      <c r="H205" s="1827" t="s">
        <v>24</v>
      </c>
      <c r="I205" s="1827" t="s">
        <v>1920</v>
      </c>
    </row>
    <row r="206" spans="1:9" ht="11.25" customHeight="1">
      <c r="A206" s="1827" t="s">
        <v>2477</v>
      </c>
      <c r="B206" s="1827" t="s">
        <v>14</v>
      </c>
      <c r="C206" s="1827" t="s">
        <v>3042</v>
      </c>
      <c r="D206" s="1827" t="s">
        <v>3043</v>
      </c>
      <c r="E206" s="1827" t="s">
        <v>3044</v>
      </c>
      <c r="F206" s="1827" t="s">
        <v>744</v>
      </c>
      <c r="G206" s="1827" t="s">
        <v>3045</v>
      </c>
      <c r="H206" s="1827" t="s">
        <v>24</v>
      </c>
      <c r="I206" s="1827" t="s">
        <v>1920</v>
      </c>
    </row>
    <row r="207" spans="1:9" ht="11.25" customHeight="1">
      <c r="A207" s="1827" t="s">
        <v>2477</v>
      </c>
      <c r="B207" s="1827" t="s">
        <v>14</v>
      </c>
      <c r="C207" s="1827" t="s">
        <v>3046</v>
      </c>
      <c r="D207" s="1827" t="s">
        <v>3047</v>
      </c>
      <c r="E207" s="1827" t="s">
        <v>3048</v>
      </c>
      <c r="F207" s="1827" t="s">
        <v>744</v>
      </c>
      <c r="G207" s="1827" t="s">
        <v>3049</v>
      </c>
      <c r="H207" s="1827" t="s">
        <v>24</v>
      </c>
      <c r="I207" s="1827" t="s">
        <v>1920</v>
      </c>
    </row>
    <row r="208" spans="1:9" ht="11.25" customHeight="1">
      <c r="A208" s="1827" t="s">
        <v>2477</v>
      </c>
      <c r="B208" s="1827" t="s">
        <v>14</v>
      </c>
      <c r="C208" s="1827" t="s">
        <v>3050</v>
      </c>
      <c r="D208" s="1827" t="s">
        <v>3051</v>
      </c>
      <c r="E208" s="1827" t="s">
        <v>3052</v>
      </c>
      <c r="F208" s="1827" t="s">
        <v>744</v>
      </c>
      <c r="G208" s="1827" t="s">
        <v>3049</v>
      </c>
      <c r="H208" s="1827" t="s">
        <v>24</v>
      </c>
      <c r="I208" s="1827" t="s">
        <v>1920</v>
      </c>
    </row>
    <row r="209" spans="1:9" ht="11.25" customHeight="1">
      <c r="A209" s="1827" t="s">
        <v>2477</v>
      </c>
      <c r="B209" s="1827" t="s">
        <v>14</v>
      </c>
      <c r="C209" s="1827" t="s">
        <v>3053</v>
      </c>
      <c r="D209" s="1827" t="s">
        <v>3054</v>
      </c>
      <c r="E209" s="1827" t="s">
        <v>3055</v>
      </c>
      <c r="F209" s="1827" t="s">
        <v>744</v>
      </c>
      <c r="G209" s="1827" t="s">
        <v>3056</v>
      </c>
      <c r="H209" s="1827" t="s">
        <v>24</v>
      </c>
      <c r="I209" s="1827" t="s">
        <v>1920</v>
      </c>
    </row>
    <row r="210" spans="1:9" ht="11.25" customHeight="1">
      <c r="A210" s="1827" t="s">
        <v>2477</v>
      </c>
      <c r="B210" s="1827" t="s">
        <v>14</v>
      </c>
      <c r="C210" s="1827" t="s">
        <v>3057</v>
      </c>
      <c r="D210" s="1827" t="s">
        <v>3058</v>
      </c>
      <c r="E210" s="1827" t="s">
        <v>3059</v>
      </c>
      <c r="F210" s="1827" t="s">
        <v>744</v>
      </c>
      <c r="G210" s="1827" t="s">
        <v>3060</v>
      </c>
      <c r="H210" s="1827" t="s">
        <v>24</v>
      </c>
      <c r="I210" s="1827" t="s">
        <v>1920</v>
      </c>
    </row>
    <row r="211" spans="1:9" ht="11.25" customHeight="1">
      <c r="A211" s="1827" t="s">
        <v>2477</v>
      </c>
      <c r="B211" s="1827" t="s">
        <v>14</v>
      </c>
      <c r="C211" s="1827" t="s">
        <v>3061</v>
      </c>
      <c r="D211" s="1827" t="s">
        <v>3062</v>
      </c>
      <c r="E211" s="1827" t="s">
        <v>3063</v>
      </c>
      <c r="F211" s="1827" t="s">
        <v>744</v>
      </c>
      <c r="G211" s="1827" t="s">
        <v>24</v>
      </c>
      <c r="H211" s="1827" t="s">
        <v>24</v>
      </c>
      <c r="I211" s="1827" t="s">
        <v>1920</v>
      </c>
    </row>
    <row r="212" spans="1:9" ht="11.25" customHeight="1">
      <c r="A212" s="1827" t="s">
        <v>2477</v>
      </c>
      <c r="B212" s="1827" t="s">
        <v>14</v>
      </c>
      <c r="C212" s="1827" t="s">
        <v>3064</v>
      </c>
      <c r="D212" s="1827" t="s">
        <v>3065</v>
      </c>
      <c r="E212" s="1827" t="s">
        <v>3066</v>
      </c>
      <c r="F212" s="1827" t="s">
        <v>744</v>
      </c>
      <c r="G212" s="1827" t="s">
        <v>3067</v>
      </c>
      <c r="H212" s="1827" t="s">
        <v>24</v>
      </c>
      <c r="I212" s="1827" t="s">
        <v>1920</v>
      </c>
    </row>
    <row r="213" spans="1:9" ht="11.25" customHeight="1">
      <c r="A213" s="1827" t="s">
        <v>2477</v>
      </c>
      <c r="B213" s="1827" t="s">
        <v>14</v>
      </c>
      <c r="C213" s="1827" t="s">
        <v>3068</v>
      </c>
      <c r="D213" s="1827" t="s">
        <v>3069</v>
      </c>
      <c r="E213" s="1827" t="s">
        <v>3070</v>
      </c>
      <c r="F213" s="1827" t="s">
        <v>744</v>
      </c>
      <c r="G213" s="1827" t="s">
        <v>3071</v>
      </c>
      <c r="H213" s="1827" t="s">
        <v>24</v>
      </c>
      <c r="I213" s="1827" t="s">
        <v>1920</v>
      </c>
    </row>
    <row r="214" spans="1:9" ht="11.25" customHeight="1">
      <c r="A214" s="1827" t="s">
        <v>2477</v>
      </c>
      <c r="B214" s="1827" t="s">
        <v>14</v>
      </c>
      <c r="C214" s="1827" t="s">
        <v>3072</v>
      </c>
      <c r="D214" s="1827" t="s">
        <v>3073</v>
      </c>
      <c r="E214" s="1827" t="s">
        <v>3074</v>
      </c>
      <c r="F214" s="1827" t="s">
        <v>744</v>
      </c>
      <c r="G214" s="1827" t="s">
        <v>3075</v>
      </c>
      <c r="H214" s="1827" t="s">
        <v>24</v>
      </c>
      <c r="I214" s="1827" t="s">
        <v>1920</v>
      </c>
    </row>
    <row r="215" spans="1:9" ht="11.25" customHeight="1">
      <c r="A215" s="1827" t="s">
        <v>2477</v>
      </c>
      <c r="B215" s="1827" t="s">
        <v>14</v>
      </c>
      <c r="C215" s="1827" t="s">
        <v>3076</v>
      </c>
      <c r="D215" s="1827" t="s">
        <v>3077</v>
      </c>
      <c r="E215" s="1827" t="s">
        <v>3078</v>
      </c>
      <c r="F215" s="1827" t="s">
        <v>744</v>
      </c>
      <c r="G215" s="1827" t="s">
        <v>3049</v>
      </c>
      <c r="H215" s="1827" t="s">
        <v>24</v>
      </c>
      <c r="I215" s="1827" t="s">
        <v>1920</v>
      </c>
    </row>
    <row r="216" spans="1:9" ht="11.25" customHeight="1">
      <c r="A216" s="1827" t="s">
        <v>2477</v>
      </c>
      <c r="B216" s="1827" t="s">
        <v>14</v>
      </c>
      <c r="C216" s="1827" t="s">
        <v>3079</v>
      </c>
      <c r="D216" s="1827" t="s">
        <v>3080</v>
      </c>
      <c r="E216" s="1827" t="s">
        <v>3081</v>
      </c>
      <c r="F216" s="1827" t="s">
        <v>744</v>
      </c>
      <c r="G216" s="1827" t="s">
        <v>3082</v>
      </c>
      <c r="H216" s="1827" t="s">
        <v>24</v>
      </c>
      <c r="I216" s="1827" t="s">
        <v>1920</v>
      </c>
    </row>
    <row r="217" spans="1:9" ht="11.25" customHeight="1">
      <c r="A217" s="1827" t="s">
        <v>2477</v>
      </c>
      <c r="B217" s="1827" t="s">
        <v>14</v>
      </c>
      <c r="C217" s="1827" t="s">
        <v>3083</v>
      </c>
      <c r="D217" s="1827" t="s">
        <v>3084</v>
      </c>
      <c r="E217" s="1827" t="s">
        <v>3085</v>
      </c>
      <c r="F217" s="1827" t="s">
        <v>744</v>
      </c>
      <c r="G217" s="1827" t="s">
        <v>3086</v>
      </c>
      <c r="H217" s="1827" t="s">
        <v>24</v>
      </c>
      <c r="I217" s="1827" t="s">
        <v>1920</v>
      </c>
    </row>
    <row r="218" spans="1:9" ht="11.25" customHeight="1">
      <c r="A218" s="1827" t="s">
        <v>2477</v>
      </c>
      <c r="B218" s="1827" t="s">
        <v>14</v>
      </c>
      <c r="C218" s="1827" t="s">
        <v>3087</v>
      </c>
      <c r="D218" s="1827" t="s">
        <v>3088</v>
      </c>
      <c r="E218" s="1827" t="s">
        <v>3089</v>
      </c>
      <c r="F218" s="1827" t="s">
        <v>3090</v>
      </c>
      <c r="G218" s="1827" t="s">
        <v>3091</v>
      </c>
      <c r="H218" s="1827" t="s">
        <v>24</v>
      </c>
      <c r="I218" s="1827" t="s">
        <v>1920</v>
      </c>
    </row>
    <row r="219" spans="1:9" ht="11.25" customHeight="1">
      <c r="A219" s="1827" t="s">
        <v>2477</v>
      </c>
      <c r="B219" s="1827" t="s">
        <v>14</v>
      </c>
      <c r="C219" s="1827" t="s">
        <v>2611</v>
      </c>
      <c r="D219" s="1827" t="s">
        <v>2612</v>
      </c>
      <c r="E219" s="1827" t="s">
        <v>2613</v>
      </c>
      <c r="F219" s="1827" t="s">
        <v>2614</v>
      </c>
      <c r="G219" s="1827" t="s">
        <v>2615</v>
      </c>
      <c r="H219" s="1827" t="s">
        <v>24</v>
      </c>
      <c r="I219" s="1827" t="s">
        <v>1920</v>
      </c>
    </row>
    <row r="220" spans="1:9" ht="11.25" customHeight="1">
      <c r="A220" s="1827" t="s">
        <v>2477</v>
      </c>
      <c r="B220" s="1827" t="s">
        <v>14</v>
      </c>
      <c r="C220" s="1827" t="s">
        <v>3092</v>
      </c>
      <c r="D220" s="1827" t="s">
        <v>3093</v>
      </c>
      <c r="E220" s="1827" t="s">
        <v>3094</v>
      </c>
      <c r="F220" s="1827" t="s">
        <v>2508</v>
      </c>
      <c r="G220" s="1827" t="s">
        <v>3095</v>
      </c>
      <c r="H220" s="1827" t="s">
        <v>24</v>
      </c>
      <c r="I220" s="1827" t="s">
        <v>1920</v>
      </c>
    </row>
    <row r="221" spans="1:9" ht="11.25" customHeight="1">
      <c r="A221" s="1827" t="s">
        <v>2477</v>
      </c>
      <c r="B221" s="1827" t="s">
        <v>14</v>
      </c>
      <c r="C221" s="1827" t="s">
        <v>3096</v>
      </c>
      <c r="D221" s="1827" t="s">
        <v>3097</v>
      </c>
      <c r="E221" s="1827" t="s">
        <v>3098</v>
      </c>
      <c r="F221" s="1827" t="s">
        <v>2508</v>
      </c>
      <c r="G221" s="1827" t="s">
        <v>3099</v>
      </c>
      <c r="H221" s="1827" t="s">
        <v>24</v>
      </c>
      <c r="I221" s="1827" t="s">
        <v>1920</v>
      </c>
    </row>
    <row r="222" spans="1:9" ht="11.25" customHeight="1">
      <c r="A222" s="1827" t="s">
        <v>2477</v>
      </c>
      <c r="B222" s="1827" t="s">
        <v>14</v>
      </c>
      <c r="C222" s="1827" t="s">
        <v>3100</v>
      </c>
      <c r="D222" s="1827" t="s">
        <v>3101</v>
      </c>
      <c r="E222" s="1827" t="s">
        <v>3102</v>
      </c>
      <c r="F222" s="1827" t="s">
        <v>2529</v>
      </c>
      <c r="G222" s="1827" t="s">
        <v>3103</v>
      </c>
      <c r="H222" s="1827" t="s">
        <v>24</v>
      </c>
      <c r="I222" s="1827" t="s">
        <v>1920</v>
      </c>
    </row>
    <row r="223" spans="1:9" ht="11.25" customHeight="1">
      <c r="A223" s="1827" t="s">
        <v>2477</v>
      </c>
      <c r="B223" s="1827" t="s">
        <v>14</v>
      </c>
      <c r="C223" s="1827" t="s">
        <v>3104</v>
      </c>
      <c r="D223" s="1827" t="s">
        <v>3105</v>
      </c>
      <c r="E223" s="1827" t="s">
        <v>3106</v>
      </c>
      <c r="F223" s="1827" t="s">
        <v>2704</v>
      </c>
      <c r="G223" s="1827" t="s">
        <v>3107</v>
      </c>
      <c r="H223" s="1827" t="s">
        <v>24</v>
      </c>
      <c r="I223" s="1827" t="s">
        <v>1920</v>
      </c>
    </row>
    <row r="224" spans="1:9" ht="11.25" customHeight="1">
      <c r="A224" s="1827" t="s">
        <v>2477</v>
      </c>
      <c r="B224" s="1827" t="s">
        <v>14</v>
      </c>
      <c r="C224" s="1827" t="s">
        <v>3108</v>
      </c>
      <c r="D224" s="1827" t="s">
        <v>3109</v>
      </c>
      <c r="E224" s="1827" t="s">
        <v>3110</v>
      </c>
      <c r="F224" s="1827" t="s">
        <v>2508</v>
      </c>
      <c r="G224" s="1827" t="s">
        <v>3111</v>
      </c>
      <c r="H224" s="1827" t="s">
        <v>24</v>
      </c>
      <c r="I224" s="1827" t="s">
        <v>1920</v>
      </c>
    </row>
    <row r="225" spans="1:9" ht="11.25" customHeight="1">
      <c r="A225" s="1827" t="s">
        <v>2477</v>
      </c>
      <c r="B225" s="1827" t="s">
        <v>14</v>
      </c>
      <c r="C225" s="1827" t="s">
        <v>3112</v>
      </c>
      <c r="D225" s="1827" t="s">
        <v>3113</v>
      </c>
      <c r="E225" s="1827" t="s">
        <v>3114</v>
      </c>
      <c r="F225" s="1827" t="s">
        <v>2508</v>
      </c>
      <c r="G225" s="1827" t="s">
        <v>3115</v>
      </c>
      <c r="H225" s="1827" t="s">
        <v>24</v>
      </c>
      <c r="I225" s="1827" t="s">
        <v>1920</v>
      </c>
    </row>
    <row r="226" spans="1:9" ht="11.25" customHeight="1">
      <c r="A226" s="1827" t="s">
        <v>2477</v>
      </c>
      <c r="B226" s="1827" t="s">
        <v>14</v>
      </c>
      <c r="C226" s="1827" t="s">
        <v>3116</v>
      </c>
      <c r="D226" s="1827" t="s">
        <v>3117</v>
      </c>
      <c r="E226" s="1827" t="s">
        <v>3118</v>
      </c>
      <c r="F226" s="1827" t="s">
        <v>2543</v>
      </c>
      <c r="G226" s="1827" t="s">
        <v>3119</v>
      </c>
      <c r="H226" s="1827" t="s">
        <v>24</v>
      </c>
      <c r="I226" s="1827" t="s">
        <v>1920</v>
      </c>
    </row>
    <row r="227" spans="1:9" ht="11.25" customHeight="1">
      <c r="A227" s="1827" t="s">
        <v>2477</v>
      </c>
      <c r="B227" s="1827" t="s">
        <v>14</v>
      </c>
      <c r="C227" s="1827" t="s">
        <v>3120</v>
      </c>
      <c r="D227" s="1827" t="s">
        <v>3121</v>
      </c>
      <c r="E227" s="1827" t="s">
        <v>3122</v>
      </c>
      <c r="F227" s="1827" t="s">
        <v>2508</v>
      </c>
      <c r="G227" s="1827" t="s">
        <v>3123</v>
      </c>
      <c r="H227" s="1827" t="s">
        <v>24</v>
      </c>
      <c r="I227" s="1827" t="s">
        <v>1920</v>
      </c>
    </row>
    <row r="228" spans="1:9" ht="11.25" customHeight="1">
      <c r="A228" s="1827" t="s">
        <v>2477</v>
      </c>
      <c r="B228" s="1827" t="s">
        <v>14</v>
      </c>
      <c r="C228" s="1827" t="s">
        <v>3124</v>
      </c>
      <c r="D228" s="1827" t="s">
        <v>3125</v>
      </c>
      <c r="E228" s="1827" t="s">
        <v>3126</v>
      </c>
      <c r="F228" s="1827" t="s">
        <v>2538</v>
      </c>
      <c r="G228" s="1827" t="s">
        <v>3127</v>
      </c>
      <c r="H228" s="1827" t="s">
        <v>24</v>
      </c>
      <c r="I228" s="1827" t="s">
        <v>1920</v>
      </c>
    </row>
    <row r="229" spans="1:9" ht="11.25" customHeight="1">
      <c r="A229" s="1827" t="s">
        <v>2477</v>
      </c>
      <c r="B229" s="1827" t="s">
        <v>14</v>
      </c>
      <c r="C229" s="1827" t="s">
        <v>3128</v>
      </c>
      <c r="D229" s="1827" t="s">
        <v>3129</v>
      </c>
      <c r="E229" s="1827" t="s">
        <v>3130</v>
      </c>
      <c r="F229" s="1827" t="s">
        <v>2760</v>
      </c>
      <c r="G229" s="1827" t="s">
        <v>3131</v>
      </c>
      <c r="H229" s="1827" t="s">
        <v>24</v>
      </c>
      <c r="I229" s="1827" t="s">
        <v>1920</v>
      </c>
    </row>
    <row r="230" spans="1:9" ht="11.25" customHeight="1">
      <c r="A230" s="1827" t="s">
        <v>2477</v>
      </c>
      <c r="B230" s="1827" t="s">
        <v>14</v>
      </c>
      <c r="C230" s="1827" t="s">
        <v>3132</v>
      </c>
      <c r="D230" s="1827" t="s">
        <v>3133</v>
      </c>
      <c r="E230" s="1827" t="s">
        <v>3134</v>
      </c>
      <c r="F230" s="1827" t="s">
        <v>50</v>
      </c>
      <c r="G230" s="1827" t="s">
        <v>3135</v>
      </c>
      <c r="H230" s="1827" t="s">
        <v>24</v>
      </c>
      <c r="I230" s="1827" t="s">
        <v>1920</v>
      </c>
    </row>
    <row r="231" spans="1:9" ht="11.25" customHeight="1">
      <c r="A231" s="1827" t="s">
        <v>2477</v>
      </c>
      <c r="B231" s="1827" t="s">
        <v>14</v>
      </c>
      <c r="C231" s="1827" t="s">
        <v>3136</v>
      </c>
      <c r="D231" s="1827" t="s">
        <v>3137</v>
      </c>
      <c r="E231" s="1827" t="s">
        <v>3138</v>
      </c>
      <c r="F231" s="1827" t="s">
        <v>50</v>
      </c>
      <c r="G231" s="1827" t="s">
        <v>3139</v>
      </c>
      <c r="H231" s="1827" t="s">
        <v>24</v>
      </c>
      <c r="I231" s="1827" t="s">
        <v>1920</v>
      </c>
    </row>
    <row r="232" spans="1:9" ht="11.25" customHeight="1">
      <c r="A232" s="1827" t="s">
        <v>2477</v>
      </c>
      <c r="B232" s="1827" t="s">
        <v>14</v>
      </c>
      <c r="C232" s="1827" t="s">
        <v>3140</v>
      </c>
      <c r="D232" s="1827" t="s">
        <v>3141</v>
      </c>
      <c r="E232" s="1827" t="s">
        <v>3142</v>
      </c>
      <c r="F232" s="1827" t="s">
        <v>2529</v>
      </c>
      <c r="G232" s="1827" t="s">
        <v>3143</v>
      </c>
      <c r="H232" s="1827" t="s">
        <v>24</v>
      </c>
      <c r="I232" s="1827" t="s">
        <v>1920</v>
      </c>
    </row>
    <row r="233" spans="1:9" ht="11.25" customHeight="1">
      <c r="A233" s="1827" t="s">
        <v>2477</v>
      </c>
      <c r="B233" s="1827" t="s">
        <v>14</v>
      </c>
      <c r="C233" s="1827" t="s">
        <v>3144</v>
      </c>
      <c r="D233" s="1827" t="s">
        <v>3145</v>
      </c>
      <c r="E233" s="1827" t="s">
        <v>3146</v>
      </c>
      <c r="F233" s="1827" t="s">
        <v>2529</v>
      </c>
      <c r="G233" s="1827" t="s">
        <v>3147</v>
      </c>
      <c r="H233" s="1827" t="s">
        <v>24</v>
      </c>
      <c r="I233" s="1827" t="s">
        <v>1920</v>
      </c>
    </row>
    <row r="234" spans="1:9" ht="11.25" customHeight="1">
      <c r="A234" s="1827" t="s">
        <v>2477</v>
      </c>
      <c r="B234" s="1827" t="s">
        <v>14</v>
      </c>
      <c r="C234" s="1827" t="s">
        <v>3148</v>
      </c>
      <c r="D234" s="1827" t="s">
        <v>3149</v>
      </c>
      <c r="E234" s="1827" t="s">
        <v>3150</v>
      </c>
      <c r="F234" s="1827" t="s">
        <v>50</v>
      </c>
      <c r="G234" s="1827" t="s">
        <v>3151</v>
      </c>
      <c r="H234" s="1827" t="s">
        <v>24</v>
      </c>
      <c r="I234" s="1827" t="s">
        <v>1920</v>
      </c>
    </row>
    <row r="235" spans="1:9" ht="11.25" customHeight="1">
      <c r="A235" s="1827" t="s">
        <v>2477</v>
      </c>
      <c r="B235" s="1827" t="s">
        <v>14</v>
      </c>
      <c r="C235" s="1827" t="s">
        <v>3152</v>
      </c>
      <c r="D235" s="1827" t="s">
        <v>3153</v>
      </c>
      <c r="E235" s="1827" t="s">
        <v>3154</v>
      </c>
      <c r="F235" s="1827" t="s">
        <v>2524</v>
      </c>
      <c r="G235" s="1827" t="s">
        <v>3155</v>
      </c>
      <c r="H235" s="1827" t="s">
        <v>24</v>
      </c>
      <c r="I235" s="1827" t="s">
        <v>1920</v>
      </c>
    </row>
    <row r="236" spans="1:9" ht="11.25" customHeight="1">
      <c r="A236" s="1827" t="s">
        <v>2477</v>
      </c>
      <c r="B236" s="1827" t="s">
        <v>14</v>
      </c>
      <c r="C236" s="1827" t="s">
        <v>3156</v>
      </c>
      <c r="D236" s="1827" t="s">
        <v>3157</v>
      </c>
      <c r="E236" s="1827" t="s">
        <v>3158</v>
      </c>
      <c r="F236" s="1827" t="s">
        <v>2508</v>
      </c>
      <c r="G236" s="1827" t="s">
        <v>3159</v>
      </c>
      <c r="H236" s="1827" t="s">
        <v>24</v>
      </c>
      <c r="I236" s="1827" t="s">
        <v>1920</v>
      </c>
    </row>
    <row r="237" spans="1:9" ht="11.25" customHeight="1">
      <c r="A237" s="1827" t="s">
        <v>2477</v>
      </c>
      <c r="B237" s="1827" t="s">
        <v>14</v>
      </c>
      <c r="C237" s="1827" t="s">
        <v>2710</v>
      </c>
      <c r="D237" s="1827" t="s">
        <v>2711</v>
      </c>
      <c r="E237" s="1827" t="s">
        <v>2712</v>
      </c>
      <c r="F237" s="1827" t="s">
        <v>2704</v>
      </c>
      <c r="G237" s="1827" t="s">
        <v>2713</v>
      </c>
      <c r="H237" s="1827" t="s">
        <v>24</v>
      </c>
      <c r="I237" s="1827" t="s">
        <v>1920</v>
      </c>
    </row>
    <row r="238" spans="1:9" ht="11.25" customHeight="1">
      <c r="A238" s="1827" t="s">
        <v>2477</v>
      </c>
      <c r="B238" s="1827" t="s">
        <v>14</v>
      </c>
      <c r="C238" s="1827" t="s">
        <v>3160</v>
      </c>
      <c r="D238" s="1827" t="s">
        <v>3161</v>
      </c>
      <c r="E238" s="1827" t="s">
        <v>3162</v>
      </c>
      <c r="F238" s="1827" t="s">
        <v>2543</v>
      </c>
      <c r="G238" s="1827" t="s">
        <v>3163</v>
      </c>
      <c r="H238" s="1827" t="s">
        <v>24</v>
      </c>
      <c r="I238" s="1827" t="s">
        <v>1920</v>
      </c>
    </row>
    <row r="239" spans="1:9" ht="11.25" customHeight="1">
      <c r="A239" s="1827" t="s">
        <v>2477</v>
      </c>
      <c r="B239" s="1827" t="s">
        <v>14</v>
      </c>
      <c r="C239" s="1827" t="s">
        <v>3164</v>
      </c>
      <c r="D239" s="1827" t="s">
        <v>3165</v>
      </c>
      <c r="E239" s="1827" t="s">
        <v>3166</v>
      </c>
      <c r="F239" s="1827" t="s">
        <v>2704</v>
      </c>
      <c r="G239" s="1827" t="s">
        <v>3167</v>
      </c>
      <c r="H239" s="1827" t="s">
        <v>24</v>
      </c>
      <c r="I239" s="1827" t="s">
        <v>1920</v>
      </c>
    </row>
    <row r="240" spans="1:9" ht="11.25" customHeight="1">
      <c r="A240" s="1827" t="s">
        <v>2477</v>
      </c>
      <c r="B240" s="1827" t="s">
        <v>14</v>
      </c>
      <c r="C240" s="1827" t="s">
        <v>3168</v>
      </c>
      <c r="D240" s="1827" t="s">
        <v>3169</v>
      </c>
      <c r="E240" s="1827" t="s">
        <v>3170</v>
      </c>
      <c r="F240" s="1827" t="s">
        <v>2704</v>
      </c>
      <c r="G240" s="1827" t="s">
        <v>3171</v>
      </c>
      <c r="H240" s="1827" t="s">
        <v>24</v>
      </c>
      <c r="I240" s="1827" t="s">
        <v>1920</v>
      </c>
    </row>
    <row r="241" spans="1:9" ht="11.25" customHeight="1">
      <c r="A241" s="1827" t="s">
        <v>2477</v>
      </c>
      <c r="B241" s="1827" t="s">
        <v>14</v>
      </c>
      <c r="C241" s="1827" t="s">
        <v>3172</v>
      </c>
      <c r="D241" s="1827" t="s">
        <v>3173</v>
      </c>
      <c r="E241" s="1827" t="s">
        <v>3174</v>
      </c>
      <c r="F241" s="1827" t="s">
        <v>2538</v>
      </c>
      <c r="G241" s="1827" t="s">
        <v>3175</v>
      </c>
      <c r="H241" s="1827" t="s">
        <v>24</v>
      </c>
      <c r="I241" s="1827" t="s">
        <v>1920</v>
      </c>
    </row>
    <row r="242" spans="1:9" ht="11.25" customHeight="1">
      <c r="A242" s="1827" t="s">
        <v>2477</v>
      </c>
      <c r="B242" s="1827" t="s">
        <v>14</v>
      </c>
      <c r="C242" s="1827" t="s">
        <v>3176</v>
      </c>
      <c r="D242" s="1827" t="s">
        <v>3177</v>
      </c>
      <c r="E242" s="1827" t="s">
        <v>3178</v>
      </c>
      <c r="F242" s="1827" t="s">
        <v>2760</v>
      </c>
      <c r="G242" s="1827" t="s">
        <v>3179</v>
      </c>
      <c r="H242" s="1827" t="s">
        <v>24</v>
      </c>
      <c r="I242" s="1827" t="s">
        <v>1920</v>
      </c>
    </row>
    <row r="243" spans="1:9" ht="11.25" customHeight="1">
      <c r="A243" s="1827" t="s">
        <v>2477</v>
      </c>
      <c r="B243" s="1827" t="s">
        <v>14</v>
      </c>
      <c r="C243" s="1827" t="s">
        <v>3180</v>
      </c>
      <c r="D243" s="1827" t="s">
        <v>3181</v>
      </c>
      <c r="E243" s="1827" t="s">
        <v>3182</v>
      </c>
      <c r="F243" s="1827" t="s">
        <v>3183</v>
      </c>
      <c r="G243" s="1827" t="s">
        <v>3184</v>
      </c>
      <c r="H243" s="1827" t="s">
        <v>24</v>
      </c>
      <c r="I243" s="1827" t="s">
        <v>1920</v>
      </c>
    </row>
    <row r="244" spans="1:9" ht="11.25" customHeight="1">
      <c r="A244" s="1827" t="s">
        <v>2477</v>
      </c>
      <c r="B244" s="1827" t="s">
        <v>14</v>
      </c>
      <c r="C244" s="1827" t="s">
        <v>3185</v>
      </c>
      <c r="D244" s="1827" t="s">
        <v>3186</v>
      </c>
      <c r="E244" s="1827" t="s">
        <v>3187</v>
      </c>
      <c r="F244" s="1827" t="s">
        <v>2813</v>
      </c>
      <c r="G244" s="1827" t="s">
        <v>3188</v>
      </c>
      <c r="H244" s="1827" t="s">
        <v>24</v>
      </c>
      <c r="I244" s="1827" t="s">
        <v>1920</v>
      </c>
    </row>
    <row r="245" spans="1:9" ht="11.25" customHeight="1">
      <c r="A245" s="1827" t="s">
        <v>2477</v>
      </c>
      <c r="B245" s="1827" t="s">
        <v>14</v>
      </c>
      <c r="C245" s="1827" t="s">
        <v>3189</v>
      </c>
      <c r="D245" s="1827" t="s">
        <v>3190</v>
      </c>
      <c r="E245" s="1827" t="s">
        <v>3191</v>
      </c>
      <c r="F245" s="1827" t="s">
        <v>2704</v>
      </c>
      <c r="G245" s="1827" t="s">
        <v>3192</v>
      </c>
      <c r="H245" s="1827" t="s">
        <v>24</v>
      </c>
      <c r="I245" s="1827" t="s">
        <v>1920</v>
      </c>
    </row>
    <row r="246" spans="1:9" ht="11.25" customHeight="1">
      <c r="A246" s="1827" t="s">
        <v>2477</v>
      </c>
      <c r="B246" s="1827" t="s">
        <v>14</v>
      </c>
      <c r="C246" s="1827" t="s">
        <v>3193</v>
      </c>
      <c r="D246" s="1827" t="s">
        <v>3194</v>
      </c>
      <c r="E246" s="1827" t="s">
        <v>3195</v>
      </c>
      <c r="F246" s="1827" t="s">
        <v>2704</v>
      </c>
      <c r="G246" s="1827" t="s">
        <v>3196</v>
      </c>
      <c r="H246" s="1827" t="s">
        <v>24</v>
      </c>
      <c r="I246" s="1827" t="s">
        <v>1920</v>
      </c>
    </row>
    <row r="247" spans="1:9" ht="11.25" customHeight="1">
      <c r="A247" s="1827" t="s">
        <v>2477</v>
      </c>
      <c r="B247" s="1827" t="s">
        <v>14</v>
      </c>
      <c r="C247" s="1827" t="s">
        <v>3197</v>
      </c>
      <c r="D247" s="1827" t="s">
        <v>3198</v>
      </c>
      <c r="E247" s="1827" t="s">
        <v>3199</v>
      </c>
      <c r="F247" s="1827" t="s">
        <v>2538</v>
      </c>
      <c r="G247" s="1827" t="s">
        <v>3159</v>
      </c>
      <c r="H247" s="1827" t="s">
        <v>24</v>
      </c>
      <c r="I247" s="1827" t="s">
        <v>1920</v>
      </c>
    </row>
    <row r="248" spans="1:9" ht="11.25" customHeight="1">
      <c r="A248" s="1827" t="s">
        <v>2477</v>
      </c>
      <c r="B248" s="1827" t="s">
        <v>14</v>
      </c>
      <c r="C248" s="1827" t="s">
        <v>3200</v>
      </c>
      <c r="D248" s="1827" t="s">
        <v>3201</v>
      </c>
      <c r="E248" s="1827" t="s">
        <v>3202</v>
      </c>
      <c r="F248" s="1827" t="s">
        <v>2538</v>
      </c>
      <c r="G248" s="1827" t="s">
        <v>3203</v>
      </c>
      <c r="H248" s="1827" t="s">
        <v>24</v>
      </c>
      <c r="I248" s="1827" t="s">
        <v>1920</v>
      </c>
    </row>
    <row r="249" spans="1:9" ht="11.25" customHeight="1">
      <c r="A249" s="1827" t="s">
        <v>2477</v>
      </c>
      <c r="B249" s="1827" t="s">
        <v>14</v>
      </c>
      <c r="C249" s="1827" t="s">
        <v>3204</v>
      </c>
      <c r="D249" s="1827" t="s">
        <v>3205</v>
      </c>
      <c r="E249" s="1827" t="s">
        <v>3206</v>
      </c>
      <c r="F249" s="1827" t="s">
        <v>2495</v>
      </c>
      <c r="G249" s="1827" t="s">
        <v>3159</v>
      </c>
      <c r="H249" s="1827" t="s">
        <v>24</v>
      </c>
      <c r="I249" s="1827" t="s">
        <v>1920</v>
      </c>
    </row>
    <row r="250" spans="1:9" ht="11.25" customHeight="1">
      <c r="A250" s="1827" t="s">
        <v>2477</v>
      </c>
      <c r="B250" s="1827" t="s">
        <v>14</v>
      </c>
      <c r="C250" s="1827" t="s">
        <v>3207</v>
      </c>
      <c r="D250" s="1827" t="s">
        <v>3208</v>
      </c>
      <c r="E250" s="1827" t="s">
        <v>3209</v>
      </c>
      <c r="F250" s="1827" t="s">
        <v>2508</v>
      </c>
      <c r="G250" s="1827" t="s">
        <v>3210</v>
      </c>
      <c r="H250" s="1827" t="s">
        <v>24</v>
      </c>
      <c r="I250" s="1827" t="s">
        <v>1920</v>
      </c>
    </row>
    <row r="251" spans="1:9" ht="11.25" customHeight="1">
      <c r="A251" s="1827" t="s">
        <v>2477</v>
      </c>
      <c r="B251" s="1827" t="s">
        <v>14</v>
      </c>
      <c r="C251" s="1827" t="s">
        <v>3211</v>
      </c>
      <c r="D251" s="1827" t="s">
        <v>3212</v>
      </c>
      <c r="E251" s="1827" t="s">
        <v>3213</v>
      </c>
      <c r="F251" s="1827" t="s">
        <v>2619</v>
      </c>
      <c r="G251" s="1827" t="s">
        <v>3214</v>
      </c>
      <c r="H251" s="1827" t="s">
        <v>24</v>
      </c>
      <c r="I251" s="1827" t="s">
        <v>1920</v>
      </c>
    </row>
    <row r="252" spans="1:9" ht="11.25" customHeight="1">
      <c r="A252" s="1827" t="s">
        <v>2477</v>
      </c>
      <c r="B252" s="1827" t="s">
        <v>14</v>
      </c>
      <c r="C252" s="1827" t="s">
        <v>3215</v>
      </c>
      <c r="D252" s="1827" t="s">
        <v>3216</v>
      </c>
      <c r="E252" s="1827" t="s">
        <v>3217</v>
      </c>
      <c r="F252" s="1827" t="s">
        <v>3218</v>
      </c>
      <c r="G252" s="1827" t="s">
        <v>3219</v>
      </c>
      <c r="H252" s="1827" t="s">
        <v>24</v>
      </c>
      <c r="I252" s="1827" t="s">
        <v>1920</v>
      </c>
    </row>
    <row r="253" spans="1:9" ht="11.25" customHeight="1">
      <c r="A253" s="1827" t="s">
        <v>2477</v>
      </c>
      <c r="B253" s="1827" t="s">
        <v>14</v>
      </c>
      <c r="C253" s="1827" t="s">
        <v>24</v>
      </c>
      <c r="D253" s="1827" t="s">
        <v>2758</v>
      </c>
      <c r="E253" s="1827" t="s">
        <v>2759</v>
      </c>
      <c r="F253" s="1827" t="s">
        <v>2760</v>
      </c>
      <c r="G253" s="1827" t="s">
        <v>24</v>
      </c>
      <c r="H253" s="1827" t="s">
        <v>24</v>
      </c>
      <c r="I253" s="1827" t="s">
        <v>1920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66"/>
  <sheetViews>
    <sheetView showGridLines="0" workbookViewId="0"/>
  </sheetViews>
  <sheetFormatPr defaultRowHeight="11.25" customHeight="1"/>
  <cols>
    <col min="1" max="1" width="9.140625" style="1827"/>
  </cols>
  <sheetData>
    <row r="1" spans="1:7" ht="11.25" customHeight="1">
      <c r="A1" t="s">
        <v>3220</v>
      </c>
      <c r="B1" t="s">
        <v>3221</v>
      </c>
      <c r="C1" t="s">
        <v>3222</v>
      </c>
      <c r="D1" t="s">
        <v>3223</v>
      </c>
      <c r="E1" t="s">
        <v>3224</v>
      </c>
      <c r="F1" t="s">
        <v>3225</v>
      </c>
      <c r="G1" t="s">
        <v>3226</v>
      </c>
    </row>
    <row r="2" spans="1:7" ht="11.25" customHeight="1">
      <c r="A2" t="s">
        <v>14</v>
      </c>
      <c r="B2" t="s">
        <v>98</v>
      </c>
      <c r="C2" t="s">
        <v>99</v>
      </c>
      <c r="D2" t="s">
        <v>98</v>
      </c>
      <c r="E2" t="s">
        <v>99</v>
      </c>
      <c r="F2" t="s">
        <v>3227</v>
      </c>
      <c r="G2" t="s">
        <v>97</v>
      </c>
    </row>
    <row r="3" spans="1:7" ht="11.25" customHeight="1">
      <c r="A3" t="s">
        <v>14</v>
      </c>
      <c r="B3" t="s">
        <v>210</v>
      </c>
      <c r="C3" t="s">
        <v>3228</v>
      </c>
      <c r="D3" t="s">
        <v>210</v>
      </c>
      <c r="E3" t="s">
        <v>3228</v>
      </c>
      <c r="F3" t="s">
        <v>3229</v>
      </c>
      <c r="G3" t="s">
        <v>100</v>
      </c>
    </row>
    <row r="4" spans="1:7" ht="11.25" customHeight="1">
      <c r="A4" t="s">
        <v>14</v>
      </c>
      <c r="B4" t="s">
        <v>210</v>
      </c>
      <c r="C4" t="s">
        <v>3228</v>
      </c>
      <c r="D4" t="s">
        <v>3230</v>
      </c>
      <c r="E4" t="s">
        <v>3231</v>
      </c>
      <c r="F4" t="s">
        <v>3232</v>
      </c>
      <c r="G4" t="s">
        <v>88</v>
      </c>
    </row>
    <row r="5" spans="1:7" ht="11.25" customHeight="1">
      <c r="A5" t="s">
        <v>14</v>
      </c>
      <c r="B5" t="s">
        <v>210</v>
      </c>
      <c r="C5" t="s">
        <v>3228</v>
      </c>
      <c r="D5" t="s">
        <v>211</v>
      </c>
      <c r="E5" t="s">
        <v>212</v>
      </c>
      <c r="F5" t="s">
        <v>3232</v>
      </c>
      <c r="G5" t="s">
        <v>89</v>
      </c>
    </row>
    <row r="6" spans="1:7" ht="11.25" customHeight="1">
      <c r="A6" t="s">
        <v>14</v>
      </c>
      <c r="B6" t="s">
        <v>210</v>
      </c>
      <c r="C6" t="s">
        <v>3228</v>
      </c>
      <c r="D6" t="s">
        <v>3233</v>
      </c>
      <c r="E6" t="s">
        <v>3234</v>
      </c>
      <c r="F6" t="s">
        <v>3232</v>
      </c>
      <c r="G6" t="s">
        <v>111</v>
      </c>
    </row>
    <row r="7" spans="1:7" ht="11.25" customHeight="1">
      <c r="A7" t="s">
        <v>14</v>
      </c>
      <c r="B7" t="s">
        <v>210</v>
      </c>
      <c r="C7" t="s">
        <v>3228</v>
      </c>
      <c r="D7" t="s">
        <v>3235</v>
      </c>
      <c r="E7" t="s">
        <v>3236</v>
      </c>
      <c r="F7" t="s">
        <v>3232</v>
      </c>
      <c r="G7" t="s">
        <v>90</v>
      </c>
    </row>
    <row r="8" spans="1:7" ht="11.25" customHeight="1">
      <c r="A8" t="s">
        <v>14</v>
      </c>
      <c r="B8" t="s">
        <v>210</v>
      </c>
      <c r="C8" t="s">
        <v>3228</v>
      </c>
      <c r="D8" t="s">
        <v>3237</v>
      </c>
      <c r="E8" t="s">
        <v>3238</v>
      </c>
      <c r="F8" t="s">
        <v>3232</v>
      </c>
      <c r="G8" t="s">
        <v>91</v>
      </c>
    </row>
    <row r="9" spans="1:7" ht="11.25" customHeight="1">
      <c r="A9" t="s">
        <v>14</v>
      </c>
      <c r="B9" t="s">
        <v>210</v>
      </c>
      <c r="C9" t="s">
        <v>3228</v>
      </c>
      <c r="D9" t="s">
        <v>3239</v>
      </c>
      <c r="E9" t="s">
        <v>3240</v>
      </c>
      <c r="F9" t="s">
        <v>3232</v>
      </c>
      <c r="G9" t="s">
        <v>121</v>
      </c>
    </row>
    <row r="10" spans="1:7" ht="11.25" customHeight="1">
      <c r="A10" t="s">
        <v>14</v>
      </c>
      <c r="B10" t="s">
        <v>210</v>
      </c>
      <c r="C10" t="s">
        <v>3228</v>
      </c>
      <c r="D10" t="s">
        <v>3241</v>
      </c>
      <c r="E10" t="s">
        <v>3242</v>
      </c>
      <c r="F10" t="s">
        <v>3232</v>
      </c>
      <c r="G10" t="s">
        <v>125</v>
      </c>
    </row>
    <row r="11" spans="1:7" ht="11.25" customHeight="1">
      <c r="A11" t="s">
        <v>14</v>
      </c>
      <c r="B11" t="s">
        <v>210</v>
      </c>
      <c r="C11" t="s">
        <v>3228</v>
      </c>
      <c r="D11" t="s">
        <v>3243</v>
      </c>
      <c r="E11" t="s">
        <v>3244</v>
      </c>
      <c r="F11" t="s">
        <v>3232</v>
      </c>
      <c r="G11" t="s">
        <v>129</v>
      </c>
    </row>
    <row r="12" spans="1:7" ht="11.25" customHeight="1">
      <c r="A12" t="s">
        <v>14</v>
      </c>
      <c r="B12" t="s">
        <v>103</v>
      </c>
      <c r="C12" t="s">
        <v>104</v>
      </c>
      <c r="D12" t="s">
        <v>103</v>
      </c>
      <c r="E12" t="s">
        <v>104</v>
      </c>
      <c r="F12" t="s">
        <v>3227</v>
      </c>
      <c r="G12" t="s">
        <v>102</v>
      </c>
    </row>
    <row r="13" spans="1:7" ht="11.25" customHeight="1">
      <c r="A13" t="s">
        <v>14</v>
      </c>
      <c r="B13" t="s">
        <v>3245</v>
      </c>
      <c r="C13" t="s">
        <v>3246</v>
      </c>
      <c r="D13" t="s">
        <v>3245</v>
      </c>
      <c r="E13" t="s">
        <v>3246</v>
      </c>
      <c r="F13" t="s">
        <v>3229</v>
      </c>
      <c r="G13" t="s">
        <v>136</v>
      </c>
    </row>
    <row r="14" spans="1:7" ht="11.25" customHeight="1">
      <c r="A14" t="s">
        <v>14</v>
      </c>
      <c r="B14" t="s">
        <v>3245</v>
      </c>
      <c r="C14" t="s">
        <v>3246</v>
      </c>
      <c r="D14" t="s">
        <v>3247</v>
      </c>
      <c r="E14" t="s">
        <v>3248</v>
      </c>
      <c r="F14" t="s">
        <v>3232</v>
      </c>
      <c r="G14" t="s">
        <v>140</v>
      </c>
    </row>
    <row r="15" spans="1:7" ht="11.25" customHeight="1">
      <c r="A15" t="s">
        <v>14</v>
      </c>
      <c r="B15" t="s">
        <v>3245</v>
      </c>
      <c r="C15" t="s">
        <v>3246</v>
      </c>
      <c r="D15" t="s">
        <v>3249</v>
      </c>
      <c r="E15" t="s">
        <v>3250</v>
      </c>
      <c r="F15" t="s">
        <v>3232</v>
      </c>
      <c r="G15" t="s">
        <v>144</v>
      </c>
    </row>
    <row r="16" spans="1:7" ht="11.25" customHeight="1">
      <c r="A16" t="s">
        <v>14</v>
      </c>
      <c r="B16" t="s">
        <v>3245</v>
      </c>
      <c r="C16" t="s">
        <v>3246</v>
      </c>
      <c r="D16" t="s">
        <v>3251</v>
      </c>
      <c r="E16" t="s">
        <v>3252</v>
      </c>
      <c r="F16" t="s">
        <v>3232</v>
      </c>
      <c r="G16" t="s">
        <v>148</v>
      </c>
    </row>
    <row r="17" spans="1:7" ht="11.25" customHeight="1">
      <c r="A17" t="s">
        <v>14</v>
      </c>
      <c r="B17" t="s">
        <v>3245</v>
      </c>
      <c r="C17" t="s">
        <v>3246</v>
      </c>
      <c r="D17" t="s">
        <v>3253</v>
      </c>
      <c r="E17" t="s">
        <v>3254</v>
      </c>
      <c r="F17" t="s">
        <v>3232</v>
      </c>
      <c r="G17" t="s">
        <v>152</v>
      </c>
    </row>
    <row r="18" spans="1:7" ht="11.25" customHeight="1">
      <c r="A18" t="s">
        <v>14</v>
      </c>
      <c r="B18" t="s">
        <v>3245</v>
      </c>
      <c r="C18" t="s">
        <v>3246</v>
      </c>
      <c r="D18" t="s">
        <v>3255</v>
      </c>
      <c r="E18" t="s">
        <v>3256</v>
      </c>
      <c r="F18" t="s">
        <v>3232</v>
      </c>
      <c r="G18" t="s">
        <v>156</v>
      </c>
    </row>
    <row r="19" spans="1:7" ht="11.25" customHeight="1">
      <c r="A19" t="s">
        <v>14</v>
      </c>
      <c r="B19" t="s">
        <v>3245</v>
      </c>
      <c r="C19" t="s">
        <v>3246</v>
      </c>
      <c r="D19" t="s">
        <v>3257</v>
      </c>
      <c r="E19" t="s">
        <v>3258</v>
      </c>
      <c r="F19" t="s">
        <v>3232</v>
      </c>
      <c r="G19" t="s">
        <v>160</v>
      </c>
    </row>
    <row r="20" spans="1:7" ht="11.25" customHeight="1">
      <c r="A20" t="s">
        <v>14</v>
      </c>
      <c r="B20" t="s">
        <v>3245</v>
      </c>
      <c r="C20" t="s">
        <v>3246</v>
      </c>
      <c r="D20" t="s">
        <v>3259</v>
      </c>
      <c r="E20" t="s">
        <v>3260</v>
      </c>
      <c r="F20" t="s">
        <v>3232</v>
      </c>
      <c r="G20" t="s">
        <v>164</v>
      </c>
    </row>
    <row r="21" spans="1:7" ht="11.25" customHeight="1">
      <c r="A21" t="s">
        <v>14</v>
      </c>
      <c r="B21" t="s">
        <v>3245</v>
      </c>
      <c r="C21" t="s">
        <v>3246</v>
      </c>
      <c r="D21" t="s">
        <v>3261</v>
      </c>
      <c r="E21" t="s">
        <v>3262</v>
      </c>
      <c r="F21" t="s">
        <v>3232</v>
      </c>
      <c r="G21" t="s">
        <v>168</v>
      </c>
    </row>
    <row r="22" spans="1:7" ht="11.25" customHeight="1">
      <c r="A22" t="s">
        <v>14</v>
      </c>
      <c r="B22" t="s">
        <v>3245</v>
      </c>
      <c r="C22" t="s">
        <v>3246</v>
      </c>
      <c r="D22" t="s">
        <v>3263</v>
      </c>
      <c r="E22" t="s">
        <v>3264</v>
      </c>
      <c r="F22" t="s">
        <v>3232</v>
      </c>
      <c r="G22" t="s">
        <v>172</v>
      </c>
    </row>
    <row r="23" spans="1:7" ht="11.25" customHeight="1">
      <c r="A23" t="s">
        <v>14</v>
      </c>
      <c r="B23" t="s">
        <v>3245</v>
      </c>
      <c r="C23" t="s">
        <v>3246</v>
      </c>
      <c r="D23" t="s">
        <v>3265</v>
      </c>
      <c r="E23" t="s">
        <v>3266</v>
      </c>
      <c r="F23" t="s">
        <v>3232</v>
      </c>
      <c r="G23" t="s">
        <v>176</v>
      </c>
    </row>
    <row r="24" spans="1:7" ht="11.25" customHeight="1">
      <c r="A24" t="s">
        <v>14</v>
      </c>
      <c r="B24" t="s">
        <v>3245</v>
      </c>
      <c r="C24" t="s">
        <v>3246</v>
      </c>
      <c r="D24" t="s">
        <v>3267</v>
      </c>
      <c r="E24" t="s">
        <v>3268</v>
      </c>
      <c r="F24" t="s">
        <v>3232</v>
      </c>
      <c r="G24" t="s">
        <v>180</v>
      </c>
    </row>
    <row r="25" spans="1:7" ht="11.25" customHeight="1">
      <c r="A25" t="s">
        <v>14</v>
      </c>
      <c r="B25" t="s">
        <v>106</v>
      </c>
      <c r="C25" t="s">
        <v>107</v>
      </c>
      <c r="D25" t="s">
        <v>106</v>
      </c>
      <c r="E25" t="s">
        <v>107</v>
      </c>
      <c r="F25" t="s">
        <v>3227</v>
      </c>
      <c r="G25" t="s">
        <v>105</v>
      </c>
    </row>
    <row r="26" spans="1:7" ht="11.25" customHeight="1">
      <c r="A26" t="s">
        <v>14</v>
      </c>
      <c r="B26" t="s">
        <v>3269</v>
      </c>
      <c r="C26" t="s">
        <v>3270</v>
      </c>
      <c r="D26" t="s">
        <v>3271</v>
      </c>
      <c r="E26" t="s">
        <v>3272</v>
      </c>
      <c r="F26" t="s">
        <v>3232</v>
      </c>
      <c r="G26" t="s">
        <v>187</v>
      </c>
    </row>
    <row r="27" spans="1:7" ht="11.25" customHeight="1">
      <c r="A27" t="s">
        <v>14</v>
      </c>
      <c r="B27" t="s">
        <v>3269</v>
      </c>
      <c r="C27" t="s">
        <v>3270</v>
      </c>
      <c r="D27" t="s">
        <v>3269</v>
      </c>
      <c r="E27" t="s">
        <v>3270</v>
      </c>
      <c r="F27" t="s">
        <v>3229</v>
      </c>
      <c r="G27" t="s">
        <v>191</v>
      </c>
    </row>
    <row r="28" spans="1:7" ht="11.25" customHeight="1">
      <c r="A28" t="s">
        <v>14</v>
      </c>
      <c r="B28" t="s">
        <v>3269</v>
      </c>
      <c r="C28" t="s">
        <v>3270</v>
      </c>
      <c r="D28" t="s">
        <v>3273</v>
      </c>
      <c r="E28" t="s">
        <v>3274</v>
      </c>
      <c r="F28" t="s">
        <v>3232</v>
      </c>
      <c r="G28" t="s">
        <v>195</v>
      </c>
    </row>
    <row r="29" spans="1:7" ht="11.25" customHeight="1">
      <c r="A29" t="s">
        <v>14</v>
      </c>
      <c r="B29" t="s">
        <v>3269</v>
      </c>
      <c r="C29" t="s">
        <v>3270</v>
      </c>
      <c r="D29" t="s">
        <v>3275</v>
      </c>
      <c r="E29" t="s">
        <v>3276</v>
      </c>
      <c r="F29" t="s">
        <v>3232</v>
      </c>
      <c r="G29" t="s">
        <v>199</v>
      </c>
    </row>
    <row r="30" spans="1:7" ht="11.25" customHeight="1">
      <c r="A30" t="s">
        <v>14</v>
      </c>
      <c r="B30" t="s">
        <v>3269</v>
      </c>
      <c r="C30" t="s">
        <v>3270</v>
      </c>
      <c r="D30" t="s">
        <v>3277</v>
      </c>
      <c r="E30" t="s">
        <v>3278</v>
      </c>
      <c r="F30" t="s">
        <v>3232</v>
      </c>
      <c r="G30" t="s">
        <v>203</v>
      </c>
    </row>
    <row r="31" spans="1:7" ht="11.25" customHeight="1">
      <c r="A31" t="s">
        <v>14</v>
      </c>
      <c r="B31" t="s">
        <v>3269</v>
      </c>
      <c r="C31" t="s">
        <v>3270</v>
      </c>
      <c r="D31" t="s">
        <v>3279</v>
      </c>
      <c r="E31" t="s">
        <v>3280</v>
      </c>
      <c r="F31" t="s">
        <v>3232</v>
      </c>
      <c r="G31" t="s">
        <v>1883</v>
      </c>
    </row>
    <row r="32" spans="1:7" ht="11.25" customHeight="1">
      <c r="A32" t="s">
        <v>14</v>
      </c>
      <c r="B32" t="s">
        <v>3269</v>
      </c>
      <c r="C32" t="s">
        <v>3270</v>
      </c>
      <c r="D32" t="s">
        <v>3281</v>
      </c>
      <c r="E32" t="s">
        <v>3282</v>
      </c>
      <c r="F32" t="s">
        <v>3232</v>
      </c>
      <c r="G32" t="s">
        <v>1885</v>
      </c>
    </row>
    <row r="33" spans="1:7" ht="11.25" customHeight="1">
      <c r="A33" t="s">
        <v>14</v>
      </c>
      <c r="B33" t="s">
        <v>3269</v>
      </c>
      <c r="C33" t="s">
        <v>3270</v>
      </c>
      <c r="D33" t="s">
        <v>3283</v>
      </c>
      <c r="E33" t="s">
        <v>3284</v>
      </c>
      <c r="F33" t="s">
        <v>3232</v>
      </c>
      <c r="G33" t="s">
        <v>1887</v>
      </c>
    </row>
    <row r="34" spans="1:7" ht="11.25" customHeight="1">
      <c r="A34" t="s">
        <v>14</v>
      </c>
      <c r="B34" t="s">
        <v>3269</v>
      </c>
      <c r="C34" t="s">
        <v>3270</v>
      </c>
      <c r="D34" t="s">
        <v>3285</v>
      </c>
      <c r="E34" t="s">
        <v>3286</v>
      </c>
      <c r="F34" t="s">
        <v>3232</v>
      </c>
      <c r="G34" t="s">
        <v>1889</v>
      </c>
    </row>
    <row r="35" spans="1:7" ht="11.25" customHeight="1">
      <c r="A35" t="s">
        <v>14</v>
      </c>
      <c r="B35" t="s">
        <v>3269</v>
      </c>
      <c r="C35" t="s">
        <v>3270</v>
      </c>
      <c r="D35" t="s">
        <v>3287</v>
      </c>
      <c r="E35" t="s">
        <v>3288</v>
      </c>
      <c r="F35" t="s">
        <v>3232</v>
      </c>
      <c r="G35" t="s">
        <v>1894</v>
      </c>
    </row>
    <row r="36" spans="1:7" ht="11.25" customHeight="1">
      <c r="A36" t="s">
        <v>14</v>
      </c>
      <c r="B36" t="s">
        <v>3269</v>
      </c>
      <c r="C36" t="s">
        <v>3270</v>
      </c>
      <c r="D36" t="s">
        <v>3289</v>
      </c>
      <c r="E36" t="s">
        <v>3290</v>
      </c>
      <c r="F36" t="s">
        <v>3232</v>
      </c>
      <c r="G36" t="s">
        <v>1899</v>
      </c>
    </row>
    <row r="37" spans="1:7" ht="11.25" customHeight="1">
      <c r="A37" t="s">
        <v>14</v>
      </c>
      <c r="B37" t="s">
        <v>3269</v>
      </c>
      <c r="C37" t="s">
        <v>3270</v>
      </c>
      <c r="D37" t="s">
        <v>3291</v>
      </c>
      <c r="E37" t="s">
        <v>3292</v>
      </c>
      <c r="F37" t="s">
        <v>3232</v>
      </c>
      <c r="G37" t="s">
        <v>1903</v>
      </c>
    </row>
    <row r="38" spans="1:7" ht="11.25" customHeight="1">
      <c r="A38" t="s">
        <v>14</v>
      </c>
      <c r="B38" t="s">
        <v>109</v>
      </c>
      <c r="C38" t="s">
        <v>110</v>
      </c>
      <c r="D38" t="s">
        <v>109</v>
      </c>
      <c r="E38" t="s">
        <v>110</v>
      </c>
      <c r="F38" t="s">
        <v>3227</v>
      </c>
      <c r="G38" t="s">
        <v>108</v>
      </c>
    </row>
    <row r="39" spans="1:7" ht="11.25" customHeight="1">
      <c r="A39" t="s">
        <v>14</v>
      </c>
      <c r="B39" t="s">
        <v>3293</v>
      </c>
      <c r="C39" t="s">
        <v>3294</v>
      </c>
      <c r="D39" t="s">
        <v>3293</v>
      </c>
      <c r="E39" t="s">
        <v>3294</v>
      </c>
      <c r="F39" t="s">
        <v>3229</v>
      </c>
      <c r="G39" t="s">
        <v>1916</v>
      </c>
    </row>
    <row r="40" spans="1:7" ht="11.25" customHeight="1">
      <c r="A40" t="s">
        <v>14</v>
      </c>
      <c r="B40" t="s">
        <v>3293</v>
      </c>
      <c r="C40" t="s">
        <v>3294</v>
      </c>
      <c r="D40" t="s">
        <v>3295</v>
      </c>
      <c r="E40" t="s">
        <v>3296</v>
      </c>
      <c r="F40" t="s">
        <v>3232</v>
      </c>
      <c r="G40" t="s">
        <v>1921</v>
      </c>
    </row>
    <row r="41" spans="1:7" ht="11.25" customHeight="1">
      <c r="A41" t="s">
        <v>14</v>
      </c>
      <c r="B41" t="s">
        <v>3293</v>
      </c>
      <c r="C41" t="s">
        <v>3294</v>
      </c>
      <c r="D41" t="s">
        <v>3297</v>
      </c>
      <c r="E41" t="s">
        <v>3298</v>
      </c>
      <c r="F41" t="s">
        <v>3232</v>
      </c>
      <c r="G41" t="s">
        <v>1925</v>
      </c>
    </row>
    <row r="42" spans="1:7" ht="11.25" customHeight="1">
      <c r="A42" t="s">
        <v>14</v>
      </c>
      <c r="B42" t="s">
        <v>3293</v>
      </c>
      <c r="C42" t="s">
        <v>3294</v>
      </c>
      <c r="D42" t="s">
        <v>3299</v>
      </c>
      <c r="E42" t="s">
        <v>3300</v>
      </c>
      <c r="F42" t="s">
        <v>3232</v>
      </c>
      <c r="G42" t="s">
        <v>1928</v>
      </c>
    </row>
    <row r="43" spans="1:7" ht="11.25" customHeight="1">
      <c r="A43" t="s">
        <v>14</v>
      </c>
      <c r="B43" t="s">
        <v>3293</v>
      </c>
      <c r="C43" t="s">
        <v>3294</v>
      </c>
      <c r="D43" t="s">
        <v>3301</v>
      </c>
      <c r="E43" t="s">
        <v>3302</v>
      </c>
      <c r="F43" t="s">
        <v>3232</v>
      </c>
      <c r="G43" t="s">
        <v>1935</v>
      </c>
    </row>
    <row r="44" spans="1:7" ht="11.25" customHeight="1">
      <c r="A44" t="s">
        <v>14</v>
      </c>
      <c r="B44" t="s">
        <v>3293</v>
      </c>
      <c r="C44" t="s">
        <v>3294</v>
      </c>
      <c r="D44" t="s">
        <v>3303</v>
      </c>
      <c r="E44" t="s">
        <v>3304</v>
      </c>
      <c r="F44" t="s">
        <v>3232</v>
      </c>
      <c r="G44" t="s">
        <v>1944</v>
      </c>
    </row>
    <row r="45" spans="1:7" ht="11.25" customHeight="1">
      <c r="A45" t="s">
        <v>14</v>
      </c>
      <c r="B45" t="s">
        <v>3293</v>
      </c>
      <c r="C45" t="s">
        <v>3294</v>
      </c>
      <c r="D45" t="s">
        <v>3305</v>
      </c>
      <c r="E45" t="s">
        <v>3306</v>
      </c>
      <c r="F45" t="s">
        <v>3232</v>
      </c>
      <c r="G45" t="s">
        <v>1949</v>
      </c>
    </row>
    <row r="46" spans="1:7" ht="11.25" customHeight="1">
      <c r="A46" t="s">
        <v>14</v>
      </c>
      <c r="B46" t="s">
        <v>3293</v>
      </c>
      <c r="C46" t="s">
        <v>3294</v>
      </c>
      <c r="D46" t="s">
        <v>3307</v>
      </c>
      <c r="E46" t="s">
        <v>3308</v>
      </c>
      <c r="F46" t="s">
        <v>3232</v>
      </c>
      <c r="G46" t="s">
        <v>1953</v>
      </c>
    </row>
    <row r="47" spans="1:7" ht="11.25" customHeight="1">
      <c r="A47" t="s">
        <v>14</v>
      </c>
      <c r="B47" t="s">
        <v>3293</v>
      </c>
      <c r="C47" t="s">
        <v>3294</v>
      </c>
      <c r="D47" t="s">
        <v>3309</v>
      </c>
      <c r="E47" t="s">
        <v>3310</v>
      </c>
      <c r="F47" t="s">
        <v>3232</v>
      </c>
      <c r="G47" t="s">
        <v>1959</v>
      </c>
    </row>
    <row r="48" spans="1:7" ht="11.25" customHeight="1">
      <c r="A48" t="s">
        <v>14</v>
      </c>
      <c r="B48" t="s">
        <v>113</v>
      </c>
      <c r="C48" t="s">
        <v>114</v>
      </c>
      <c r="D48" t="s">
        <v>113</v>
      </c>
      <c r="E48" t="s">
        <v>114</v>
      </c>
      <c r="F48" t="s">
        <v>3311</v>
      </c>
      <c r="G48" t="s">
        <v>112</v>
      </c>
    </row>
    <row r="49" spans="1:7" ht="11.25" customHeight="1">
      <c r="A49" t="s">
        <v>14</v>
      </c>
      <c r="B49" t="s">
        <v>3312</v>
      </c>
      <c r="C49" t="s">
        <v>3313</v>
      </c>
      <c r="D49" t="s">
        <v>3312</v>
      </c>
      <c r="E49" t="s">
        <v>3313</v>
      </c>
      <c r="F49" t="s">
        <v>3227</v>
      </c>
      <c r="G49" t="s">
        <v>1966</v>
      </c>
    </row>
    <row r="50" spans="1:7" ht="11.25" customHeight="1">
      <c r="A50" t="s">
        <v>14</v>
      </c>
      <c r="B50" t="s">
        <v>3314</v>
      </c>
      <c r="C50" t="s">
        <v>3315</v>
      </c>
      <c r="D50" t="s">
        <v>3316</v>
      </c>
      <c r="E50" t="s">
        <v>3317</v>
      </c>
      <c r="F50" t="s">
        <v>3232</v>
      </c>
      <c r="G50" t="s">
        <v>1970</v>
      </c>
    </row>
    <row r="51" spans="1:7" ht="11.25" customHeight="1">
      <c r="A51" t="s">
        <v>14</v>
      </c>
      <c r="B51" t="s">
        <v>3314</v>
      </c>
      <c r="C51" t="s">
        <v>3315</v>
      </c>
      <c r="D51" t="s">
        <v>3318</v>
      </c>
      <c r="E51" t="s">
        <v>3319</v>
      </c>
      <c r="F51" t="s">
        <v>3232</v>
      </c>
      <c r="G51" t="s">
        <v>1974</v>
      </c>
    </row>
    <row r="52" spans="1:7" ht="11.25" customHeight="1">
      <c r="A52" t="s">
        <v>14</v>
      </c>
      <c r="B52" t="s">
        <v>3314</v>
      </c>
      <c r="C52" t="s">
        <v>3315</v>
      </c>
      <c r="D52" t="s">
        <v>3320</v>
      </c>
      <c r="E52" t="s">
        <v>3321</v>
      </c>
      <c r="F52" t="s">
        <v>3232</v>
      </c>
      <c r="G52" t="s">
        <v>1978</v>
      </c>
    </row>
    <row r="53" spans="1:7" ht="11.25" customHeight="1">
      <c r="A53" t="s">
        <v>14</v>
      </c>
      <c r="B53" t="s">
        <v>3314</v>
      </c>
      <c r="C53" t="s">
        <v>3315</v>
      </c>
      <c r="D53" t="s">
        <v>3314</v>
      </c>
      <c r="E53" t="s">
        <v>3315</v>
      </c>
      <c r="F53" t="s">
        <v>3229</v>
      </c>
      <c r="G53" t="s">
        <v>1980</v>
      </c>
    </row>
    <row r="54" spans="1:7" ht="11.25" customHeight="1">
      <c r="A54" t="s">
        <v>14</v>
      </c>
      <c r="B54" t="s">
        <v>3314</v>
      </c>
      <c r="C54" t="s">
        <v>3315</v>
      </c>
      <c r="D54" t="s">
        <v>3322</v>
      </c>
      <c r="E54" t="s">
        <v>3323</v>
      </c>
      <c r="F54" t="s">
        <v>3324</v>
      </c>
      <c r="G54" t="s">
        <v>1983</v>
      </c>
    </row>
    <row r="55" spans="1:7" ht="11.25" customHeight="1">
      <c r="A55" t="s">
        <v>14</v>
      </c>
      <c r="B55" t="s">
        <v>3314</v>
      </c>
      <c r="C55" t="s">
        <v>3315</v>
      </c>
      <c r="D55" t="s">
        <v>3325</v>
      </c>
      <c r="E55" t="s">
        <v>3326</v>
      </c>
      <c r="F55" t="s">
        <v>3232</v>
      </c>
      <c r="G55" t="s">
        <v>1987</v>
      </c>
    </row>
    <row r="56" spans="1:7" ht="11.25" customHeight="1">
      <c r="A56" t="s">
        <v>14</v>
      </c>
      <c r="B56" t="s">
        <v>3314</v>
      </c>
      <c r="C56" t="s">
        <v>3315</v>
      </c>
      <c r="D56" t="s">
        <v>3327</v>
      </c>
      <c r="E56" t="s">
        <v>3328</v>
      </c>
      <c r="F56" t="s">
        <v>3232</v>
      </c>
      <c r="G56" t="s">
        <v>1990</v>
      </c>
    </row>
    <row r="57" spans="1:7" ht="11.25" customHeight="1">
      <c r="A57" t="s">
        <v>14</v>
      </c>
      <c r="B57" t="s">
        <v>3314</v>
      </c>
      <c r="C57" t="s">
        <v>3315</v>
      </c>
      <c r="D57" t="s">
        <v>3329</v>
      </c>
      <c r="E57" t="s">
        <v>3330</v>
      </c>
      <c r="F57" t="s">
        <v>3232</v>
      </c>
      <c r="G57" t="s">
        <v>1993</v>
      </c>
    </row>
    <row r="58" spans="1:7" ht="11.25" customHeight="1">
      <c r="A58" t="s">
        <v>14</v>
      </c>
      <c r="B58" t="s">
        <v>3314</v>
      </c>
      <c r="C58" t="s">
        <v>3315</v>
      </c>
      <c r="D58" t="s">
        <v>3331</v>
      </c>
      <c r="E58" t="s">
        <v>3332</v>
      </c>
      <c r="F58" t="s">
        <v>3232</v>
      </c>
      <c r="G58" t="s">
        <v>1996</v>
      </c>
    </row>
    <row r="59" spans="1:7" ht="11.25" customHeight="1">
      <c r="A59" t="s">
        <v>14</v>
      </c>
      <c r="B59" t="s">
        <v>3314</v>
      </c>
      <c r="C59" t="s">
        <v>3315</v>
      </c>
      <c r="D59" t="s">
        <v>3333</v>
      </c>
      <c r="E59" t="s">
        <v>3334</v>
      </c>
      <c r="F59" t="s">
        <v>3232</v>
      </c>
      <c r="G59" t="s">
        <v>2000</v>
      </c>
    </row>
    <row r="60" spans="1:7" ht="11.25" customHeight="1">
      <c r="A60" t="s">
        <v>14</v>
      </c>
      <c r="B60" t="s">
        <v>3314</v>
      </c>
      <c r="C60" t="s">
        <v>3315</v>
      </c>
      <c r="D60" t="s">
        <v>3335</v>
      </c>
      <c r="E60" t="s">
        <v>3336</v>
      </c>
      <c r="F60" t="s">
        <v>3232</v>
      </c>
      <c r="G60" t="s">
        <v>2003</v>
      </c>
    </row>
    <row r="61" spans="1:7" ht="11.25" customHeight="1">
      <c r="A61" t="s">
        <v>14</v>
      </c>
      <c r="B61" t="s">
        <v>3314</v>
      </c>
      <c r="C61" t="s">
        <v>3315</v>
      </c>
      <c r="D61" t="s">
        <v>3337</v>
      </c>
      <c r="E61" t="s">
        <v>3338</v>
      </c>
      <c r="F61" t="s">
        <v>3232</v>
      </c>
      <c r="G61" t="s">
        <v>3339</v>
      </c>
    </row>
    <row r="62" spans="1:7" ht="11.25" customHeight="1">
      <c r="A62" t="s">
        <v>14</v>
      </c>
      <c r="B62" t="s">
        <v>3314</v>
      </c>
      <c r="C62" t="s">
        <v>3315</v>
      </c>
      <c r="D62" t="s">
        <v>3340</v>
      </c>
      <c r="E62" t="s">
        <v>3341</v>
      </c>
      <c r="F62" t="s">
        <v>3232</v>
      </c>
      <c r="G62" t="s">
        <v>3342</v>
      </c>
    </row>
    <row r="63" spans="1:7" ht="11.25" customHeight="1">
      <c r="A63" t="s">
        <v>14</v>
      </c>
      <c r="B63" t="s">
        <v>3314</v>
      </c>
      <c r="C63" t="s">
        <v>3315</v>
      </c>
      <c r="D63" t="s">
        <v>3343</v>
      </c>
      <c r="E63" t="s">
        <v>3344</v>
      </c>
      <c r="F63" t="s">
        <v>3232</v>
      </c>
      <c r="G63" t="s">
        <v>3345</v>
      </c>
    </row>
    <row r="64" spans="1:7" ht="11.25" customHeight="1">
      <c r="A64" t="s">
        <v>14</v>
      </c>
      <c r="B64" t="s">
        <v>3314</v>
      </c>
      <c r="C64" t="s">
        <v>3315</v>
      </c>
      <c r="D64" t="s">
        <v>3346</v>
      </c>
      <c r="E64" t="s">
        <v>3347</v>
      </c>
      <c r="F64" t="s">
        <v>3232</v>
      </c>
      <c r="G64" t="s">
        <v>3348</v>
      </c>
    </row>
    <row r="65" spans="1:7" ht="11.25" customHeight="1">
      <c r="A65" t="s">
        <v>14</v>
      </c>
      <c r="B65" t="s">
        <v>116</v>
      </c>
      <c r="C65" t="s">
        <v>117</v>
      </c>
      <c r="D65" t="s">
        <v>116</v>
      </c>
      <c r="E65" t="s">
        <v>117</v>
      </c>
      <c r="F65" t="s">
        <v>3227</v>
      </c>
      <c r="G65" t="s">
        <v>115</v>
      </c>
    </row>
    <row r="66" spans="1:7" ht="11.25" customHeight="1">
      <c r="A66" t="s">
        <v>14</v>
      </c>
      <c r="B66" t="s">
        <v>3349</v>
      </c>
      <c r="C66" t="s">
        <v>3350</v>
      </c>
      <c r="D66" t="s">
        <v>3351</v>
      </c>
      <c r="E66" t="s">
        <v>3352</v>
      </c>
      <c r="F66" t="s">
        <v>3232</v>
      </c>
      <c r="G66" t="s">
        <v>3353</v>
      </c>
    </row>
    <row r="67" spans="1:7" ht="11.25" customHeight="1">
      <c r="A67" t="s">
        <v>14</v>
      </c>
      <c r="B67" t="s">
        <v>3349</v>
      </c>
      <c r="C67" t="s">
        <v>3350</v>
      </c>
      <c r="D67" t="s">
        <v>3349</v>
      </c>
      <c r="E67" t="s">
        <v>3350</v>
      </c>
      <c r="F67" t="s">
        <v>3229</v>
      </c>
      <c r="G67" t="s">
        <v>2224</v>
      </c>
    </row>
    <row r="68" spans="1:7" ht="11.25" customHeight="1">
      <c r="A68" t="s">
        <v>14</v>
      </c>
      <c r="B68" t="s">
        <v>3349</v>
      </c>
      <c r="C68" t="s">
        <v>3350</v>
      </c>
      <c r="D68" t="s">
        <v>3354</v>
      </c>
      <c r="E68" t="s">
        <v>3355</v>
      </c>
      <c r="F68" t="s">
        <v>3324</v>
      </c>
      <c r="G68" t="s">
        <v>3356</v>
      </c>
    </row>
    <row r="69" spans="1:7" ht="11.25" customHeight="1">
      <c r="A69" t="s">
        <v>14</v>
      </c>
      <c r="B69" t="s">
        <v>3349</v>
      </c>
      <c r="C69" t="s">
        <v>3350</v>
      </c>
      <c r="D69" t="s">
        <v>3357</v>
      </c>
      <c r="E69" t="s">
        <v>3358</v>
      </c>
      <c r="F69" t="s">
        <v>3232</v>
      </c>
      <c r="G69" t="s">
        <v>2434</v>
      </c>
    </row>
    <row r="70" spans="1:7" ht="11.25" customHeight="1">
      <c r="A70" t="s">
        <v>14</v>
      </c>
      <c r="B70" t="s">
        <v>3349</v>
      </c>
      <c r="C70" t="s">
        <v>3350</v>
      </c>
      <c r="D70" t="s">
        <v>3359</v>
      </c>
      <c r="E70" t="s">
        <v>3360</v>
      </c>
      <c r="F70" t="s">
        <v>3232</v>
      </c>
      <c r="G70" t="s">
        <v>3361</v>
      </c>
    </row>
    <row r="71" spans="1:7" ht="11.25" customHeight="1">
      <c r="A71" t="s">
        <v>14</v>
      </c>
      <c r="B71" t="s">
        <v>3349</v>
      </c>
      <c r="C71" t="s">
        <v>3350</v>
      </c>
      <c r="D71" t="s">
        <v>3362</v>
      </c>
      <c r="E71" t="s">
        <v>3363</v>
      </c>
      <c r="F71" t="s">
        <v>3232</v>
      </c>
      <c r="G71" t="s">
        <v>3364</v>
      </c>
    </row>
    <row r="72" spans="1:7" ht="11.25" customHeight="1">
      <c r="A72" t="s">
        <v>14</v>
      </c>
      <c r="B72" t="s">
        <v>3349</v>
      </c>
      <c r="C72" t="s">
        <v>3350</v>
      </c>
      <c r="D72" t="s">
        <v>3365</v>
      </c>
      <c r="E72" t="s">
        <v>3366</v>
      </c>
      <c r="F72" t="s">
        <v>3232</v>
      </c>
      <c r="G72" t="s">
        <v>3367</v>
      </c>
    </row>
    <row r="73" spans="1:7" ht="11.25" customHeight="1">
      <c r="A73" t="s">
        <v>14</v>
      </c>
      <c r="B73" t="s">
        <v>3349</v>
      </c>
      <c r="C73" t="s">
        <v>3350</v>
      </c>
      <c r="D73" t="s">
        <v>3368</v>
      </c>
      <c r="E73" t="s">
        <v>3369</v>
      </c>
      <c r="F73" t="s">
        <v>3232</v>
      </c>
      <c r="G73" t="s">
        <v>3370</v>
      </c>
    </row>
    <row r="74" spans="1:7" ht="11.25" customHeight="1">
      <c r="A74" t="s">
        <v>14</v>
      </c>
      <c r="B74" t="s">
        <v>3349</v>
      </c>
      <c r="C74" t="s">
        <v>3350</v>
      </c>
      <c r="D74" t="s">
        <v>3371</v>
      </c>
      <c r="E74" t="s">
        <v>3372</v>
      </c>
      <c r="F74" t="s">
        <v>3232</v>
      </c>
      <c r="G74" t="s">
        <v>3373</v>
      </c>
    </row>
    <row r="75" spans="1:7" ht="11.25" customHeight="1">
      <c r="A75" t="s">
        <v>14</v>
      </c>
      <c r="B75" t="s">
        <v>3349</v>
      </c>
      <c r="C75" t="s">
        <v>3350</v>
      </c>
      <c r="D75" t="s">
        <v>3374</v>
      </c>
      <c r="E75" t="s">
        <v>3375</v>
      </c>
      <c r="F75" t="s">
        <v>3232</v>
      </c>
      <c r="G75" t="s">
        <v>3376</v>
      </c>
    </row>
    <row r="76" spans="1:7" ht="11.25" customHeight="1">
      <c r="A76" t="s">
        <v>14</v>
      </c>
      <c r="B76" t="s">
        <v>3349</v>
      </c>
      <c r="C76" t="s">
        <v>3350</v>
      </c>
      <c r="D76" t="s">
        <v>3377</v>
      </c>
      <c r="E76" t="s">
        <v>3378</v>
      </c>
      <c r="F76" t="s">
        <v>3232</v>
      </c>
      <c r="G76" t="s">
        <v>3379</v>
      </c>
    </row>
    <row r="77" spans="1:7" ht="11.25" customHeight="1">
      <c r="A77" t="s">
        <v>14</v>
      </c>
      <c r="B77" t="s">
        <v>3349</v>
      </c>
      <c r="C77" t="s">
        <v>3350</v>
      </c>
      <c r="D77" t="s">
        <v>3380</v>
      </c>
      <c r="E77" t="s">
        <v>3381</v>
      </c>
      <c r="F77" t="s">
        <v>3232</v>
      </c>
      <c r="G77" t="s">
        <v>3382</v>
      </c>
    </row>
    <row r="78" spans="1:7" ht="11.25" customHeight="1">
      <c r="A78" t="s">
        <v>14</v>
      </c>
      <c r="B78" t="s">
        <v>3349</v>
      </c>
      <c r="C78" t="s">
        <v>3350</v>
      </c>
      <c r="D78" t="s">
        <v>3383</v>
      </c>
      <c r="E78" t="s">
        <v>3384</v>
      </c>
      <c r="F78" t="s">
        <v>3232</v>
      </c>
      <c r="G78" t="s">
        <v>3385</v>
      </c>
    </row>
    <row r="79" spans="1:7" ht="11.25" customHeight="1">
      <c r="A79" t="s">
        <v>14</v>
      </c>
      <c r="B79" t="s">
        <v>3349</v>
      </c>
      <c r="C79" t="s">
        <v>3350</v>
      </c>
      <c r="D79" t="s">
        <v>3386</v>
      </c>
      <c r="E79" t="s">
        <v>3387</v>
      </c>
      <c r="F79" t="s">
        <v>3232</v>
      </c>
      <c r="G79" t="s">
        <v>3388</v>
      </c>
    </row>
    <row r="80" spans="1:7" ht="11.25" customHeight="1">
      <c r="A80" t="s">
        <v>14</v>
      </c>
      <c r="B80" t="s">
        <v>3349</v>
      </c>
      <c r="C80" t="s">
        <v>3350</v>
      </c>
      <c r="D80" t="s">
        <v>3389</v>
      </c>
      <c r="E80" t="s">
        <v>3390</v>
      </c>
      <c r="F80" t="s">
        <v>3232</v>
      </c>
      <c r="G80" t="s">
        <v>3391</v>
      </c>
    </row>
    <row r="81" spans="1:7" ht="11.25" customHeight="1">
      <c r="A81" t="s">
        <v>14</v>
      </c>
      <c r="B81" t="s">
        <v>119</v>
      </c>
      <c r="C81" t="s">
        <v>120</v>
      </c>
      <c r="D81" t="s">
        <v>119</v>
      </c>
      <c r="E81" t="s">
        <v>120</v>
      </c>
      <c r="F81" t="s">
        <v>3311</v>
      </c>
      <c r="G81" t="s">
        <v>118</v>
      </c>
    </row>
    <row r="82" spans="1:7" ht="11.25" customHeight="1">
      <c r="A82" t="s">
        <v>14</v>
      </c>
      <c r="B82" t="s">
        <v>3392</v>
      </c>
      <c r="C82" t="s">
        <v>3393</v>
      </c>
      <c r="D82" t="s">
        <v>3392</v>
      </c>
      <c r="E82" t="s">
        <v>3393</v>
      </c>
      <c r="F82" t="s">
        <v>3227</v>
      </c>
      <c r="G82" t="s">
        <v>3394</v>
      </c>
    </row>
    <row r="83" spans="1:7" ht="11.25" customHeight="1">
      <c r="A83" t="s">
        <v>14</v>
      </c>
      <c r="B83" t="s">
        <v>3395</v>
      </c>
      <c r="C83" t="s">
        <v>3396</v>
      </c>
      <c r="D83" t="s">
        <v>3318</v>
      </c>
      <c r="E83" t="s">
        <v>3397</v>
      </c>
      <c r="F83" t="s">
        <v>3232</v>
      </c>
      <c r="G83" t="s">
        <v>3398</v>
      </c>
    </row>
    <row r="84" spans="1:7" ht="11.25" customHeight="1">
      <c r="A84" t="s">
        <v>14</v>
      </c>
      <c r="B84" t="s">
        <v>3395</v>
      </c>
      <c r="C84" t="s">
        <v>3396</v>
      </c>
      <c r="D84" t="s">
        <v>3399</v>
      </c>
      <c r="E84" t="s">
        <v>3400</v>
      </c>
      <c r="F84" t="s">
        <v>3232</v>
      </c>
      <c r="G84" t="s">
        <v>3401</v>
      </c>
    </row>
    <row r="85" spans="1:7" ht="11.25" customHeight="1">
      <c r="A85" t="s">
        <v>14</v>
      </c>
      <c r="B85" t="s">
        <v>3395</v>
      </c>
      <c r="C85" t="s">
        <v>3396</v>
      </c>
      <c r="D85" t="s">
        <v>3395</v>
      </c>
      <c r="E85" t="s">
        <v>3396</v>
      </c>
      <c r="F85" t="s">
        <v>3229</v>
      </c>
      <c r="G85" t="s">
        <v>3402</v>
      </c>
    </row>
    <row r="86" spans="1:7" ht="11.25" customHeight="1">
      <c r="A86" t="s">
        <v>14</v>
      </c>
      <c r="B86" t="s">
        <v>3395</v>
      </c>
      <c r="C86" t="s">
        <v>3396</v>
      </c>
      <c r="D86" t="s">
        <v>3403</v>
      </c>
      <c r="E86" t="s">
        <v>3404</v>
      </c>
      <c r="F86" t="s">
        <v>3232</v>
      </c>
      <c r="G86" t="s">
        <v>3405</v>
      </c>
    </row>
    <row r="87" spans="1:7" ht="11.25" customHeight="1">
      <c r="A87" t="s">
        <v>14</v>
      </c>
      <c r="B87" t="s">
        <v>3395</v>
      </c>
      <c r="C87" t="s">
        <v>3396</v>
      </c>
      <c r="D87" t="s">
        <v>3406</v>
      </c>
      <c r="E87" t="s">
        <v>3407</v>
      </c>
      <c r="F87" t="s">
        <v>3232</v>
      </c>
      <c r="G87" t="s">
        <v>3408</v>
      </c>
    </row>
    <row r="88" spans="1:7" ht="11.25" customHeight="1">
      <c r="A88" t="s">
        <v>14</v>
      </c>
      <c r="B88" t="s">
        <v>3395</v>
      </c>
      <c r="C88" t="s">
        <v>3396</v>
      </c>
      <c r="D88" t="s">
        <v>3409</v>
      </c>
      <c r="E88" t="s">
        <v>3410</v>
      </c>
      <c r="F88" t="s">
        <v>3232</v>
      </c>
      <c r="G88" t="s">
        <v>3411</v>
      </c>
    </row>
    <row r="89" spans="1:7" ht="11.25" customHeight="1">
      <c r="A89" t="s">
        <v>14</v>
      </c>
      <c r="B89" t="s">
        <v>3395</v>
      </c>
      <c r="C89" t="s">
        <v>3396</v>
      </c>
      <c r="D89" t="s">
        <v>3412</v>
      </c>
      <c r="E89" t="s">
        <v>3413</v>
      </c>
      <c r="F89" t="s">
        <v>3232</v>
      </c>
      <c r="G89" t="s">
        <v>3414</v>
      </c>
    </row>
    <row r="90" spans="1:7" ht="11.25" customHeight="1">
      <c r="A90" t="s">
        <v>14</v>
      </c>
      <c r="B90" t="s">
        <v>3395</v>
      </c>
      <c r="C90" t="s">
        <v>3396</v>
      </c>
      <c r="D90" t="s">
        <v>3415</v>
      </c>
      <c r="E90" t="s">
        <v>3416</v>
      </c>
      <c r="F90" t="s">
        <v>3232</v>
      </c>
      <c r="G90" t="s">
        <v>3417</v>
      </c>
    </row>
    <row r="91" spans="1:7" ht="11.25" customHeight="1">
      <c r="A91" t="s">
        <v>14</v>
      </c>
      <c r="B91" t="s">
        <v>3395</v>
      </c>
      <c r="C91" t="s">
        <v>3396</v>
      </c>
      <c r="D91" t="s">
        <v>3418</v>
      </c>
      <c r="E91" t="s">
        <v>3419</v>
      </c>
      <c r="F91" t="s">
        <v>3232</v>
      </c>
      <c r="G91" t="s">
        <v>3420</v>
      </c>
    </row>
    <row r="92" spans="1:7" ht="11.25" customHeight="1">
      <c r="A92" t="s">
        <v>14</v>
      </c>
      <c r="B92" t="s">
        <v>3395</v>
      </c>
      <c r="C92" t="s">
        <v>3396</v>
      </c>
      <c r="D92" t="s">
        <v>3421</v>
      </c>
      <c r="E92" t="s">
        <v>3422</v>
      </c>
      <c r="F92" t="s">
        <v>3232</v>
      </c>
      <c r="G92" t="s">
        <v>3423</v>
      </c>
    </row>
    <row r="93" spans="1:7" ht="11.25" customHeight="1">
      <c r="A93" t="s">
        <v>14</v>
      </c>
      <c r="B93" t="s">
        <v>3395</v>
      </c>
      <c r="C93" t="s">
        <v>3396</v>
      </c>
      <c r="D93" t="s">
        <v>3424</v>
      </c>
      <c r="E93" t="s">
        <v>3425</v>
      </c>
      <c r="F93" t="s">
        <v>3232</v>
      </c>
      <c r="G93" t="s">
        <v>3426</v>
      </c>
    </row>
    <row r="94" spans="1:7" ht="11.25" customHeight="1">
      <c r="A94" t="s">
        <v>14</v>
      </c>
      <c r="B94" t="s">
        <v>3395</v>
      </c>
      <c r="C94" t="s">
        <v>3396</v>
      </c>
      <c r="D94" t="s">
        <v>3427</v>
      </c>
      <c r="E94" t="s">
        <v>3428</v>
      </c>
      <c r="F94" t="s">
        <v>3232</v>
      </c>
      <c r="G94" t="s">
        <v>3429</v>
      </c>
    </row>
    <row r="95" spans="1:7" ht="11.25" customHeight="1">
      <c r="A95" t="s">
        <v>14</v>
      </c>
      <c r="B95" t="s">
        <v>3395</v>
      </c>
      <c r="C95" t="s">
        <v>3396</v>
      </c>
      <c r="D95" t="s">
        <v>3430</v>
      </c>
      <c r="E95" t="s">
        <v>3431</v>
      </c>
      <c r="F95" t="s">
        <v>3232</v>
      </c>
      <c r="G95" t="s">
        <v>3432</v>
      </c>
    </row>
    <row r="96" spans="1:7" ht="11.25" customHeight="1">
      <c r="A96" t="s">
        <v>14</v>
      </c>
      <c r="B96" t="s">
        <v>3395</v>
      </c>
      <c r="C96" t="s">
        <v>3396</v>
      </c>
      <c r="D96" t="s">
        <v>3433</v>
      </c>
      <c r="E96" t="s">
        <v>3434</v>
      </c>
      <c r="F96" t="s">
        <v>3232</v>
      </c>
      <c r="G96" t="s">
        <v>3435</v>
      </c>
    </row>
    <row r="97" spans="1:7" ht="11.25" customHeight="1">
      <c r="A97" t="s">
        <v>14</v>
      </c>
      <c r="B97" t="s">
        <v>3395</v>
      </c>
      <c r="C97" t="s">
        <v>3396</v>
      </c>
      <c r="D97" t="s">
        <v>3436</v>
      </c>
      <c r="E97" t="s">
        <v>3437</v>
      </c>
      <c r="F97" t="s">
        <v>3232</v>
      </c>
      <c r="G97" t="s">
        <v>3438</v>
      </c>
    </row>
    <row r="98" spans="1:7" ht="11.25" customHeight="1">
      <c r="A98" t="s">
        <v>14</v>
      </c>
      <c r="B98" t="s">
        <v>123</v>
      </c>
      <c r="C98" t="s">
        <v>124</v>
      </c>
      <c r="D98" t="s">
        <v>123</v>
      </c>
      <c r="E98" t="s">
        <v>124</v>
      </c>
      <c r="F98" t="s">
        <v>3311</v>
      </c>
      <c r="G98" t="s">
        <v>122</v>
      </c>
    </row>
    <row r="99" spans="1:7" ht="11.25" customHeight="1">
      <c r="A99" t="s">
        <v>14</v>
      </c>
      <c r="B99" t="s">
        <v>3439</v>
      </c>
      <c r="C99" t="s">
        <v>3440</v>
      </c>
      <c r="D99" t="s">
        <v>3439</v>
      </c>
      <c r="E99" t="s">
        <v>3440</v>
      </c>
      <c r="F99" t="s">
        <v>3311</v>
      </c>
      <c r="G99" t="s">
        <v>3441</v>
      </c>
    </row>
    <row r="100" spans="1:7" ht="11.25" customHeight="1">
      <c r="A100" t="s">
        <v>14</v>
      </c>
      <c r="B100" t="s">
        <v>3442</v>
      </c>
      <c r="C100" t="s">
        <v>3443</v>
      </c>
      <c r="D100" t="s">
        <v>3442</v>
      </c>
      <c r="E100" t="s">
        <v>3443</v>
      </c>
      <c r="F100" t="s">
        <v>3311</v>
      </c>
      <c r="G100" t="s">
        <v>3444</v>
      </c>
    </row>
    <row r="101" spans="1:7" ht="11.25" customHeight="1">
      <c r="A101" t="s">
        <v>14</v>
      </c>
      <c r="B101" t="s">
        <v>127</v>
      </c>
      <c r="C101" t="s">
        <v>128</v>
      </c>
      <c r="D101" t="s">
        <v>127</v>
      </c>
      <c r="E101" t="s">
        <v>128</v>
      </c>
      <c r="F101" t="s">
        <v>3311</v>
      </c>
      <c r="G101" t="s">
        <v>126</v>
      </c>
    </row>
    <row r="102" spans="1:7" ht="11.25" customHeight="1">
      <c r="A102" t="s">
        <v>14</v>
      </c>
      <c r="B102" t="s">
        <v>131</v>
      </c>
      <c r="C102" t="s">
        <v>132</v>
      </c>
      <c r="D102" t="s">
        <v>131</v>
      </c>
      <c r="E102" t="s">
        <v>132</v>
      </c>
      <c r="F102" t="s">
        <v>3311</v>
      </c>
      <c r="G102" t="s">
        <v>130</v>
      </c>
    </row>
    <row r="103" spans="1:7" ht="11.25" customHeight="1">
      <c r="A103" t="s">
        <v>14</v>
      </c>
      <c r="B103" t="s">
        <v>134</v>
      </c>
      <c r="C103" t="s">
        <v>135</v>
      </c>
      <c r="D103" t="s">
        <v>134</v>
      </c>
      <c r="E103" t="s">
        <v>135</v>
      </c>
      <c r="F103" t="s">
        <v>3311</v>
      </c>
      <c r="G103" t="s">
        <v>133</v>
      </c>
    </row>
    <row r="104" spans="1:7" ht="11.25" customHeight="1">
      <c r="A104" t="s">
        <v>14</v>
      </c>
      <c r="B104" t="s">
        <v>138</v>
      </c>
      <c r="C104" t="s">
        <v>139</v>
      </c>
      <c r="D104" t="s">
        <v>138</v>
      </c>
      <c r="E104" t="s">
        <v>139</v>
      </c>
      <c r="F104" t="s">
        <v>3311</v>
      </c>
      <c r="G104" t="s">
        <v>137</v>
      </c>
    </row>
    <row r="105" spans="1:7" ht="11.25" customHeight="1">
      <c r="A105" t="s">
        <v>14</v>
      </c>
      <c r="B105" t="s">
        <v>142</v>
      </c>
      <c r="C105" t="s">
        <v>143</v>
      </c>
      <c r="D105" t="s">
        <v>142</v>
      </c>
      <c r="E105" t="s">
        <v>143</v>
      </c>
      <c r="F105" t="s">
        <v>3227</v>
      </c>
      <c r="G105" t="s">
        <v>141</v>
      </c>
    </row>
    <row r="106" spans="1:7" ht="11.25" customHeight="1">
      <c r="A106" t="s">
        <v>14</v>
      </c>
      <c r="B106" t="s">
        <v>3445</v>
      </c>
      <c r="C106" t="s">
        <v>3446</v>
      </c>
      <c r="D106" t="s">
        <v>3445</v>
      </c>
      <c r="E106" t="s">
        <v>3446</v>
      </c>
      <c r="F106" t="s">
        <v>3229</v>
      </c>
      <c r="G106" t="s">
        <v>3447</v>
      </c>
    </row>
    <row r="107" spans="1:7" ht="11.25" customHeight="1">
      <c r="A107" t="s">
        <v>14</v>
      </c>
      <c r="B107" t="s">
        <v>3445</v>
      </c>
      <c r="C107" t="s">
        <v>3446</v>
      </c>
      <c r="D107" t="s">
        <v>3448</v>
      </c>
      <c r="E107" t="s">
        <v>3449</v>
      </c>
      <c r="F107" t="s">
        <v>3232</v>
      </c>
      <c r="G107" t="s">
        <v>3450</v>
      </c>
    </row>
    <row r="108" spans="1:7" ht="11.25" customHeight="1">
      <c r="A108" t="s">
        <v>14</v>
      </c>
      <c r="B108" t="s">
        <v>3445</v>
      </c>
      <c r="C108" t="s">
        <v>3446</v>
      </c>
      <c r="D108" t="s">
        <v>3451</v>
      </c>
      <c r="E108" t="s">
        <v>3452</v>
      </c>
      <c r="F108" t="s">
        <v>3232</v>
      </c>
      <c r="G108" t="s">
        <v>3453</v>
      </c>
    </row>
    <row r="109" spans="1:7" ht="11.25" customHeight="1">
      <c r="A109" t="s">
        <v>14</v>
      </c>
      <c r="B109" t="s">
        <v>3445</v>
      </c>
      <c r="C109" t="s">
        <v>3446</v>
      </c>
      <c r="D109" t="s">
        <v>3454</v>
      </c>
      <c r="E109" t="s">
        <v>3455</v>
      </c>
      <c r="F109" t="s">
        <v>3232</v>
      </c>
      <c r="G109" t="s">
        <v>3456</v>
      </c>
    </row>
    <row r="110" spans="1:7" ht="11.25" customHeight="1">
      <c r="A110" t="s">
        <v>14</v>
      </c>
      <c r="B110" t="s">
        <v>3445</v>
      </c>
      <c r="C110" t="s">
        <v>3446</v>
      </c>
      <c r="D110" t="s">
        <v>3457</v>
      </c>
      <c r="E110" t="s">
        <v>3458</v>
      </c>
      <c r="F110" t="s">
        <v>3232</v>
      </c>
      <c r="G110" t="s">
        <v>3459</v>
      </c>
    </row>
    <row r="111" spans="1:7" ht="11.25" customHeight="1">
      <c r="A111" t="s">
        <v>14</v>
      </c>
      <c r="B111" t="s">
        <v>3445</v>
      </c>
      <c r="C111" t="s">
        <v>3446</v>
      </c>
      <c r="D111" t="s">
        <v>3460</v>
      </c>
      <c r="E111" t="s">
        <v>3461</v>
      </c>
      <c r="F111" t="s">
        <v>3232</v>
      </c>
      <c r="G111" t="s">
        <v>3462</v>
      </c>
    </row>
    <row r="112" spans="1:7" ht="11.25" customHeight="1">
      <c r="A112" t="s">
        <v>14</v>
      </c>
      <c r="B112" t="s">
        <v>3445</v>
      </c>
      <c r="C112" t="s">
        <v>3446</v>
      </c>
      <c r="D112" t="s">
        <v>3463</v>
      </c>
      <c r="E112" t="s">
        <v>3464</v>
      </c>
      <c r="F112" t="s">
        <v>3232</v>
      </c>
      <c r="G112" t="s">
        <v>3465</v>
      </c>
    </row>
    <row r="113" spans="1:7" ht="11.25" customHeight="1">
      <c r="A113" t="s">
        <v>14</v>
      </c>
      <c r="B113" t="s">
        <v>3445</v>
      </c>
      <c r="C113" t="s">
        <v>3446</v>
      </c>
      <c r="D113" t="s">
        <v>3466</v>
      </c>
      <c r="E113" t="s">
        <v>3467</v>
      </c>
      <c r="F113" t="s">
        <v>3232</v>
      </c>
      <c r="G113" t="s">
        <v>3468</v>
      </c>
    </row>
    <row r="114" spans="1:7" ht="11.25" customHeight="1">
      <c r="A114" t="s">
        <v>14</v>
      </c>
      <c r="B114" t="s">
        <v>3445</v>
      </c>
      <c r="C114" t="s">
        <v>3446</v>
      </c>
      <c r="D114" t="s">
        <v>3469</v>
      </c>
      <c r="E114" t="s">
        <v>3470</v>
      </c>
      <c r="F114" t="s">
        <v>3232</v>
      </c>
      <c r="G114" t="s">
        <v>3471</v>
      </c>
    </row>
    <row r="115" spans="1:7" ht="11.25" customHeight="1">
      <c r="A115" t="s">
        <v>14</v>
      </c>
      <c r="B115" t="s">
        <v>146</v>
      </c>
      <c r="C115" t="s">
        <v>147</v>
      </c>
      <c r="D115" t="s">
        <v>146</v>
      </c>
      <c r="E115" t="s">
        <v>147</v>
      </c>
      <c r="F115" t="s">
        <v>3311</v>
      </c>
      <c r="G115" t="s">
        <v>145</v>
      </c>
    </row>
    <row r="116" spans="1:7" ht="11.25" customHeight="1">
      <c r="A116" t="s">
        <v>14</v>
      </c>
      <c r="B116" t="s">
        <v>3472</v>
      </c>
      <c r="C116" t="s">
        <v>3473</v>
      </c>
      <c r="D116" t="s">
        <v>3472</v>
      </c>
      <c r="E116" t="s">
        <v>3473</v>
      </c>
      <c r="F116" t="s">
        <v>3227</v>
      </c>
      <c r="G116" t="s">
        <v>3474</v>
      </c>
    </row>
    <row r="117" spans="1:7" ht="11.25" customHeight="1">
      <c r="A117" t="s">
        <v>14</v>
      </c>
      <c r="B117" t="s">
        <v>3475</v>
      </c>
      <c r="C117" t="s">
        <v>3476</v>
      </c>
      <c r="D117" t="s">
        <v>3477</v>
      </c>
      <c r="E117" t="s">
        <v>3478</v>
      </c>
      <c r="F117" t="s">
        <v>3324</v>
      </c>
      <c r="G117" t="s">
        <v>3479</v>
      </c>
    </row>
    <row r="118" spans="1:7" ht="11.25" customHeight="1">
      <c r="A118" t="s">
        <v>14</v>
      </c>
      <c r="B118" t="s">
        <v>3475</v>
      </c>
      <c r="C118" t="s">
        <v>3476</v>
      </c>
      <c r="D118" t="s">
        <v>3475</v>
      </c>
      <c r="E118" t="s">
        <v>3476</v>
      </c>
      <c r="F118" t="s">
        <v>3229</v>
      </c>
      <c r="G118" t="s">
        <v>3480</v>
      </c>
    </row>
    <row r="119" spans="1:7" ht="11.25" customHeight="1">
      <c r="A119" t="s">
        <v>14</v>
      </c>
      <c r="B119" t="s">
        <v>3475</v>
      </c>
      <c r="C119" t="s">
        <v>3476</v>
      </c>
      <c r="D119" t="s">
        <v>3481</v>
      </c>
      <c r="E119" t="s">
        <v>3482</v>
      </c>
      <c r="F119" t="s">
        <v>3232</v>
      </c>
      <c r="G119" t="s">
        <v>3483</v>
      </c>
    </row>
    <row r="120" spans="1:7" ht="11.25" customHeight="1">
      <c r="A120" t="s">
        <v>14</v>
      </c>
      <c r="B120" t="s">
        <v>3475</v>
      </c>
      <c r="C120" t="s">
        <v>3476</v>
      </c>
      <c r="D120" t="s">
        <v>3484</v>
      </c>
      <c r="E120" t="s">
        <v>3485</v>
      </c>
      <c r="F120" t="s">
        <v>3232</v>
      </c>
      <c r="G120" t="s">
        <v>3486</v>
      </c>
    </row>
    <row r="121" spans="1:7" ht="11.25" customHeight="1">
      <c r="A121" t="s">
        <v>14</v>
      </c>
      <c r="B121" t="s">
        <v>3475</v>
      </c>
      <c r="C121" t="s">
        <v>3476</v>
      </c>
      <c r="D121" t="s">
        <v>3487</v>
      </c>
      <c r="E121" t="s">
        <v>3488</v>
      </c>
      <c r="F121" t="s">
        <v>3232</v>
      </c>
      <c r="G121" t="s">
        <v>3489</v>
      </c>
    </row>
    <row r="122" spans="1:7" ht="11.25" customHeight="1">
      <c r="A122" t="s">
        <v>14</v>
      </c>
      <c r="B122" t="s">
        <v>3475</v>
      </c>
      <c r="C122" t="s">
        <v>3476</v>
      </c>
      <c r="D122" t="s">
        <v>3490</v>
      </c>
      <c r="E122" t="s">
        <v>3491</v>
      </c>
      <c r="F122" t="s">
        <v>3232</v>
      </c>
      <c r="G122" t="s">
        <v>3492</v>
      </c>
    </row>
    <row r="123" spans="1:7" ht="11.25" customHeight="1">
      <c r="A123" t="s">
        <v>14</v>
      </c>
      <c r="B123" t="s">
        <v>3475</v>
      </c>
      <c r="C123" t="s">
        <v>3476</v>
      </c>
      <c r="D123" t="s">
        <v>3493</v>
      </c>
      <c r="E123" t="s">
        <v>3494</v>
      </c>
      <c r="F123" t="s">
        <v>3232</v>
      </c>
      <c r="G123" t="s">
        <v>3495</v>
      </c>
    </row>
    <row r="124" spans="1:7" ht="11.25" customHeight="1">
      <c r="A124" t="s">
        <v>14</v>
      </c>
      <c r="B124" t="s">
        <v>3475</v>
      </c>
      <c r="C124" t="s">
        <v>3476</v>
      </c>
      <c r="D124" t="s">
        <v>3496</v>
      </c>
      <c r="E124" t="s">
        <v>3497</v>
      </c>
      <c r="F124" t="s">
        <v>3498</v>
      </c>
      <c r="G124" t="s">
        <v>3499</v>
      </c>
    </row>
    <row r="125" spans="1:7" ht="11.25" customHeight="1">
      <c r="A125" t="s">
        <v>14</v>
      </c>
      <c r="B125" t="s">
        <v>3475</v>
      </c>
      <c r="C125" t="s">
        <v>3476</v>
      </c>
      <c r="D125" t="s">
        <v>3500</v>
      </c>
      <c r="E125" t="s">
        <v>3501</v>
      </c>
      <c r="F125" t="s">
        <v>3498</v>
      </c>
      <c r="G125" t="s">
        <v>3502</v>
      </c>
    </row>
    <row r="126" spans="1:7" ht="11.25" customHeight="1">
      <c r="A126" t="s">
        <v>14</v>
      </c>
      <c r="B126" t="s">
        <v>3475</v>
      </c>
      <c r="C126" t="s">
        <v>3476</v>
      </c>
      <c r="D126" t="s">
        <v>3503</v>
      </c>
      <c r="E126" t="s">
        <v>3504</v>
      </c>
      <c r="F126" t="s">
        <v>3232</v>
      </c>
      <c r="G126" t="s">
        <v>3505</v>
      </c>
    </row>
    <row r="127" spans="1:7" ht="11.25" customHeight="1">
      <c r="A127" t="s">
        <v>14</v>
      </c>
      <c r="B127" t="s">
        <v>3475</v>
      </c>
      <c r="C127" t="s">
        <v>3476</v>
      </c>
      <c r="D127" t="s">
        <v>3506</v>
      </c>
      <c r="E127" t="s">
        <v>3507</v>
      </c>
      <c r="F127" t="s">
        <v>3232</v>
      </c>
      <c r="G127" t="s">
        <v>3508</v>
      </c>
    </row>
    <row r="128" spans="1:7" ht="11.25" customHeight="1">
      <c r="A128" t="s">
        <v>14</v>
      </c>
      <c r="B128" t="s">
        <v>3475</v>
      </c>
      <c r="C128" t="s">
        <v>3476</v>
      </c>
      <c r="D128" t="s">
        <v>3509</v>
      </c>
      <c r="E128" t="s">
        <v>3510</v>
      </c>
      <c r="F128" t="s">
        <v>3232</v>
      </c>
      <c r="G128" t="s">
        <v>3511</v>
      </c>
    </row>
    <row r="129" spans="1:7" ht="11.25" customHeight="1">
      <c r="A129" t="s">
        <v>14</v>
      </c>
      <c r="B129" t="s">
        <v>3475</v>
      </c>
      <c r="C129" t="s">
        <v>3476</v>
      </c>
      <c r="D129" t="s">
        <v>3512</v>
      </c>
      <c r="E129" t="s">
        <v>3513</v>
      </c>
      <c r="F129" t="s">
        <v>3232</v>
      </c>
      <c r="G129" t="s">
        <v>3514</v>
      </c>
    </row>
    <row r="130" spans="1:7" ht="11.25" customHeight="1">
      <c r="A130" t="s">
        <v>14</v>
      </c>
      <c r="B130" t="s">
        <v>3475</v>
      </c>
      <c r="C130" t="s">
        <v>3476</v>
      </c>
      <c r="D130" t="s">
        <v>3515</v>
      </c>
      <c r="E130" t="s">
        <v>3516</v>
      </c>
      <c r="F130" t="s">
        <v>3232</v>
      </c>
      <c r="G130" t="s">
        <v>3517</v>
      </c>
    </row>
    <row r="131" spans="1:7" ht="11.25" customHeight="1">
      <c r="A131" t="s">
        <v>14</v>
      </c>
      <c r="B131" t="s">
        <v>3475</v>
      </c>
      <c r="C131" t="s">
        <v>3476</v>
      </c>
      <c r="D131" t="s">
        <v>3518</v>
      </c>
      <c r="E131" t="s">
        <v>3519</v>
      </c>
      <c r="F131" t="s">
        <v>3232</v>
      </c>
      <c r="G131" t="s">
        <v>3520</v>
      </c>
    </row>
    <row r="132" spans="1:7" ht="11.25" customHeight="1">
      <c r="A132" t="s">
        <v>14</v>
      </c>
      <c r="B132" t="s">
        <v>3475</v>
      </c>
      <c r="C132" t="s">
        <v>3476</v>
      </c>
      <c r="D132" t="s">
        <v>3521</v>
      </c>
      <c r="E132" t="s">
        <v>3522</v>
      </c>
      <c r="F132" t="s">
        <v>3232</v>
      </c>
      <c r="G132" t="s">
        <v>3523</v>
      </c>
    </row>
    <row r="133" spans="1:7" ht="11.25" customHeight="1">
      <c r="A133" t="s">
        <v>14</v>
      </c>
      <c r="B133" t="s">
        <v>150</v>
      </c>
      <c r="C133" t="s">
        <v>151</v>
      </c>
      <c r="D133" t="s">
        <v>150</v>
      </c>
      <c r="E133" t="s">
        <v>151</v>
      </c>
      <c r="F133" t="s">
        <v>3311</v>
      </c>
      <c r="G133" t="s">
        <v>149</v>
      </c>
    </row>
    <row r="134" spans="1:7" ht="11.25" customHeight="1">
      <c r="A134" t="s">
        <v>14</v>
      </c>
      <c r="B134" t="s">
        <v>3524</v>
      </c>
      <c r="C134" t="s">
        <v>3525</v>
      </c>
      <c r="D134" t="s">
        <v>3524</v>
      </c>
      <c r="E134" t="s">
        <v>3525</v>
      </c>
      <c r="F134" t="s">
        <v>3227</v>
      </c>
      <c r="G134" t="s">
        <v>3526</v>
      </c>
    </row>
    <row r="135" spans="1:7" ht="11.25" customHeight="1">
      <c r="A135" t="s">
        <v>14</v>
      </c>
      <c r="B135" t="s">
        <v>3527</v>
      </c>
      <c r="C135" t="s">
        <v>3528</v>
      </c>
      <c r="D135" t="s">
        <v>3529</v>
      </c>
      <c r="E135" t="s">
        <v>3530</v>
      </c>
      <c r="F135" t="s">
        <v>3232</v>
      </c>
      <c r="G135" t="s">
        <v>3531</v>
      </c>
    </row>
    <row r="136" spans="1:7" ht="11.25" customHeight="1">
      <c r="A136" t="s">
        <v>14</v>
      </c>
      <c r="B136" t="s">
        <v>3527</v>
      </c>
      <c r="C136" t="s">
        <v>3528</v>
      </c>
      <c r="D136" t="s">
        <v>3532</v>
      </c>
      <c r="E136" t="s">
        <v>3533</v>
      </c>
      <c r="F136" t="s">
        <v>3232</v>
      </c>
      <c r="G136" t="s">
        <v>3534</v>
      </c>
    </row>
    <row r="137" spans="1:7" ht="11.25" customHeight="1">
      <c r="A137" t="s">
        <v>14</v>
      </c>
      <c r="B137" t="s">
        <v>3527</v>
      </c>
      <c r="C137" t="s">
        <v>3528</v>
      </c>
      <c r="D137" t="s">
        <v>3535</v>
      </c>
      <c r="E137" t="s">
        <v>3536</v>
      </c>
      <c r="F137" t="s">
        <v>3324</v>
      </c>
      <c r="G137" t="s">
        <v>3537</v>
      </c>
    </row>
    <row r="138" spans="1:7" ht="11.25" customHeight="1">
      <c r="A138" t="s">
        <v>14</v>
      </c>
      <c r="B138" t="s">
        <v>3527</v>
      </c>
      <c r="C138" t="s">
        <v>3528</v>
      </c>
      <c r="D138" t="s">
        <v>3538</v>
      </c>
      <c r="E138" t="s">
        <v>3539</v>
      </c>
      <c r="F138" t="s">
        <v>3232</v>
      </c>
      <c r="G138" t="s">
        <v>3540</v>
      </c>
    </row>
    <row r="139" spans="1:7" ht="11.25" customHeight="1">
      <c r="A139" t="s">
        <v>14</v>
      </c>
      <c r="B139" t="s">
        <v>3527</v>
      </c>
      <c r="C139" t="s">
        <v>3528</v>
      </c>
      <c r="D139" t="s">
        <v>3541</v>
      </c>
      <c r="E139" t="s">
        <v>3542</v>
      </c>
      <c r="F139" t="s">
        <v>3232</v>
      </c>
      <c r="G139" t="s">
        <v>3543</v>
      </c>
    </row>
    <row r="140" spans="1:7" ht="11.25" customHeight="1">
      <c r="A140" t="s">
        <v>14</v>
      </c>
      <c r="B140" t="s">
        <v>3527</v>
      </c>
      <c r="C140" t="s">
        <v>3528</v>
      </c>
      <c r="D140" t="s">
        <v>3527</v>
      </c>
      <c r="E140" t="s">
        <v>3528</v>
      </c>
      <c r="F140" t="s">
        <v>3229</v>
      </c>
      <c r="G140" t="s">
        <v>3544</v>
      </c>
    </row>
    <row r="141" spans="1:7" ht="11.25" customHeight="1">
      <c r="A141" t="s">
        <v>14</v>
      </c>
      <c r="B141" t="s">
        <v>3527</v>
      </c>
      <c r="C141" t="s">
        <v>3528</v>
      </c>
      <c r="D141" t="s">
        <v>3545</v>
      </c>
      <c r="E141" t="s">
        <v>3546</v>
      </c>
      <c r="F141" t="s">
        <v>3232</v>
      </c>
      <c r="G141" t="s">
        <v>3547</v>
      </c>
    </row>
    <row r="142" spans="1:7" ht="11.25" customHeight="1">
      <c r="A142" t="s">
        <v>14</v>
      </c>
      <c r="B142" t="s">
        <v>3527</v>
      </c>
      <c r="C142" t="s">
        <v>3528</v>
      </c>
      <c r="D142" t="s">
        <v>3548</v>
      </c>
      <c r="E142" t="s">
        <v>3549</v>
      </c>
      <c r="F142" t="s">
        <v>3232</v>
      </c>
      <c r="G142" t="s">
        <v>3550</v>
      </c>
    </row>
    <row r="143" spans="1:7" ht="11.25" customHeight="1">
      <c r="A143" t="s">
        <v>14</v>
      </c>
      <c r="B143" t="s">
        <v>3527</v>
      </c>
      <c r="C143" t="s">
        <v>3528</v>
      </c>
      <c r="D143" t="s">
        <v>3551</v>
      </c>
      <c r="E143" t="s">
        <v>3552</v>
      </c>
      <c r="F143" t="s">
        <v>3232</v>
      </c>
      <c r="G143" t="s">
        <v>3553</v>
      </c>
    </row>
    <row r="144" spans="1:7" ht="11.25" customHeight="1">
      <c r="A144" t="s">
        <v>14</v>
      </c>
      <c r="B144" t="s">
        <v>3527</v>
      </c>
      <c r="C144" t="s">
        <v>3528</v>
      </c>
      <c r="D144" t="s">
        <v>3554</v>
      </c>
      <c r="E144" t="s">
        <v>3555</v>
      </c>
      <c r="F144" t="s">
        <v>3232</v>
      </c>
      <c r="G144" t="s">
        <v>3556</v>
      </c>
    </row>
    <row r="145" spans="1:7" ht="11.25" customHeight="1">
      <c r="A145" t="s">
        <v>14</v>
      </c>
      <c r="B145" t="s">
        <v>3527</v>
      </c>
      <c r="C145" t="s">
        <v>3528</v>
      </c>
      <c r="D145" t="s">
        <v>3557</v>
      </c>
      <c r="E145" t="s">
        <v>3558</v>
      </c>
      <c r="F145" t="s">
        <v>3232</v>
      </c>
      <c r="G145" t="s">
        <v>3559</v>
      </c>
    </row>
    <row r="146" spans="1:7" ht="11.25" customHeight="1">
      <c r="A146" t="s">
        <v>14</v>
      </c>
      <c r="B146" t="s">
        <v>3527</v>
      </c>
      <c r="C146" t="s">
        <v>3528</v>
      </c>
      <c r="D146" t="s">
        <v>3560</v>
      </c>
      <c r="E146" t="s">
        <v>3561</v>
      </c>
      <c r="F146" t="s">
        <v>3232</v>
      </c>
      <c r="G146" t="s">
        <v>3562</v>
      </c>
    </row>
    <row r="147" spans="1:7" ht="11.25" customHeight="1">
      <c r="A147" t="s">
        <v>14</v>
      </c>
      <c r="B147" t="s">
        <v>3527</v>
      </c>
      <c r="C147" t="s">
        <v>3528</v>
      </c>
      <c r="D147" t="s">
        <v>3563</v>
      </c>
      <c r="E147" t="s">
        <v>3564</v>
      </c>
      <c r="F147" t="s">
        <v>3232</v>
      </c>
      <c r="G147" t="s">
        <v>3565</v>
      </c>
    </row>
    <row r="148" spans="1:7" ht="11.25" customHeight="1">
      <c r="A148" t="s">
        <v>14</v>
      </c>
      <c r="B148" t="s">
        <v>3527</v>
      </c>
      <c r="C148" t="s">
        <v>3528</v>
      </c>
      <c r="D148" t="s">
        <v>3566</v>
      </c>
      <c r="E148" t="s">
        <v>3567</v>
      </c>
      <c r="F148" t="s">
        <v>3232</v>
      </c>
      <c r="G148" t="s">
        <v>3568</v>
      </c>
    </row>
    <row r="149" spans="1:7" ht="11.25" customHeight="1">
      <c r="A149" t="s">
        <v>14</v>
      </c>
      <c r="B149" t="s">
        <v>3527</v>
      </c>
      <c r="C149" t="s">
        <v>3528</v>
      </c>
      <c r="D149" t="s">
        <v>3569</v>
      </c>
      <c r="E149" t="s">
        <v>3570</v>
      </c>
      <c r="F149" t="s">
        <v>3232</v>
      </c>
      <c r="G149" t="s">
        <v>3571</v>
      </c>
    </row>
    <row r="150" spans="1:7" ht="11.25" customHeight="1">
      <c r="A150" t="s">
        <v>14</v>
      </c>
      <c r="B150" t="s">
        <v>3527</v>
      </c>
      <c r="C150" t="s">
        <v>3528</v>
      </c>
      <c r="D150" t="s">
        <v>3572</v>
      </c>
      <c r="E150" t="s">
        <v>3573</v>
      </c>
      <c r="F150" t="s">
        <v>3232</v>
      </c>
      <c r="G150" t="s">
        <v>3574</v>
      </c>
    </row>
    <row r="151" spans="1:7" ht="11.25" customHeight="1">
      <c r="A151" t="s">
        <v>14</v>
      </c>
      <c r="B151" t="s">
        <v>3527</v>
      </c>
      <c r="C151" t="s">
        <v>3528</v>
      </c>
      <c r="D151" t="s">
        <v>3575</v>
      </c>
      <c r="E151" t="s">
        <v>3576</v>
      </c>
      <c r="F151" t="s">
        <v>3232</v>
      </c>
      <c r="G151" t="s">
        <v>3577</v>
      </c>
    </row>
    <row r="152" spans="1:7" ht="11.25" customHeight="1">
      <c r="A152" t="s">
        <v>14</v>
      </c>
      <c r="B152" t="s">
        <v>154</v>
      </c>
      <c r="C152" t="s">
        <v>155</v>
      </c>
      <c r="D152" t="s">
        <v>154</v>
      </c>
      <c r="E152" t="s">
        <v>155</v>
      </c>
      <c r="F152" t="s">
        <v>3311</v>
      </c>
      <c r="G152" t="s">
        <v>153</v>
      </c>
    </row>
    <row r="153" spans="1:7" ht="11.25" customHeight="1">
      <c r="A153" t="s">
        <v>14</v>
      </c>
      <c r="B153" t="s">
        <v>3578</v>
      </c>
      <c r="C153" t="s">
        <v>3579</v>
      </c>
      <c r="D153" t="s">
        <v>3578</v>
      </c>
      <c r="E153" t="s">
        <v>3579</v>
      </c>
      <c r="F153" t="s">
        <v>3227</v>
      </c>
      <c r="G153" t="s">
        <v>3580</v>
      </c>
    </row>
    <row r="154" spans="1:7" ht="11.25" customHeight="1">
      <c r="A154" t="s">
        <v>14</v>
      </c>
      <c r="B154" t="s">
        <v>3581</v>
      </c>
      <c r="C154" t="s">
        <v>3582</v>
      </c>
      <c r="D154" t="s">
        <v>3583</v>
      </c>
      <c r="E154" t="s">
        <v>3584</v>
      </c>
      <c r="F154" t="s">
        <v>3232</v>
      </c>
      <c r="G154" t="s">
        <v>3585</v>
      </c>
    </row>
    <row r="155" spans="1:7" ht="11.25" customHeight="1">
      <c r="A155" t="s">
        <v>14</v>
      </c>
      <c r="B155" t="s">
        <v>3581</v>
      </c>
      <c r="C155" t="s">
        <v>3582</v>
      </c>
      <c r="D155" t="s">
        <v>3586</v>
      </c>
      <c r="E155" t="s">
        <v>3587</v>
      </c>
      <c r="F155" t="s">
        <v>3324</v>
      </c>
      <c r="G155" t="s">
        <v>3588</v>
      </c>
    </row>
    <row r="156" spans="1:7" ht="11.25" customHeight="1">
      <c r="A156" t="s">
        <v>14</v>
      </c>
      <c r="B156" t="s">
        <v>3581</v>
      </c>
      <c r="C156" t="s">
        <v>3582</v>
      </c>
      <c r="D156" t="s">
        <v>3589</v>
      </c>
      <c r="E156" t="s">
        <v>3590</v>
      </c>
      <c r="F156" t="s">
        <v>3232</v>
      </c>
      <c r="G156" t="s">
        <v>3591</v>
      </c>
    </row>
    <row r="157" spans="1:7" ht="11.25" customHeight="1">
      <c r="A157" t="s">
        <v>14</v>
      </c>
      <c r="B157" t="s">
        <v>3581</v>
      </c>
      <c r="C157" t="s">
        <v>3582</v>
      </c>
      <c r="D157" t="s">
        <v>3581</v>
      </c>
      <c r="E157" t="s">
        <v>3582</v>
      </c>
      <c r="F157" t="s">
        <v>3229</v>
      </c>
      <c r="G157" t="s">
        <v>3592</v>
      </c>
    </row>
    <row r="158" spans="1:7" ht="11.25" customHeight="1">
      <c r="A158" t="s">
        <v>14</v>
      </c>
      <c r="B158" t="s">
        <v>3581</v>
      </c>
      <c r="C158" t="s">
        <v>3582</v>
      </c>
      <c r="D158" t="s">
        <v>3593</v>
      </c>
      <c r="E158" t="s">
        <v>3594</v>
      </c>
      <c r="F158" t="s">
        <v>3232</v>
      </c>
      <c r="G158" t="s">
        <v>3595</v>
      </c>
    </row>
    <row r="159" spans="1:7" ht="11.25" customHeight="1">
      <c r="A159" t="s">
        <v>14</v>
      </c>
      <c r="B159" t="s">
        <v>3581</v>
      </c>
      <c r="C159" t="s">
        <v>3582</v>
      </c>
      <c r="D159" t="s">
        <v>3596</v>
      </c>
      <c r="E159" t="s">
        <v>3597</v>
      </c>
      <c r="F159" t="s">
        <v>3232</v>
      </c>
      <c r="G159" t="s">
        <v>3598</v>
      </c>
    </row>
    <row r="160" spans="1:7" ht="11.25" customHeight="1">
      <c r="A160" t="s">
        <v>14</v>
      </c>
      <c r="B160" t="s">
        <v>3581</v>
      </c>
      <c r="C160" t="s">
        <v>3582</v>
      </c>
      <c r="D160" t="s">
        <v>3365</v>
      </c>
      <c r="E160" t="s">
        <v>3599</v>
      </c>
      <c r="F160" t="s">
        <v>3232</v>
      </c>
      <c r="G160" t="s">
        <v>3600</v>
      </c>
    </row>
    <row r="161" spans="1:7" ht="11.25" customHeight="1">
      <c r="A161" t="s">
        <v>14</v>
      </c>
      <c r="B161" t="s">
        <v>3581</v>
      </c>
      <c r="C161" t="s">
        <v>3582</v>
      </c>
      <c r="D161" t="s">
        <v>3601</v>
      </c>
      <c r="E161" t="s">
        <v>3602</v>
      </c>
      <c r="F161" t="s">
        <v>3232</v>
      </c>
      <c r="G161" t="s">
        <v>3603</v>
      </c>
    </row>
    <row r="162" spans="1:7" ht="11.25" customHeight="1">
      <c r="A162" t="s">
        <v>14</v>
      </c>
      <c r="B162" t="s">
        <v>3581</v>
      </c>
      <c r="C162" t="s">
        <v>3582</v>
      </c>
      <c r="D162" t="s">
        <v>3604</v>
      </c>
      <c r="E162" t="s">
        <v>3605</v>
      </c>
      <c r="F162" t="s">
        <v>3232</v>
      </c>
      <c r="G162" t="s">
        <v>3606</v>
      </c>
    </row>
    <row r="163" spans="1:7" ht="11.25" customHeight="1">
      <c r="A163" t="s">
        <v>14</v>
      </c>
      <c r="B163" t="s">
        <v>3581</v>
      </c>
      <c r="C163" t="s">
        <v>3582</v>
      </c>
      <c r="D163" t="s">
        <v>3607</v>
      </c>
      <c r="E163" t="s">
        <v>3608</v>
      </c>
      <c r="F163" t="s">
        <v>3232</v>
      </c>
      <c r="G163" t="s">
        <v>3609</v>
      </c>
    </row>
    <row r="164" spans="1:7" ht="11.25" customHeight="1">
      <c r="A164" t="s">
        <v>14</v>
      </c>
      <c r="B164" t="s">
        <v>3581</v>
      </c>
      <c r="C164" t="s">
        <v>3582</v>
      </c>
      <c r="D164" t="s">
        <v>3610</v>
      </c>
      <c r="E164" t="s">
        <v>3611</v>
      </c>
      <c r="F164" t="s">
        <v>3232</v>
      </c>
      <c r="G164" t="s">
        <v>3612</v>
      </c>
    </row>
    <row r="165" spans="1:7" ht="11.25" customHeight="1">
      <c r="A165" t="s">
        <v>14</v>
      </c>
      <c r="B165" t="s">
        <v>158</v>
      </c>
      <c r="C165" t="s">
        <v>159</v>
      </c>
      <c r="D165" t="s">
        <v>158</v>
      </c>
      <c r="E165" t="s">
        <v>159</v>
      </c>
      <c r="F165" t="s">
        <v>3227</v>
      </c>
      <c r="G165" t="s">
        <v>157</v>
      </c>
    </row>
    <row r="166" spans="1:7" ht="11.25" customHeight="1">
      <c r="A166" t="s">
        <v>14</v>
      </c>
      <c r="B166" t="s">
        <v>3613</v>
      </c>
      <c r="C166" t="s">
        <v>3614</v>
      </c>
      <c r="D166" t="s">
        <v>3615</v>
      </c>
      <c r="E166" t="s">
        <v>3616</v>
      </c>
      <c r="F166" t="s">
        <v>3232</v>
      </c>
      <c r="G166" t="s">
        <v>3617</v>
      </c>
    </row>
    <row r="167" spans="1:7" ht="11.25" customHeight="1">
      <c r="A167" t="s">
        <v>14</v>
      </c>
      <c r="B167" t="s">
        <v>3613</v>
      </c>
      <c r="C167" t="s">
        <v>3614</v>
      </c>
      <c r="D167" t="s">
        <v>3618</v>
      </c>
      <c r="E167" t="s">
        <v>3619</v>
      </c>
      <c r="F167" t="s">
        <v>3232</v>
      </c>
      <c r="G167" t="s">
        <v>3620</v>
      </c>
    </row>
    <row r="168" spans="1:7" ht="11.25" customHeight="1">
      <c r="A168" t="s">
        <v>14</v>
      </c>
      <c r="B168" t="s">
        <v>3613</v>
      </c>
      <c r="C168" t="s">
        <v>3614</v>
      </c>
      <c r="D168" t="s">
        <v>3621</v>
      </c>
      <c r="E168" t="s">
        <v>3622</v>
      </c>
      <c r="F168" t="s">
        <v>3232</v>
      </c>
      <c r="G168" t="s">
        <v>3623</v>
      </c>
    </row>
    <row r="169" spans="1:7" ht="11.25" customHeight="1">
      <c r="A169" t="s">
        <v>14</v>
      </c>
      <c r="B169" t="s">
        <v>3613</v>
      </c>
      <c r="C169" t="s">
        <v>3614</v>
      </c>
      <c r="D169" t="s">
        <v>3624</v>
      </c>
      <c r="E169" t="s">
        <v>3625</v>
      </c>
      <c r="F169" t="s">
        <v>3232</v>
      </c>
      <c r="G169" t="s">
        <v>3626</v>
      </c>
    </row>
    <row r="170" spans="1:7" ht="11.25" customHeight="1">
      <c r="A170" t="s">
        <v>14</v>
      </c>
      <c r="B170" t="s">
        <v>3613</v>
      </c>
      <c r="C170" t="s">
        <v>3614</v>
      </c>
      <c r="D170" t="s">
        <v>3627</v>
      </c>
      <c r="E170" t="s">
        <v>3628</v>
      </c>
      <c r="F170" t="s">
        <v>3232</v>
      </c>
      <c r="G170" t="s">
        <v>3629</v>
      </c>
    </row>
    <row r="171" spans="1:7" ht="11.25" customHeight="1">
      <c r="A171" t="s">
        <v>14</v>
      </c>
      <c r="B171" t="s">
        <v>3613</v>
      </c>
      <c r="C171" t="s">
        <v>3614</v>
      </c>
      <c r="D171" t="s">
        <v>3630</v>
      </c>
      <c r="E171" t="s">
        <v>3631</v>
      </c>
      <c r="F171" t="s">
        <v>3232</v>
      </c>
      <c r="G171" t="s">
        <v>3632</v>
      </c>
    </row>
    <row r="172" spans="1:7" ht="11.25" customHeight="1">
      <c r="A172" t="s">
        <v>14</v>
      </c>
      <c r="B172" t="s">
        <v>3613</v>
      </c>
      <c r="C172" t="s">
        <v>3614</v>
      </c>
      <c r="D172" t="s">
        <v>3633</v>
      </c>
      <c r="E172" t="s">
        <v>3634</v>
      </c>
      <c r="F172" t="s">
        <v>3232</v>
      </c>
      <c r="G172" t="s">
        <v>3635</v>
      </c>
    </row>
    <row r="173" spans="1:7" ht="11.25" customHeight="1">
      <c r="A173" t="s">
        <v>14</v>
      </c>
      <c r="B173" t="s">
        <v>3613</v>
      </c>
      <c r="C173" t="s">
        <v>3614</v>
      </c>
      <c r="D173" t="s">
        <v>3636</v>
      </c>
      <c r="E173" t="s">
        <v>3637</v>
      </c>
      <c r="F173" t="s">
        <v>3232</v>
      </c>
      <c r="G173" t="s">
        <v>3638</v>
      </c>
    </row>
    <row r="174" spans="1:7" ht="11.25" customHeight="1">
      <c r="A174" t="s">
        <v>14</v>
      </c>
      <c r="B174" t="s">
        <v>3613</v>
      </c>
      <c r="C174" t="s">
        <v>3614</v>
      </c>
      <c r="D174" t="s">
        <v>3613</v>
      </c>
      <c r="E174" t="s">
        <v>3614</v>
      </c>
      <c r="F174" t="s">
        <v>3229</v>
      </c>
      <c r="G174" t="s">
        <v>3639</v>
      </c>
    </row>
    <row r="175" spans="1:7" ht="11.25" customHeight="1">
      <c r="A175" t="s">
        <v>14</v>
      </c>
      <c r="B175" t="s">
        <v>3613</v>
      </c>
      <c r="C175" t="s">
        <v>3614</v>
      </c>
      <c r="D175" t="s">
        <v>3640</v>
      </c>
      <c r="E175" t="s">
        <v>3641</v>
      </c>
      <c r="F175" t="s">
        <v>3232</v>
      </c>
      <c r="G175" t="s">
        <v>3642</v>
      </c>
    </row>
    <row r="176" spans="1:7" ht="11.25" customHeight="1">
      <c r="A176" t="s">
        <v>14</v>
      </c>
      <c r="B176" t="s">
        <v>3613</v>
      </c>
      <c r="C176" t="s">
        <v>3614</v>
      </c>
      <c r="D176" t="s">
        <v>3643</v>
      </c>
      <c r="E176" t="s">
        <v>3644</v>
      </c>
      <c r="F176" t="s">
        <v>3232</v>
      </c>
      <c r="G176" t="s">
        <v>3645</v>
      </c>
    </row>
    <row r="177" spans="1:7" ht="11.25" customHeight="1">
      <c r="A177" t="s">
        <v>14</v>
      </c>
      <c r="B177" t="s">
        <v>3613</v>
      </c>
      <c r="C177" t="s">
        <v>3614</v>
      </c>
      <c r="D177" t="s">
        <v>3646</v>
      </c>
      <c r="E177" t="s">
        <v>3647</v>
      </c>
      <c r="F177" t="s">
        <v>3232</v>
      </c>
      <c r="G177" t="s">
        <v>3648</v>
      </c>
    </row>
    <row r="178" spans="1:7" ht="11.25" customHeight="1">
      <c r="A178" t="s">
        <v>14</v>
      </c>
      <c r="B178" t="s">
        <v>3613</v>
      </c>
      <c r="C178" t="s">
        <v>3614</v>
      </c>
      <c r="D178" t="s">
        <v>3649</v>
      </c>
      <c r="E178" t="s">
        <v>3650</v>
      </c>
      <c r="F178" t="s">
        <v>3232</v>
      </c>
      <c r="G178" t="s">
        <v>3651</v>
      </c>
    </row>
    <row r="179" spans="1:7" ht="11.25" customHeight="1">
      <c r="A179" t="s">
        <v>14</v>
      </c>
      <c r="B179" t="s">
        <v>3613</v>
      </c>
      <c r="C179" t="s">
        <v>3614</v>
      </c>
      <c r="D179" t="s">
        <v>3652</v>
      </c>
      <c r="E179" t="s">
        <v>3653</v>
      </c>
      <c r="F179" t="s">
        <v>3232</v>
      </c>
      <c r="G179" t="s">
        <v>3654</v>
      </c>
    </row>
    <row r="180" spans="1:7" ht="11.25" customHeight="1">
      <c r="A180" t="s">
        <v>14</v>
      </c>
      <c r="B180" t="s">
        <v>3613</v>
      </c>
      <c r="C180" t="s">
        <v>3614</v>
      </c>
      <c r="D180" t="s">
        <v>3655</v>
      </c>
      <c r="E180" t="s">
        <v>3656</v>
      </c>
      <c r="F180" t="s">
        <v>3232</v>
      </c>
      <c r="G180" t="s">
        <v>3657</v>
      </c>
    </row>
    <row r="181" spans="1:7" ht="11.25" customHeight="1">
      <c r="A181" t="s">
        <v>14</v>
      </c>
      <c r="B181" t="s">
        <v>3613</v>
      </c>
      <c r="C181" t="s">
        <v>3614</v>
      </c>
      <c r="D181" t="s">
        <v>3658</v>
      </c>
      <c r="E181" t="s">
        <v>3659</v>
      </c>
      <c r="F181" t="s">
        <v>3232</v>
      </c>
      <c r="G181" t="s">
        <v>3660</v>
      </c>
    </row>
    <row r="182" spans="1:7" ht="11.25" customHeight="1">
      <c r="A182" t="s">
        <v>14</v>
      </c>
      <c r="B182" t="s">
        <v>162</v>
      </c>
      <c r="C182" t="s">
        <v>163</v>
      </c>
      <c r="D182" t="s">
        <v>162</v>
      </c>
      <c r="E182" t="s">
        <v>163</v>
      </c>
      <c r="F182" t="s">
        <v>3227</v>
      </c>
      <c r="G182" t="s">
        <v>161</v>
      </c>
    </row>
    <row r="183" spans="1:7" ht="11.25" customHeight="1">
      <c r="A183" t="s">
        <v>14</v>
      </c>
      <c r="B183" t="s">
        <v>3661</v>
      </c>
      <c r="C183" t="s">
        <v>3662</v>
      </c>
      <c r="D183" t="s">
        <v>3663</v>
      </c>
      <c r="E183" t="s">
        <v>3664</v>
      </c>
      <c r="F183" t="s">
        <v>3232</v>
      </c>
      <c r="G183" t="s">
        <v>3665</v>
      </c>
    </row>
    <row r="184" spans="1:7" ht="11.25" customHeight="1">
      <c r="A184" t="s">
        <v>14</v>
      </c>
      <c r="B184" t="s">
        <v>3661</v>
      </c>
      <c r="C184" t="s">
        <v>3662</v>
      </c>
      <c r="D184" t="s">
        <v>3661</v>
      </c>
      <c r="E184" t="s">
        <v>3662</v>
      </c>
      <c r="F184" t="s">
        <v>3229</v>
      </c>
      <c r="G184" t="s">
        <v>3666</v>
      </c>
    </row>
    <row r="185" spans="1:7" ht="11.25" customHeight="1">
      <c r="A185" t="s">
        <v>14</v>
      </c>
      <c r="B185" t="s">
        <v>3661</v>
      </c>
      <c r="C185" t="s">
        <v>3662</v>
      </c>
      <c r="D185" t="s">
        <v>3667</v>
      </c>
      <c r="E185" t="s">
        <v>3668</v>
      </c>
      <c r="F185" t="s">
        <v>3232</v>
      </c>
      <c r="G185" t="s">
        <v>3669</v>
      </c>
    </row>
    <row r="186" spans="1:7" ht="11.25" customHeight="1">
      <c r="A186" t="s">
        <v>14</v>
      </c>
      <c r="B186" t="s">
        <v>3661</v>
      </c>
      <c r="C186" t="s">
        <v>3662</v>
      </c>
      <c r="D186" t="s">
        <v>3670</v>
      </c>
      <c r="E186" t="s">
        <v>3671</v>
      </c>
      <c r="F186" t="s">
        <v>3232</v>
      </c>
      <c r="G186" t="s">
        <v>3672</v>
      </c>
    </row>
    <row r="187" spans="1:7" ht="11.25" customHeight="1">
      <c r="A187" t="s">
        <v>14</v>
      </c>
      <c r="B187" t="s">
        <v>3661</v>
      </c>
      <c r="C187" t="s">
        <v>3662</v>
      </c>
      <c r="D187" t="s">
        <v>3673</v>
      </c>
      <c r="E187" t="s">
        <v>3674</v>
      </c>
      <c r="F187" t="s">
        <v>3232</v>
      </c>
      <c r="G187" t="s">
        <v>3675</v>
      </c>
    </row>
    <row r="188" spans="1:7" ht="11.25" customHeight="1">
      <c r="A188" t="s">
        <v>14</v>
      </c>
      <c r="B188" t="s">
        <v>3661</v>
      </c>
      <c r="C188" t="s">
        <v>3662</v>
      </c>
      <c r="D188" t="s">
        <v>3676</v>
      </c>
      <c r="E188" t="s">
        <v>3677</v>
      </c>
      <c r="F188" t="s">
        <v>3232</v>
      </c>
      <c r="G188" t="s">
        <v>3678</v>
      </c>
    </row>
    <row r="189" spans="1:7" ht="11.25" customHeight="1">
      <c r="A189" t="s">
        <v>14</v>
      </c>
      <c r="B189" t="s">
        <v>3661</v>
      </c>
      <c r="C189" t="s">
        <v>3662</v>
      </c>
      <c r="D189" t="s">
        <v>3679</v>
      </c>
      <c r="E189" t="s">
        <v>3680</v>
      </c>
      <c r="F189" t="s">
        <v>3232</v>
      </c>
      <c r="G189" t="s">
        <v>3681</v>
      </c>
    </row>
    <row r="190" spans="1:7" ht="11.25" customHeight="1">
      <c r="A190" t="s">
        <v>14</v>
      </c>
      <c r="B190" t="s">
        <v>3661</v>
      </c>
      <c r="C190" t="s">
        <v>3662</v>
      </c>
      <c r="D190" t="s">
        <v>3682</v>
      </c>
      <c r="E190" t="s">
        <v>3683</v>
      </c>
      <c r="F190" t="s">
        <v>3232</v>
      </c>
      <c r="G190" t="s">
        <v>3684</v>
      </c>
    </row>
    <row r="191" spans="1:7" ht="11.25" customHeight="1">
      <c r="A191" t="s">
        <v>14</v>
      </c>
      <c r="B191" t="s">
        <v>3661</v>
      </c>
      <c r="C191" t="s">
        <v>3662</v>
      </c>
      <c r="D191" t="s">
        <v>3685</v>
      </c>
      <c r="E191" t="s">
        <v>3686</v>
      </c>
      <c r="F191" t="s">
        <v>3232</v>
      </c>
      <c r="G191" t="s">
        <v>3687</v>
      </c>
    </row>
    <row r="192" spans="1:7" ht="11.25" customHeight="1">
      <c r="A192" t="s">
        <v>14</v>
      </c>
      <c r="B192" t="s">
        <v>3661</v>
      </c>
      <c r="C192" t="s">
        <v>3662</v>
      </c>
      <c r="D192" t="s">
        <v>3688</v>
      </c>
      <c r="E192" t="s">
        <v>3689</v>
      </c>
      <c r="F192" t="s">
        <v>3232</v>
      </c>
      <c r="G192" t="s">
        <v>3690</v>
      </c>
    </row>
    <row r="193" spans="1:7" ht="11.25" customHeight="1">
      <c r="A193" t="s">
        <v>14</v>
      </c>
      <c r="B193" t="s">
        <v>3661</v>
      </c>
      <c r="C193" t="s">
        <v>3662</v>
      </c>
      <c r="D193" t="s">
        <v>3691</v>
      </c>
      <c r="E193" t="s">
        <v>3692</v>
      </c>
      <c r="F193" t="s">
        <v>3232</v>
      </c>
      <c r="G193" t="s">
        <v>3693</v>
      </c>
    </row>
    <row r="194" spans="1:7" ht="11.25" customHeight="1">
      <c r="A194" t="s">
        <v>14</v>
      </c>
      <c r="B194" t="s">
        <v>3661</v>
      </c>
      <c r="C194" t="s">
        <v>3662</v>
      </c>
      <c r="D194" t="s">
        <v>3694</v>
      </c>
      <c r="E194" t="s">
        <v>3695</v>
      </c>
      <c r="F194" t="s">
        <v>3232</v>
      </c>
      <c r="G194" t="s">
        <v>3696</v>
      </c>
    </row>
    <row r="195" spans="1:7" ht="11.25" customHeight="1">
      <c r="A195" t="s">
        <v>14</v>
      </c>
      <c r="B195" t="s">
        <v>166</v>
      </c>
      <c r="C195" t="s">
        <v>167</v>
      </c>
      <c r="D195" t="s">
        <v>166</v>
      </c>
      <c r="E195" t="s">
        <v>167</v>
      </c>
      <c r="F195" t="s">
        <v>3227</v>
      </c>
      <c r="G195" t="s">
        <v>165</v>
      </c>
    </row>
    <row r="196" spans="1:7" ht="11.25" customHeight="1">
      <c r="A196" t="s">
        <v>14</v>
      </c>
      <c r="B196" t="s">
        <v>3697</v>
      </c>
      <c r="C196" t="s">
        <v>3698</v>
      </c>
      <c r="D196" t="s">
        <v>3699</v>
      </c>
      <c r="E196" t="s">
        <v>3700</v>
      </c>
      <c r="F196" t="s">
        <v>3232</v>
      </c>
      <c r="G196" t="s">
        <v>3701</v>
      </c>
    </row>
    <row r="197" spans="1:7" ht="11.25" customHeight="1">
      <c r="A197" t="s">
        <v>14</v>
      </c>
      <c r="B197" t="s">
        <v>3697</v>
      </c>
      <c r="C197" t="s">
        <v>3698</v>
      </c>
      <c r="D197" t="s">
        <v>3702</v>
      </c>
      <c r="E197" t="s">
        <v>3703</v>
      </c>
      <c r="F197" t="s">
        <v>3232</v>
      </c>
      <c r="G197" t="s">
        <v>3704</v>
      </c>
    </row>
    <row r="198" spans="1:7" ht="11.25" customHeight="1">
      <c r="A198" t="s">
        <v>14</v>
      </c>
      <c r="B198" t="s">
        <v>3697</v>
      </c>
      <c r="C198" t="s">
        <v>3698</v>
      </c>
      <c r="D198" t="s">
        <v>3705</v>
      </c>
      <c r="E198" t="s">
        <v>3706</v>
      </c>
      <c r="F198" t="s">
        <v>3232</v>
      </c>
      <c r="G198" t="s">
        <v>3707</v>
      </c>
    </row>
    <row r="199" spans="1:7" ht="11.25" customHeight="1">
      <c r="A199" t="s">
        <v>14</v>
      </c>
      <c r="B199" t="s">
        <v>3697</v>
      </c>
      <c r="C199" t="s">
        <v>3698</v>
      </c>
      <c r="D199" t="s">
        <v>3697</v>
      </c>
      <c r="E199" t="s">
        <v>3698</v>
      </c>
      <c r="F199" t="s">
        <v>3229</v>
      </c>
      <c r="G199" t="s">
        <v>3708</v>
      </c>
    </row>
    <row r="200" spans="1:7" ht="11.25" customHeight="1">
      <c r="A200" t="s">
        <v>14</v>
      </c>
      <c r="B200" t="s">
        <v>3697</v>
      </c>
      <c r="C200" t="s">
        <v>3698</v>
      </c>
      <c r="D200" t="s">
        <v>3709</v>
      </c>
      <c r="E200" t="s">
        <v>3710</v>
      </c>
      <c r="F200" t="s">
        <v>3232</v>
      </c>
      <c r="G200" t="s">
        <v>3711</v>
      </c>
    </row>
    <row r="201" spans="1:7" ht="11.25" customHeight="1">
      <c r="A201" t="s">
        <v>14</v>
      </c>
      <c r="B201" t="s">
        <v>3697</v>
      </c>
      <c r="C201" t="s">
        <v>3698</v>
      </c>
      <c r="D201" t="s">
        <v>3712</v>
      </c>
      <c r="E201" t="s">
        <v>3713</v>
      </c>
      <c r="F201" t="s">
        <v>3232</v>
      </c>
      <c r="G201" t="s">
        <v>3714</v>
      </c>
    </row>
    <row r="202" spans="1:7" ht="11.25" customHeight="1">
      <c r="A202" t="s">
        <v>14</v>
      </c>
      <c r="B202" t="s">
        <v>3697</v>
      </c>
      <c r="C202" t="s">
        <v>3698</v>
      </c>
      <c r="D202" t="s">
        <v>3715</v>
      </c>
      <c r="E202" t="s">
        <v>3716</v>
      </c>
      <c r="F202" t="s">
        <v>3232</v>
      </c>
      <c r="G202" t="s">
        <v>3717</v>
      </c>
    </row>
    <row r="203" spans="1:7" ht="11.25" customHeight="1">
      <c r="A203" t="s">
        <v>14</v>
      </c>
      <c r="B203" t="s">
        <v>3697</v>
      </c>
      <c r="C203" t="s">
        <v>3698</v>
      </c>
      <c r="D203" t="s">
        <v>3718</v>
      </c>
      <c r="E203" t="s">
        <v>3719</v>
      </c>
      <c r="F203" t="s">
        <v>3232</v>
      </c>
      <c r="G203" t="s">
        <v>3720</v>
      </c>
    </row>
    <row r="204" spans="1:7" ht="11.25" customHeight="1">
      <c r="A204" t="s">
        <v>14</v>
      </c>
      <c r="B204" t="s">
        <v>3697</v>
      </c>
      <c r="C204" t="s">
        <v>3698</v>
      </c>
      <c r="D204" t="s">
        <v>3721</v>
      </c>
      <c r="E204" t="s">
        <v>3722</v>
      </c>
      <c r="F204" t="s">
        <v>3232</v>
      </c>
      <c r="G204" t="s">
        <v>3723</v>
      </c>
    </row>
    <row r="205" spans="1:7" ht="11.25" customHeight="1">
      <c r="A205" t="s">
        <v>14</v>
      </c>
      <c r="B205" t="s">
        <v>3697</v>
      </c>
      <c r="C205" t="s">
        <v>3698</v>
      </c>
      <c r="D205" t="s">
        <v>3724</v>
      </c>
      <c r="E205" t="s">
        <v>3725</v>
      </c>
      <c r="F205" t="s">
        <v>3232</v>
      </c>
      <c r="G205" t="s">
        <v>3726</v>
      </c>
    </row>
    <row r="206" spans="1:7" ht="11.25" customHeight="1">
      <c r="A206" t="s">
        <v>14</v>
      </c>
      <c r="B206" t="s">
        <v>3697</v>
      </c>
      <c r="C206" t="s">
        <v>3698</v>
      </c>
      <c r="D206" t="s">
        <v>3727</v>
      </c>
      <c r="E206" t="s">
        <v>3728</v>
      </c>
      <c r="F206" t="s">
        <v>3232</v>
      </c>
      <c r="G206" t="s">
        <v>3729</v>
      </c>
    </row>
    <row r="207" spans="1:7" ht="11.25" customHeight="1">
      <c r="A207" t="s">
        <v>14</v>
      </c>
      <c r="B207" t="s">
        <v>3697</v>
      </c>
      <c r="C207" t="s">
        <v>3698</v>
      </c>
      <c r="D207" t="s">
        <v>3730</v>
      </c>
      <c r="E207" t="s">
        <v>3731</v>
      </c>
      <c r="F207" t="s">
        <v>3232</v>
      </c>
      <c r="G207" t="s">
        <v>3732</v>
      </c>
    </row>
    <row r="208" spans="1:7" ht="11.25" customHeight="1">
      <c r="A208" t="s">
        <v>14</v>
      </c>
      <c r="B208" t="s">
        <v>3697</v>
      </c>
      <c r="C208" t="s">
        <v>3698</v>
      </c>
      <c r="D208" t="s">
        <v>3733</v>
      </c>
      <c r="E208" t="s">
        <v>3734</v>
      </c>
      <c r="F208" t="s">
        <v>3232</v>
      </c>
      <c r="G208" t="s">
        <v>3735</v>
      </c>
    </row>
    <row r="209" spans="1:7" ht="11.25" customHeight="1">
      <c r="A209" t="s">
        <v>14</v>
      </c>
      <c r="B209" t="s">
        <v>170</v>
      </c>
      <c r="C209" t="s">
        <v>171</v>
      </c>
      <c r="D209" t="s">
        <v>170</v>
      </c>
      <c r="E209" t="s">
        <v>171</v>
      </c>
      <c r="F209" t="s">
        <v>3227</v>
      </c>
      <c r="G209" t="s">
        <v>169</v>
      </c>
    </row>
    <row r="210" spans="1:7" ht="11.25" customHeight="1">
      <c r="A210" t="s">
        <v>14</v>
      </c>
      <c r="B210" t="s">
        <v>3736</v>
      </c>
      <c r="C210" t="s">
        <v>3737</v>
      </c>
      <c r="D210" t="s">
        <v>3738</v>
      </c>
      <c r="E210" t="s">
        <v>3739</v>
      </c>
      <c r="F210" t="s">
        <v>3232</v>
      </c>
      <c r="G210" t="s">
        <v>3740</v>
      </c>
    </row>
    <row r="211" spans="1:7" ht="11.25" customHeight="1">
      <c r="A211" t="s">
        <v>14</v>
      </c>
      <c r="B211" t="s">
        <v>3736</v>
      </c>
      <c r="C211" t="s">
        <v>3737</v>
      </c>
      <c r="D211" t="s">
        <v>3741</v>
      </c>
      <c r="E211" t="s">
        <v>3742</v>
      </c>
      <c r="F211" t="s">
        <v>3232</v>
      </c>
      <c r="G211" t="s">
        <v>3743</v>
      </c>
    </row>
    <row r="212" spans="1:7" ht="11.25" customHeight="1">
      <c r="A212" t="s">
        <v>14</v>
      </c>
      <c r="B212" t="s">
        <v>3736</v>
      </c>
      <c r="C212" t="s">
        <v>3737</v>
      </c>
      <c r="D212" t="s">
        <v>3744</v>
      </c>
      <c r="E212" t="s">
        <v>3745</v>
      </c>
      <c r="F212" t="s">
        <v>3232</v>
      </c>
      <c r="G212" t="s">
        <v>3746</v>
      </c>
    </row>
    <row r="213" spans="1:7" ht="11.25" customHeight="1">
      <c r="A213" t="s">
        <v>14</v>
      </c>
      <c r="B213" t="s">
        <v>3736</v>
      </c>
      <c r="C213" t="s">
        <v>3737</v>
      </c>
      <c r="D213" t="s">
        <v>3747</v>
      </c>
      <c r="E213" t="s">
        <v>3748</v>
      </c>
      <c r="F213" t="s">
        <v>3232</v>
      </c>
      <c r="G213" t="s">
        <v>3749</v>
      </c>
    </row>
    <row r="214" spans="1:7" ht="11.25" customHeight="1">
      <c r="A214" t="s">
        <v>14</v>
      </c>
      <c r="B214" t="s">
        <v>3736</v>
      </c>
      <c r="C214" t="s">
        <v>3737</v>
      </c>
      <c r="D214" t="s">
        <v>3736</v>
      </c>
      <c r="E214" t="s">
        <v>3737</v>
      </c>
      <c r="F214" t="s">
        <v>3229</v>
      </c>
      <c r="G214" t="s">
        <v>3750</v>
      </c>
    </row>
    <row r="215" spans="1:7" ht="11.25" customHeight="1">
      <c r="A215" t="s">
        <v>14</v>
      </c>
      <c r="B215" t="s">
        <v>3736</v>
      </c>
      <c r="C215" t="s">
        <v>3737</v>
      </c>
      <c r="D215" t="s">
        <v>3751</v>
      </c>
      <c r="E215" t="s">
        <v>3752</v>
      </c>
      <c r="F215" t="s">
        <v>3232</v>
      </c>
      <c r="G215" t="s">
        <v>3753</v>
      </c>
    </row>
    <row r="216" spans="1:7" ht="11.25" customHeight="1">
      <c r="A216" t="s">
        <v>14</v>
      </c>
      <c r="B216" t="s">
        <v>3736</v>
      </c>
      <c r="C216" t="s">
        <v>3737</v>
      </c>
      <c r="D216" t="s">
        <v>3754</v>
      </c>
      <c r="E216" t="s">
        <v>3755</v>
      </c>
      <c r="F216" t="s">
        <v>3232</v>
      </c>
      <c r="G216" t="s">
        <v>3756</v>
      </c>
    </row>
    <row r="217" spans="1:7" ht="11.25" customHeight="1">
      <c r="A217" t="s">
        <v>14</v>
      </c>
      <c r="B217" t="s">
        <v>3736</v>
      </c>
      <c r="C217" t="s">
        <v>3737</v>
      </c>
      <c r="D217" t="s">
        <v>3757</v>
      </c>
      <c r="E217" t="s">
        <v>3758</v>
      </c>
      <c r="F217" t="s">
        <v>3232</v>
      </c>
      <c r="G217" t="s">
        <v>3759</v>
      </c>
    </row>
    <row r="218" spans="1:7" ht="11.25" customHeight="1">
      <c r="A218" t="s">
        <v>14</v>
      </c>
      <c r="B218" t="s">
        <v>3736</v>
      </c>
      <c r="C218" t="s">
        <v>3737</v>
      </c>
      <c r="D218" t="s">
        <v>3760</v>
      </c>
      <c r="E218" t="s">
        <v>3761</v>
      </c>
      <c r="F218" t="s">
        <v>3232</v>
      </c>
      <c r="G218" t="s">
        <v>3762</v>
      </c>
    </row>
    <row r="219" spans="1:7" ht="11.25" customHeight="1">
      <c r="A219" t="s">
        <v>14</v>
      </c>
      <c r="B219" t="s">
        <v>3736</v>
      </c>
      <c r="C219" t="s">
        <v>3737</v>
      </c>
      <c r="D219" t="s">
        <v>3763</v>
      </c>
      <c r="E219" t="s">
        <v>3764</v>
      </c>
      <c r="F219" t="s">
        <v>3232</v>
      </c>
      <c r="G219" t="s">
        <v>3765</v>
      </c>
    </row>
    <row r="220" spans="1:7" ht="11.25" customHeight="1">
      <c r="A220" t="s">
        <v>14</v>
      </c>
      <c r="B220" t="s">
        <v>3736</v>
      </c>
      <c r="C220" t="s">
        <v>3737</v>
      </c>
      <c r="D220" t="s">
        <v>3766</v>
      </c>
      <c r="E220" t="s">
        <v>3767</v>
      </c>
      <c r="F220" t="s">
        <v>3232</v>
      </c>
      <c r="G220" t="s">
        <v>3768</v>
      </c>
    </row>
    <row r="221" spans="1:7" ht="11.25" customHeight="1">
      <c r="A221" t="s">
        <v>14</v>
      </c>
      <c r="B221" t="s">
        <v>3736</v>
      </c>
      <c r="C221" t="s">
        <v>3737</v>
      </c>
      <c r="D221" t="s">
        <v>3769</v>
      </c>
      <c r="E221" t="s">
        <v>3770</v>
      </c>
      <c r="F221" t="s">
        <v>3232</v>
      </c>
      <c r="G221" t="s">
        <v>3771</v>
      </c>
    </row>
    <row r="222" spans="1:7" ht="11.25" customHeight="1">
      <c r="A222" t="s">
        <v>14</v>
      </c>
      <c r="B222" t="s">
        <v>174</v>
      </c>
      <c r="C222" t="s">
        <v>175</v>
      </c>
      <c r="D222" t="s">
        <v>174</v>
      </c>
      <c r="E222" t="s">
        <v>175</v>
      </c>
      <c r="F222" t="s">
        <v>3311</v>
      </c>
      <c r="G222" t="s">
        <v>173</v>
      </c>
    </row>
    <row r="223" spans="1:7" ht="11.25" customHeight="1">
      <c r="A223" t="s">
        <v>14</v>
      </c>
      <c r="B223" t="s">
        <v>3772</v>
      </c>
      <c r="C223" t="s">
        <v>3773</v>
      </c>
      <c r="D223" t="s">
        <v>3772</v>
      </c>
      <c r="E223" t="s">
        <v>3773</v>
      </c>
      <c r="F223" t="s">
        <v>3227</v>
      </c>
      <c r="G223" t="s">
        <v>3774</v>
      </c>
    </row>
    <row r="224" spans="1:7" ht="11.25" customHeight="1">
      <c r="A224" t="s">
        <v>14</v>
      </c>
      <c r="B224" t="s">
        <v>3775</v>
      </c>
      <c r="C224" t="s">
        <v>3776</v>
      </c>
      <c r="D224" t="s">
        <v>3777</v>
      </c>
      <c r="E224" t="s">
        <v>3778</v>
      </c>
      <c r="F224" t="s">
        <v>3324</v>
      </c>
      <c r="G224" t="s">
        <v>3779</v>
      </c>
    </row>
    <row r="225" spans="1:7" ht="11.25" customHeight="1">
      <c r="A225" t="s">
        <v>14</v>
      </c>
      <c r="B225" t="s">
        <v>3775</v>
      </c>
      <c r="C225" t="s">
        <v>3776</v>
      </c>
      <c r="D225" t="s">
        <v>3780</v>
      </c>
      <c r="E225" t="s">
        <v>3781</v>
      </c>
      <c r="F225" t="s">
        <v>3232</v>
      </c>
      <c r="G225" t="s">
        <v>3782</v>
      </c>
    </row>
    <row r="226" spans="1:7" ht="11.25" customHeight="1">
      <c r="A226" t="s">
        <v>14</v>
      </c>
      <c r="B226" t="s">
        <v>3775</v>
      </c>
      <c r="C226" t="s">
        <v>3776</v>
      </c>
      <c r="D226" t="s">
        <v>3783</v>
      </c>
      <c r="E226" t="s">
        <v>3784</v>
      </c>
      <c r="F226" t="s">
        <v>3232</v>
      </c>
      <c r="G226" t="s">
        <v>3785</v>
      </c>
    </row>
    <row r="227" spans="1:7" ht="11.25" customHeight="1">
      <c r="A227" t="s">
        <v>14</v>
      </c>
      <c r="B227" t="s">
        <v>3775</v>
      </c>
      <c r="C227" t="s">
        <v>3776</v>
      </c>
      <c r="D227" t="s">
        <v>3786</v>
      </c>
      <c r="E227" t="s">
        <v>3787</v>
      </c>
      <c r="F227" t="s">
        <v>3232</v>
      </c>
      <c r="G227" t="s">
        <v>3788</v>
      </c>
    </row>
    <row r="228" spans="1:7" ht="11.25" customHeight="1">
      <c r="A228" t="s">
        <v>14</v>
      </c>
      <c r="B228" t="s">
        <v>3775</v>
      </c>
      <c r="C228" t="s">
        <v>3776</v>
      </c>
      <c r="D228" t="s">
        <v>3789</v>
      </c>
      <c r="E228" t="s">
        <v>3790</v>
      </c>
      <c r="F228" t="s">
        <v>3232</v>
      </c>
      <c r="G228" t="s">
        <v>3791</v>
      </c>
    </row>
    <row r="229" spans="1:7" ht="11.25" customHeight="1">
      <c r="A229" t="s">
        <v>14</v>
      </c>
      <c r="B229" t="s">
        <v>3775</v>
      </c>
      <c r="C229" t="s">
        <v>3776</v>
      </c>
      <c r="D229" t="s">
        <v>3775</v>
      </c>
      <c r="E229" t="s">
        <v>3776</v>
      </c>
      <c r="F229" t="s">
        <v>3229</v>
      </c>
      <c r="G229" t="s">
        <v>3792</v>
      </c>
    </row>
    <row r="230" spans="1:7" ht="11.25" customHeight="1">
      <c r="A230" t="s">
        <v>14</v>
      </c>
      <c r="B230" t="s">
        <v>3775</v>
      </c>
      <c r="C230" t="s">
        <v>3776</v>
      </c>
      <c r="D230" t="s">
        <v>3793</v>
      </c>
      <c r="E230" t="s">
        <v>3794</v>
      </c>
      <c r="F230" t="s">
        <v>3232</v>
      </c>
      <c r="G230" t="s">
        <v>3795</v>
      </c>
    </row>
    <row r="231" spans="1:7" ht="11.25" customHeight="1">
      <c r="A231" t="s">
        <v>14</v>
      </c>
      <c r="B231" t="s">
        <v>3775</v>
      </c>
      <c r="C231" t="s">
        <v>3776</v>
      </c>
      <c r="D231" t="s">
        <v>3563</v>
      </c>
      <c r="E231" t="s">
        <v>3796</v>
      </c>
      <c r="F231" t="s">
        <v>3232</v>
      </c>
      <c r="G231" t="s">
        <v>3797</v>
      </c>
    </row>
    <row r="232" spans="1:7" ht="11.25" customHeight="1">
      <c r="A232" t="s">
        <v>14</v>
      </c>
      <c r="B232" t="s">
        <v>3775</v>
      </c>
      <c r="C232" t="s">
        <v>3776</v>
      </c>
      <c r="D232" t="s">
        <v>3798</v>
      </c>
      <c r="E232" t="s">
        <v>3799</v>
      </c>
      <c r="F232" t="s">
        <v>3232</v>
      </c>
      <c r="G232" t="s">
        <v>3800</v>
      </c>
    </row>
    <row r="233" spans="1:7" ht="11.25" customHeight="1">
      <c r="A233" t="s">
        <v>14</v>
      </c>
      <c r="B233" t="s">
        <v>3775</v>
      </c>
      <c r="C233" t="s">
        <v>3776</v>
      </c>
      <c r="D233" t="s">
        <v>3801</v>
      </c>
      <c r="E233" t="s">
        <v>3802</v>
      </c>
      <c r="F233" t="s">
        <v>3232</v>
      </c>
      <c r="G233" t="s">
        <v>3803</v>
      </c>
    </row>
    <row r="234" spans="1:7" ht="11.25" customHeight="1">
      <c r="A234" t="s">
        <v>14</v>
      </c>
      <c r="B234" t="s">
        <v>3775</v>
      </c>
      <c r="C234" t="s">
        <v>3776</v>
      </c>
      <c r="D234" t="s">
        <v>3804</v>
      </c>
      <c r="E234" t="s">
        <v>3805</v>
      </c>
      <c r="F234" t="s">
        <v>3498</v>
      </c>
      <c r="G234" t="s">
        <v>3806</v>
      </c>
    </row>
    <row r="235" spans="1:7" ht="11.25" customHeight="1">
      <c r="A235" t="s">
        <v>14</v>
      </c>
      <c r="B235" t="s">
        <v>3775</v>
      </c>
      <c r="C235" t="s">
        <v>3776</v>
      </c>
      <c r="D235" t="s">
        <v>3807</v>
      </c>
      <c r="E235" t="s">
        <v>3808</v>
      </c>
      <c r="F235" t="s">
        <v>3232</v>
      </c>
      <c r="G235" t="s">
        <v>3809</v>
      </c>
    </row>
    <row r="236" spans="1:7" ht="11.25" customHeight="1">
      <c r="A236" t="s">
        <v>14</v>
      </c>
      <c r="B236" t="s">
        <v>3775</v>
      </c>
      <c r="C236" t="s">
        <v>3776</v>
      </c>
      <c r="D236" t="s">
        <v>3810</v>
      </c>
      <c r="E236" t="s">
        <v>3811</v>
      </c>
      <c r="F236" t="s">
        <v>3232</v>
      </c>
      <c r="G236" t="s">
        <v>3812</v>
      </c>
    </row>
    <row r="237" spans="1:7" ht="11.25" customHeight="1">
      <c r="A237" t="s">
        <v>14</v>
      </c>
      <c r="B237" t="s">
        <v>3775</v>
      </c>
      <c r="C237" t="s">
        <v>3776</v>
      </c>
      <c r="D237" t="s">
        <v>3813</v>
      </c>
      <c r="E237" t="s">
        <v>3814</v>
      </c>
      <c r="F237" t="s">
        <v>3232</v>
      </c>
      <c r="G237" t="s">
        <v>3815</v>
      </c>
    </row>
    <row r="238" spans="1:7" ht="11.25" customHeight="1">
      <c r="A238" t="s">
        <v>14</v>
      </c>
      <c r="B238" t="s">
        <v>3775</v>
      </c>
      <c r="C238" t="s">
        <v>3776</v>
      </c>
      <c r="D238" t="s">
        <v>3816</v>
      </c>
      <c r="E238" t="s">
        <v>3817</v>
      </c>
      <c r="F238" t="s">
        <v>3232</v>
      </c>
      <c r="G238" t="s">
        <v>3818</v>
      </c>
    </row>
    <row r="239" spans="1:7" ht="11.25" customHeight="1">
      <c r="A239" t="s">
        <v>14</v>
      </c>
      <c r="B239" t="s">
        <v>3775</v>
      </c>
      <c r="C239" t="s">
        <v>3776</v>
      </c>
      <c r="D239" t="s">
        <v>3430</v>
      </c>
      <c r="E239" t="s">
        <v>3819</v>
      </c>
      <c r="F239" t="s">
        <v>3232</v>
      </c>
      <c r="G239" t="s">
        <v>3820</v>
      </c>
    </row>
    <row r="240" spans="1:7" ht="11.25" customHeight="1">
      <c r="A240" t="s">
        <v>14</v>
      </c>
      <c r="B240" t="s">
        <v>216</v>
      </c>
      <c r="C240" t="s">
        <v>217</v>
      </c>
      <c r="D240" t="s">
        <v>216</v>
      </c>
      <c r="E240" t="s">
        <v>217</v>
      </c>
      <c r="F240" t="s">
        <v>3311</v>
      </c>
      <c r="G240" t="s">
        <v>215</v>
      </c>
    </row>
    <row r="241" spans="1:7" ht="11.25" customHeight="1">
      <c r="A241" t="s">
        <v>14</v>
      </c>
      <c r="B241" t="s">
        <v>3821</v>
      </c>
      <c r="C241" t="s">
        <v>3822</v>
      </c>
      <c r="D241" t="s">
        <v>3821</v>
      </c>
      <c r="E241" t="s">
        <v>3822</v>
      </c>
      <c r="F241" t="s">
        <v>3227</v>
      </c>
      <c r="G241" t="s">
        <v>3823</v>
      </c>
    </row>
    <row r="242" spans="1:7" ht="11.25" customHeight="1">
      <c r="A242" t="s">
        <v>14</v>
      </c>
      <c r="B242" t="s">
        <v>3824</v>
      </c>
      <c r="C242" t="s">
        <v>3825</v>
      </c>
      <c r="D242" t="s">
        <v>3826</v>
      </c>
      <c r="E242" t="s">
        <v>3827</v>
      </c>
      <c r="F242" t="s">
        <v>3324</v>
      </c>
      <c r="G242" t="s">
        <v>3828</v>
      </c>
    </row>
    <row r="243" spans="1:7" ht="11.25" customHeight="1">
      <c r="A243" t="s">
        <v>14</v>
      </c>
      <c r="B243" t="s">
        <v>3824</v>
      </c>
      <c r="C243" t="s">
        <v>3825</v>
      </c>
      <c r="D243" t="s">
        <v>3829</v>
      </c>
      <c r="E243" t="s">
        <v>3830</v>
      </c>
      <c r="F243" t="s">
        <v>3232</v>
      </c>
      <c r="G243" t="s">
        <v>3831</v>
      </c>
    </row>
    <row r="244" spans="1:7" ht="11.25" customHeight="1">
      <c r="A244" t="s">
        <v>14</v>
      </c>
      <c r="B244" t="s">
        <v>3824</v>
      </c>
      <c r="C244" t="s">
        <v>3825</v>
      </c>
      <c r="D244" t="s">
        <v>3832</v>
      </c>
      <c r="E244" t="s">
        <v>3833</v>
      </c>
      <c r="F244" t="s">
        <v>3232</v>
      </c>
      <c r="G244" t="s">
        <v>3834</v>
      </c>
    </row>
    <row r="245" spans="1:7" ht="11.25" customHeight="1">
      <c r="A245" t="s">
        <v>14</v>
      </c>
      <c r="B245" t="s">
        <v>3824</v>
      </c>
      <c r="C245" t="s">
        <v>3825</v>
      </c>
      <c r="D245" t="s">
        <v>3835</v>
      </c>
      <c r="E245" t="s">
        <v>3836</v>
      </c>
      <c r="F245" t="s">
        <v>3232</v>
      </c>
      <c r="G245" t="s">
        <v>3837</v>
      </c>
    </row>
    <row r="246" spans="1:7" ht="11.25" customHeight="1">
      <c r="A246" t="s">
        <v>14</v>
      </c>
      <c r="B246" t="s">
        <v>3824</v>
      </c>
      <c r="C246" t="s">
        <v>3825</v>
      </c>
      <c r="D246" t="s">
        <v>3838</v>
      </c>
      <c r="E246" t="s">
        <v>3839</v>
      </c>
      <c r="F246" t="s">
        <v>3232</v>
      </c>
      <c r="G246" t="s">
        <v>3840</v>
      </c>
    </row>
    <row r="247" spans="1:7" ht="11.25" customHeight="1">
      <c r="A247" t="s">
        <v>14</v>
      </c>
      <c r="B247" t="s">
        <v>3824</v>
      </c>
      <c r="C247" t="s">
        <v>3825</v>
      </c>
      <c r="D247" t="s">
        <v>3841</v>
      </c>
      <c r="E247" t="s">
        <v>3842</v>
      </c>
      <c r="F247" t="s">
        <v>3232</v>
      </c>
      <c r="G247" t="s">
        <v>3843</v>
      </c>
    </row>
    <row r="248" spans="1:7" ht="11.25" customHeight="1">
      <c r="A248" t="s">
        <v>14</v>
      </c>
      <c r="B248" t="s">
        <v>3824</v>
      </c>
      <c r="C248" t="s">
        <v>3825</v>
      </c>
      <c r="D248" t="s">
        <v>3844</v>
      </c>
      <c r="E248" t="s">
        <v>3845</v>
      </c>
      <c r="F248" t="s">
        <v>3232</v>
      </c>
      <c r="G248" t="s">
        <v>3846</v>
      </c>
    </row>
    <row r="249" spans="1:7" ht="11.25" customHeight="1">
      <c r="A249" t="s">
        <v>14</v>
      </c>
      <c r="B249" t="s">
        <v>3824</v>
      </c>
      <c r="C249" t="s">
        <v>3825</v>
      </c>
      <c r="D249" t="s">
        <v>3824</v>
      </c>
      <c r="E249" t="s">
        <v>3825</v>
      </c>
      <c r="F249" t="s">
        <v>3229</v>
      </c>
      <c r="G249" t="s">
        <v>3847</v>
      </c>
    </row>
    <row r="250" spans="1:7" ht="11.25" customHeight="1">
      <c r="A250" t="s">
        <v>14</v>
      </c>
      <c r="B250" t="s">
        <v>3824</v>
      </c>
      <c r="C250" t="s">
        <v>3825</v>
      </c>
      <c r="D250" t="s">
        <v>3848</v>
      </c>
      <c r="E250" t="s">
        <v>3849</v>
      </c>
      <c r="F250" t="s">
        <v>3232</v>
      </c>
      <c r="G250" t="s">
        <v>3850</v>
      </c>
    </row>
    <row r="251" spans="1:7" ht="11.25" customHeight="1">
      <c r="A251" t="s">
        <v>14</v>
      </c>
      <c r="B251" t="s">
        <v>3824</v>
      </c>
      <c r="C251" t="s">
        <v>3825</v>
      </c>
      <c r="D251" t="s">
        <v>3851</v>
      </c>
      <c r="E251" t="s">
        <v>3852</v>
      </c>
      <c r="F251" t="s">
        <v>3232</v>
      </c>
      <c r="G251" t="s">
        <v>3853</v>
      </c>
    </row>
    <row r="252" spans="1:7" ht="11.25" customHeight="1">
      <c r="A252" t="s">
        <v>14</v>
      </c>
      <c r="B252" t="s">
        <v>3824</v>
      </c>
      <c r="C252" t="s">
        <v>3825</v>
      </c>
      <c r="D252" t="s">
        <v>3854</v>
      </c>
      <c r="E252" t="s">
        <v>3855</v>
      </c>
      <c r="F252" t="s">
        <v>3498</v>
      </c>
      <c r="G252" t="s">
        <v>3856</v>
      </c>
    </row>
    <row r="253" spans="1:7" ht="11.25" customHeight="1">
      <c r="A253" t="s">
        <v>14</v>
      </c>
      <c r="B253" t="s">
        <v>3824</v>
      </c>
      <c r="C253" t="s">
        <v>3825</v>
      </c>
      <c r="D253" t="s">
        <v>3857</v>
      </c>
      <c r="E253" t="s">
        <v>3858</v>
      </c>
      <c r="F253" t="s">
        <v>3232</v>
      </c>
      <c r="G253" t="s">
        <v>3859</v>
      </c>
    </row>
    <row r="254" spans="1:7" ht="11.25" customHeight="1">
      <c r="A254" t="s">
        <v>14</v>
      </c>
      <c r="B254" t="s">
        <v>3824</v>
      </c>
      <c r="C254" t="s">
        <v>3825</v>
      </c>
      <c r="D254" t="s">
        <v>3860</v>
      </c>
      <c r="E254" t="s">
        <v>3861</v>
      </c>
      <c r="F254" t="s">
        <v>3232</v>
      </c>
      <c r="G254" t="s">
        <v>3862</v>
      </c>
    </row>
    <row r="255" spans="1:7" ht="11.25" customHeight="1">
      <c r="A255" t="s">
        <v>14</v>
      </c>
      <c r="B255" t="s">
        <v>178</v>
      </c>
      <c r="C255" t="s">
        <v>179</v>
      </c>
      <c r="D255" t="s">
        <v>178</v>
      </c>
      <c r="E255" t="s">
        <v>179</v>
      </c>
      <c r="F255" t="s">
        <v>3311</v>
      </c>
      <c r="G255" t="s">
        <v>177</v>
      </c>
    </row>
    <row r="256" spans="1:7" ht="11.25" customHeight="1">
      <c r="A256" t="s">
        <v>14</v>
      </c>
      <c r="B256" t="s">
        <v>3863</v>
      </c>
      <c r="C256" t="s">
        <v>3864</v>
      </c>
      <c r="D256" t="s">
        <v>3863</v>
      </c>
      <c r="E256" t="s">
        <v>3864</v>
      </c>
      <c r="F256" t="s">
        <v>3227</v>
      </c>
      <c r="G256" t="s">
        <v>3865</v>
      </c>
    </row>
    <row r="257" spans="1:7" ht="11.25" customHeight="1">
      <c r="A257" t="s">
        <v>14</v>
      </c>
      <c r="B257" t="s">
        <v>3866</v>
      </c>
      <c r="C257" t="s">
        <v>3867</v>
      </c>
      <c r="D257" t="s">
        <v>3868</v>
      </c>
      <c r="E257" t="s">
        <v>3869</v>
      </c>
      <c r="F257" t="s">
        <v>3324</v>
      </c>
      <c r="G257" t="s">
        <v>3870</v>
      </c>
    </row>
    <row r="258" spans="1:7" ht="11.25" customHeight="1">
      <c r="A258" t="s">
        <v>14</v>
      </c>
      <c r="B258" t="s">
        <v>3866</v>
      </c>
      <c r="C258" t="s">
        <v>3867</v>
      </c>
      <c r="D258" t="s">
        <v>3871</v>
      </c>
      <c r="E258" t="s">
        <v>3872</v>
      </c>
      <c r="F258" t="s">
        <v>3232</v>
      </c>
      <c r="G258" t="s">
        <v>3873</v>
      </c>
    </row>
    <row r="259" spans="1:7" ht="11.25" customHeight="1">
      <c r="A259" t="s">
        <v>14</v>
      </c>
      <c r="B259" t="s">
        <v>3866</v>
      </c>
      <c r="C259" t="s">
        <v>3867</v>
      </c>
      <c r="D259" t="s">
        <v>3874</v>
      </c>
      <c r="E259" t="s">
        <v>3875</v>
      </c>
      <c r="F259" t="s">
        <v>3232</v>
      </c>
      <c r="G259" t="s">
        <v>3876</v>
      </c>
    </row>
    <row r="260" spans="1:7" ht="11.25" customHeight="1">
      <c r="A260" t="s">
        <v>14</v>
      </c>
      <c r="B260" t="s">
        <v>3866</v>
      </c>
      <c r="C260" t="s">
        <v>3867</v>
      </c>
      <c r="D260" t="s">
        <v>3877</v>
      </c>
      <c r="E260" t="s">
        <v>3878</v>
      </c>
      <c r="F260" t="s">
        <v>3232</v>
      </c>
      <c r="G260" t="s">
        <v>3879</v>
      </c>
    </row>
    <row r="261" spans="1:7" ht="11.25" customHeight="1">
      <c r="A261" t="s">
        <v>14</v>
      </c>
      <c r="B261" t="s">
        <v>3866</v>
      </c>
      <c r="C261" t="s">
        <v>3867</v>
      </c>
      <c r="D261" t="s">
        <v>3880</v>
      </c>
      <c r="E261" t="s">
        <v>3881</v>
      </c>
      <c r="F261" t="s">
        <v>3232</v>
      </c>
      <c r="G261" t="s">
        <v>3882</v>
      </c>
    </row>
    <row r="262" spans="1:7" ht="11.25" customHeight="1">
      <c r="A262" t="s">
        <v>14</v>
      </c>
      <c r="B262" t="s">
        <v>3866</v>
      </c>
      <c r="C262" t="s">
        <v>3867</v>
      </c>
      <c r="D262" t="s">
        <v>3866</v>
      </c>
      <c r="E262" t="s">
        <v>3867</v>
      </c>
      <c r="F262" t="s">
        <v>3229</v>
      </c>
      <c r="G262" t="s">
        <v>3883</v>
      </c>
    </row>
    <row r="263" spans="1:7" ht="11.25" customHeight="1">
      <c r="A263" t="s">
        <v>14</v>
      </c>
      <c r="B263" t="s">
        <v>3866</v>
      </c>
      <c r="C263" t="s">
        <v>3867</v>
      </c>
      <c r="D263" t="s">
        <v>3884</v>
      </c>
      <c r="E263" t="s">
        <v>3885</v>
      </c>
      <c r="F263" t="s">
        <v>3232</v>
      </c>
      <c r="G263" t="s">
        <v>3886</v>
      </c>
    </row>
    <row r="264" spans="1:7" ht="11.25" customHeight="1">
      <c r="A264" t="s">
        <v>14</v>
      </c>
      <c r="B264" t="s">
        <v>3866</v>
      </c>
      <c r="C264" t="s">
        <v>3867</v>
      </c>
      <c r="D264" t="s">
        <v>3887</v>
      </c>
      <c r="E264" t="s">
        <v>3888</v>
      </c>
      <c r="F264" t="s">
        <v>3232</v>
      </c>
      <c r="G264" t="s">
        <v>3889</v>
      </c>
    </row>
    <row r="265" spans="1:7" ht="11.25" customHeight="1">
      <c r="A265" t="s">
        <v>14</v>
      </c>
      <c r="B265" t="s">
        <v>3866</v>
      </c>
      <c r="C265" t="s">
        <v>3867</v>
      </c>
      <c r="D265" t="s">
        <v>3890</v>
      </c>
      <c r="E265" t="s">
        <v>3891</v>
      </c>
      <c r="F265" t="s">
        <v>3232</v>
      </c>
      <c r="G265" t="s">
        <v>3892</v>
      </c>
    </row>
    <row r="266" spans="1:7" ht="11.25" customHeight="1">
      <c r="A266" t="s">
        <v>14</v>
      </c>
      <c r="B266" t="s">
        <v>3866</v>
      </c>
      <c r="C266" t="s">
        <v>3867</v>
      </c>
      <c r="D266" t="s">
        <v>3893</v>
      </c>
      <c r="E266" t="s">
        <v>3894</v>
      </c>
      <c r="F266" t="s">
        <v>3232</v>
      </c>
      <c r="G266" t="s">
        <v>3895</v>
      </c>
    </row>
    <row r="267" spans="1:7" ht="11.25" customHeight="1">
      <c r="A267" t="s">
        <v>14</v>
      </c>
      <c r="B267" t="s">
        <v>3866</v>
      </c>
      <c r="C267" t="s">
        <v>3867</v>
      </c>
      <c r="D267" t="s">
        <v>3896</v>
      </c>
      <c r="E267" t="s">
        <v>3897</v>
      </c>
      <c r="F267" t="s">
        <v>3232</v>
      </c>
      <c r="G267" t="s">
        <v>3898</v>
      </c>
    </row>
    <row r="268" spans="1:7" ht="11.25" customHeight="1">
      <c r="A268" t="s">
        <v>14</v>
      </c>
      <c r="B268" t="s">
        <v>3866</v>
      </c>
      <c r="C268" t="s">
        <v>3867</v>
      </c>
      <c r="D268" t="s">
        <v>3899</v>
      </c>
      <c r="E268" t="s">
        <v>3900</v>
      </c>
      <c r="F268" t="s">
        <v>3232</v>
      </c>
      <c r="G268" t="s">
        <v>3901</v>
      </c>
    </row>
    <row r="269" spans="1:7" ht="11.25" customHeight="1">
      <c r="A269" t="s">
        <v>14</v>
      </c>
      <c r="B269" t="s">
        <v>3866</v>
      </c>
      <c r="C269" t="s">
        <v>3867</v>
      </c>
      <c r="D269" t="s">
        <v>3902</v>
      </c>
      <c r="E269" t="s">
        <v>3903</v>
      </c>
      <c r="F269" t="s">
        <v>3232</v>
      </c>
      <c r="G269" t="s">
        <v>3904</v>
      </c>
    </row>
    <row r="270" spans="1:7" ht="11.25" customHeight="1">
      <c r="A270" t="s">
        <v>14</v>
      </c>
      <c r="B270" t="s">
        <v>182</v>
      </c>
      <c r="C270" t="s">
        <v>183</v>
      </c>
      <c r="D270" t="s">
        <v>182</v>
      </c>
      <c r="E270" t="s">
        <v>183</v>
      </c>
      <c r="F270" t="s">
        <v>3227</v>
      </c>
      <c r="G270" t="s">
        <v>181</v>
      </c>
    </row>
    <row r="271" spans="1:7" ht="11.25" customHeight="1">
      <c r="A271" t="s">
        <v>14</v>
      </c>
      <c r="B271" t="s">
        <v>3905</v>
      </c>
      <c r="C271" t="s">
        <v>3906</v>
      </c>
      <c r="D271" t="s">
        <v>3907</v>
      </c>
      <c r="E271" t="s">
        <v>3908</v>
      </c>
      <c r="F271" t="s">
        <v>3232</v>
      </c>
      <c r="G271" t="s">
        <v>3909</v>
      </c>
    </row>
    <row r="272" spans="1:7" ht="11.25" customHeight="1">
      <c r="A272" t="s">
        <v>14</v>
      </c>
      <c r="B272" t="s">
        <v>3905</v>
      </c>
      <c r="C272" t="s">
        <v>3906</v>
      </c>
      <c r="D272" t="s">
        <v>3910</v>
      </c>
      <c r="E272" t="s">
        <v>3911</v>
      </c>
      <c r="F272" t="s">
        <v>3232</v>
      </c>
      <c r="G272" t="s">
        <v>3912</v>
      </c>
    </row>
    <row r="273" spans="1:7" ht="11.25" customHeight="1">
      <c r="A273" t="s">
        <v>14</v>
      </c>
      <c r="B273" t="s">
        <v>3905</v>
      </c>
      <c r="C273" t="s">
        <v>3906</v>
      </c>
      <c r="D273" t="s">
        <v>3905</v>
      </c>
      <c r="E273" t="s">
        <v>3906</v>
      </c>
      <c r="F273" t="s">
        <v>3229</v>
      </c>
      <c r="G273" t="s">
        <v>3913</v>
      </c>
    </row>
    <row r="274" spans="1:7" ht="11.25" customHeight="1">
      <c r="A274" t="s">
        <v>14</v>
      </c>
      <c r="B274" t="s">
        <v>3905</v>
      </c>
      <c r="C274" t="s">
        <v>3906</v>
      </c>
      <c r="D274" t="s">
        <v>3914</v>
      </c>
      <c r="E274" t="s">
        <v>3915</v>
      </c>
      <c r="F274" t="s">
        <v>3232</v>
      </c>
      <c r="G274" t="s">
        <v>3916</v>
      </c>
    </row>
    <row r="275" spans="1:7" ht="11.25" customHeight="1">
      <c r="A275" t="s">
        <v>14</v>
      </c>
      <c r="B275" t="s">
        <v>3905</v>
      </c>
      <c r="C275" t="s">
        <v>3906</v>
      </c>
      <c r="D275" t="s">
        <v>3917</v>
      </c>
      <c r="E275" t="s">
        <v>3918</v>
      </c>
      <c r="F275" t="s">
        <v>3232</v>
      </c>
      <c r="G275" t="s">
        <v>3919</v>
      </c>
    </row>
    <row r="276" spans="1:7" ht="11.25" customHeight="1">
      <c r="A276" t="s">
        <v>14</v>
      </c>
      <c r="B276" t="s">
        <v>3905</v>
      </c>
      <c r="C276" t="s">
        <v>3906</v>
      </c>
      <c r="D276" t="s">
        <v>3920</v>
      </c>
      <c r="E276" t="s">
        <v>3921</v>
      </c>
      <c r="F276" t="s">
        <v>3232</v>
      </c>
      <c r="G276" t="s">
        <v>3922</v>
      </c>
    </row>
    <row r="277" spans="1:7" ht="11.25" customHeight="1">
      <c r="A277" t="s">
        <v>14</v>
      </c>
      <c r="B277" t="s">
        <v>3905</v>
      </c>
      <c r="C277" t="s">
        <v>3906</v>
      </c>
      <c r="D277" t="s">
        <v>3923</v>
      </c>
      <c r="E277" t="s">
        <v>3924</v>
      </c>
      <c r="F277" t="s">
        <v>3232</v>
      </c>
      <c r="G277" t="s">
        <v>3925</v>
      </c>
    </row>
    <row r="278" spans="1:7" ht="11.25" customHeight="1">
      <c r="A278" t="s">
        <v>14</v>
      </c>
      <c r="B278" t="s">
        <v>3905</v>
      </c>
      <c r="C278" t="s">
        <v>3906</v>
      </c>
      <c r="D278" t="s">
        <v>3926</v>
      </c>
      <c r="E278" t="s">
        <v>3927</v>
      </c>
      <c r="F278" t="s">
        <v>3232</v>
      </c>
      <c r="G278" t="s">
        <v>3928</v>
      </c>
    </row>
    <row r="279" spans="1:7" ht="11.25" customHeight="1">
      <c r="A279" t="s">
        <v>14</v>
      </c>
      <c r="B279" t="s">
        <v>3905</v>
      </c>
      <c r="C279" t="s">
        <v>3906</v>
      </c>
      <c r="D279" t="s">
        <v>3929</v>
      </c>
      <c r="E279" t="s">
        <v>3930</v>
      </c>
      <c r="F279" t="s">
        <v>3232</v>
      </c>
      <c r="G279" t="s">
        <v>3931</v>
      </c>
    </row>
    <row r="280" spans="1:7" ht="11.25" customHeight="1">
      <c r="A280" t="s">
        <v>14</v>
      </c>
      <c r="B280" t="s">
        <v>185</v>
      </c>
      <c r="C280" t="s">
        <v>186</v>
      </c>
      <c r="D280" t="s">
        <v>185</v>
      </c>
      <c r="E280" t="s">
        <v>186</v>
      </c>
      <c r="F280" t="s">
        <v>3311</v>
      </c>
      <c r="G280" t="s">
        <v>184</v>
      </c>
    </row>
    <row r="281" spans="1:7" ht="11.25" customHeight="1">
      <c r="A281" t="s">
        <v>14</v>
      </c>
      <c r="B281" t="s">
        <v>3932</v>
      </c>
      <c r="C281" t="s">
        <v>3933</v>
      </c>
      <c r="D281" t="s">
        <v>3932</v>
      </c>
      <c r="E281" t="s">
        <v>3933</v>
      </c>
      <c r="F281" t="s">
        <v>3227</v>
      </c>
      <c r="G281" t="s">
        <v>3934</v>
      </c>
    </row>
    <row r="282" spans="1:7" ht="11.25" customHeight="1">
      <c r="A282" t="s">
        <v>14</v>
      </c>
      <c r="B282" t="s">
        <v>3935</v>
      </c>
      <c r="C282" t="s">
        <v>3936</v>
      </c>
      <c r="D282" t="s">
        <v>3937</v>
      </c>
      <c r="E282" t="s">
        <v>3938</v>
      </c>
      <c r="F282" t="s">
        <v>3232</v>
      </c>
      <c r="G282" t="s">
        <v>3939</v>
      </c>
    </row>
    <row r="283" spans="1:7" ht="11.25" customHeight="1">
      <c r="A283" t="s">
        <v>14</v>
      </c>
      <c r="B283" t="s">
        <v>3935</v>
      </c>
      <c r="C283" t="s">
        <v>3936</v>
      </c>
      <c r="D283" t="s">
        <v>3940</v>
      </c>
      <c r="E283" t="s">
        <v>3941</v>
      </c>
      <c r="F283" t="s">
        <v>3324</v>
      </c>
      <c r="G283" t="s">
        <v>3942</v>
      </c>
    </row>
    <row r="284" spans="1:7" ht="11.25" customHeight="1">
      <c r="A284" t="s">
        <v>14</v>
      </c>
      <c r="B284" t="s">
        <v>3935</v>
      </c>
      <c r="C284" t="s">
        <v>3936</v>
      </c>
      <c r="D284" t="s">
        <v>3943</v>
      </c>
      <c r="E284" t="s">
        <v>3944</v>
      </c>
      <c r="F284" t="s">
        <v>3232</v>
      </c>
      <c r="G284" t="s">
        <v>3945</v>
      </c>
    </row>
    <row r="285" spans="1:7" ht="11.25" customHeight="1">
      <c r="A285" t="s">
        <v>14</v>
      </c>
      <c r="B285" t="s">
        <v>3935</v>
      </c>
      <c r="C285" t="s">
        <v>3936</v>
      </c>
      <c r="D285" t="s">
        <v>3946</v>
      </c>
      <c r="E285" t="s">
        <v>3947</v>
      </c>
      <c r="F285" t="s">
        <v>3232</v>
      </c>
      <c r="G285" t="s">
        <v>3948</v>
      </c>
    </row>
    <row r="286" spans="1:7" ht="11.25" customHeight="1">
      <c r="A286" t="s">
        <v>14</v>
      </c>
      <c r="B286" t="s">
        <v>3935</v>
      </c>
      <c r="C286" t="s">
        <v>3936</v>
      </c>
      <c r="D286" t="s">
        <v>3935</v>
      </c>
      <c r="E286" t="s">
        <v>3936</v>
      </c>
      <c r="F286" t="s">
        <v>3229</v>
      </c>
      <c r="G286" t="s">
        <v>3949</v>
      </c>
    </row>
    <row r="287" spans="1:7" ht="11.25" customHeight="1">
      <c r="A287" t="s">
        <v>14</v>
      </c>
      <c r="B287" t="s">
        <v>3935</v>
      </c>
      <c r="C287" t="s">
        <v>3936</v>
      </c>
      <c r="D287" t="s">
        <v>3950</v>
      </c>
      <c r="E287" t="s">
        <v>3951</v>
      </c>
      <c r="F287" t="s">
        <v>3232</v>
      </c>
      <c r="G287" t="s">
        <v>3952</v>
      </c>
    </row>
    <row r="288" spans="1:7" ht="11.25" customHeight="1">
      <c r="A288" t="s">
        <v>14</v>
      </c>
      <c r="B288" t="s">
        <v>3935</v>
      </c>
      <c r="C288" t="s">
        <v>3936</v>
      </c>
      <c r="D288" t="s">
        <v>3953</v>
      </c>
      <c r="E288" t="s">
        <v>3954</v>
      </c>
      <c r="F288" t="s">
        <v>3232</v>
      </c>
      <c r="G288" t="s">
        <v>3955</v>
      </c>
    </row>
    <row r="289" spans="1:7" ht="11.25" customHeight="1">
      <c r="A289" t="s">
        <v>14</v>
      </c>
      <c r="B289" t="s">
        <v>3935</v>
      </c>
      <c r="C289" t="s">
        <v>3936</v>
      </c>
      <c r="D289" t="s">
        <v>3956</v>
      </c>
      <c r="E289" t="s">
        <v>3957</v>
      </c>
      <c r="F289" t="s">
        <v>3232</v>
      </c>
      <c r="G289" t="s">
        <v>3958</v>
      </c>
    </row>
    <row r="290" spans="1:7" ht="11.25" customHeight="1">
      <c r="A290" t="s">
        <v>14</v>
      </c>
      <c r="B290" t="s">
        <v>3935</v>
      </c>
      <c r="C290" t="s">
        <v>3936</v>
      </c>
      <c r="D290" t="s">
        <v>3959</v>
      </c>
      <c r="E290" t="s">
        <v>3960</v>
      </c>
      <c r="F290" t="s">
        <v>3232</v>
      </c>
      <c r="G290" t="s">
        <v>3961</v>
      </c>
    </row>
    <row r="291" spans="1:7" ht="11.25" customHeight="1">
      <c r="A291" t="s">
        <v>14</v>
      </c>
      <c r="B291" t="s">
        <v>3935</v>
      </c>
      <c r="C291" t="s">
        <v>3936</v>
      </c>
      <c r="D291" t="s">
        <v>3962</v>
      </c>
      <c r="E291" t="s">
        <v>3963</v>
      </c>
      <c r="F291" t="s">
        <v>3232</v>
      </c>
      <c r="G291" t="s">
        <v>3964</v>
      </c>
    </row>
    <row r="292" spans="1:7" ht="11.25" customHeight="1">
      <c r="A292" t="s">
        <v>14</v>
      </c>
      <c r="B292" t="s">
        <v>3935</v>
      </c>
      <c r="C292" t="s">
        <v>3936</v>
      </c>
      <c r="D292" t="s">
        <v>3965</v>
      </c>
      <c r="E292" t="s">
        <v>3966</v>
      </c>
      <c r="F292" t="s">
        <v>3232</v>
      </c>
      <c r="G292" t="s">
        <v>3967</v>
      </c>
    </row>
    <row r="293" spans="1:7" ht="11.25" customHeight="1">
      <c r="A293" t="s">
        <v>14</v>
      </c>
      <c r="B293" t="s">
        <v>3935</v>
      </c>
      <c r="C293" t="s">
        <v>3936</v>
      </c>
      <c r="D293" t="s">
        <v>3968</v>
      </c>
      <c r="E293" t="s">
        <v>3969</v>
      </c>
      <c r="F293" t="s">
        <v>3232</v>
      </c>
      <c r="G293" t="s">
        <v>3970</v>
      </c>
    </row>
    <row r="294" spans="1:7" ht="11.25" customHeight="1">
      <c r="A294" t="s">
        <v>14</v>
      </c>
      <c r="B294" t="s">
        <v>3935</v>
      </c>
      <c r="C294" t="s">
        <v>3936</v>
      </c>
      <c r="D294" t="s">
        <v>3971</v>
      </c>
      <c r="E294" t="s">
        <v>3972</v>
      </c>
      <c r="F294" t="s">
        <v>3232</v>
      </c>
      <c r="G294" t="s">
        <v>3973</v>
      </c>
    </row>
    <row r="295" spans="1:7" ht="11.25" customHeight="1">
      <c r="A295" t="s">
        <v>14</v>
      </c>
      <c r="B295" t="s">
        <v>3935</v>
      </c>
      <c r="C295" t="s">
        <v>3936</v>
      </c>
      <c r="D295" t="s">
        <v>3974</v>
      </c>
      <c r="E295" t="s">
        <v>3975</v>
      </c>
      <c r="F295" t="s">
        <v>3232</v>
      </c>
      <c r="G295" t="s">
        <v>3976</v>
      </c>
    </row>
    <row r="296" spans="1:7" ht="11.25" customHeight="1">
      <c r="A296" t="s">
        <v>14</v>
      </c>
      <c r="B296" t="s">
        <v>189</v>
      </c>
      <c r="C296" t="s">
        <v>190</v>
      </c>
      <c r="D296" t="s">
        <v>189</v>
      </c>
      <c r="E296" t="s">
        <v>190</v>
      </c>
      <c r="F296" t="s">
        <v>3227</v>
      </c>
      <c r="G296" t="s">
        <v>188</v>
      </c>
    </row>
    <row r="297" spans="1:7" ht="11.25" customHeight="1">
      <c r="A297" t="s">
        <v>14</v>
      </c>
      <c r="B297" t="s">
        <v>3977</v>
      </c>
      <c r="C297" t="s">
        <v>3978</v>
      </c>
      <c r="D297" t="s">
        <v>3979</v>
      </c>
      <c r="E297" t="s">
        <v>3980</v>
      </c>
      <c r="F297" t="s">
        <v>3232</v>
      </c>
      <c r="G297" t="s">
        <v>3981</v>
      </c>
    </row>
    <row r="298" spans="1:7" ht="11.25" customHeight="1">
      <c r="A298" t="s">
        <v>14</v>
      </c>
      <c r="B298" t="s">
        <v>3977</v>
      </c>
      <c r="C298" t="s">
        <v>3978</v>
      </c>
      <c r="D298" t="s">
        <v>3982</v>
      </c>
      <c r="E298" t="s">
        <v>3983</v>
      </c>
      <c r="F298" t="s">
        <v>3232</v>
      </c>
      <c r="G298" t="s">
        <v>3984</v>
      </c>
    </row>
    <row r="299" spans="1:7" ht="11.25" customHeight="1">
      <c r="A299" t="s">
        <v>14</v>
      </c>
      <c r="B299" t="s">
        <v>3977</v>
      </c>
      <c r="C299" t="s">
        <v>3978</v>
      </c>
      <c r="D299" t="s">
        <v>3985</v>
      </c>
      <c r="E299" t="s">
        <v>3986</v>
      </c>
      <c r="F299" t="s">
        <v>3232</v>
      </c>
      <c r="G299" t="s">
        <v>3987</v>
      </c>
    </row>
    <row r="300" spans="1:7" ht="11.25" customHeight="1">
      <c r="A300" t="s">
        <v>14</v>
      </c>
      <c r="B300" t="s">
        <v>3977</v>
      </c>
      <c r="C300" t="s">
        <v>3978</v>
      </c>
      <c r="D300" t="s">
        <v>3988</v>
      </c>
      <c r="E300" t="s">
        <v>3989</v>
      </c>
      <c r="F300" t="s">
        <v>3232</v>
      </c>
      <c r="G300" t="s">
        <v>3990</v>
      </c>
    </row>
    <row r="301" spans="1:7" ht="11.25" customHeight="1">
      <c r="A301" t="s">
        <v>14</v>
      </c>
      <c r="B301" t="s">
        <v>3977</v>
      </c>
      <c r="C301" t="s">
        <v>3978</v>
      </c>
      <c r="D301" t="s">
        <v>3991</v>
      </c>
      <c r="E301" t="s">
        <v>3992</v>
      </c>
      <c r="F301" t="s">
        <v>3232</v>
      </c>
      <c r="G301" t="s">
        <v>3993</v>
      </c>
    </row>
    <row r="302" spans="1:7" ht="11.25" customHeight="1">
      <c r="A302" t="s">
        <v>14</v>
      </c>
      <c r="B302" t="s">
        <v>3977</v>
      </c>
      <c r="C302" t="s">
        <v>3978</v>
      </c>
      <c r="D302" t="s">
        <v>3994</v>
      </c>
      <c r="E302" t="s">
        <v>3995</v>
      </c>
      <c r="F302" t="s">
        <v>3232</v>
      </c>
      <c r="G302" t="s">
        <v>3996</v>
      </c>
    </row>
    <row r="303" spans="1:7" ht="11.25" customHeight="1">
      <c r="A303" t="s">
        <v>14</v>
      </c>
      <c r="B303" t="s">
        <v>3977</v>
      </c>
      <c r="C303" t="s">
        <v>3978</v>
      </c>
      <c r="D303" t="s">
        <v>3977</v>
      </c>
      <c r="E303" t="s">
        <v>3978</v>
      </c>
      <c r="F303" t="s">
        <v>3229</v>
      </c>
      <c r="G303" t="s">
        <v>3997</v>
      </c>
    </row>
    <row r="304" spans="1:7" ht="11.25" customHeight="1">
      <c r="A304" t="s">
        <v>14</v>
      </c>
      <c r="B304" t="s">
        <v>3977</v>
      </c>
      <c r="C304" t="s">
        <v>3978</v>
      </c>
      <c r="D304" t="s">
        <v>3998</v>
      </c>
      <c r="E304" t="s">
        <v>3999</v>
      </c>
      <c r="F304" t="s">
        <v>3232</v>
      </c>
      <c r="G304" t="s">
        <v>4000</v>
      </c>
    </row>
    <row r="305" spans="1:7" ht="11.25" customHeight="1">
      <c r="A305" t="s">
        <v>14</v>
      </c>
      <c r="B305" t="s">
        <v>3977</v>
      </c>
      <c r="C305" t="s">
        <v>3978</v>
      </c>
      <c r="D305" t="s">
        <v>4001</v>
      </c>
      <c r="E305" t="s">
        <v>4002</v>
      </c>
      <c r="F305" t="s">
        <v>3232</v>
      </c>
      <c r="G305" t="s">
        <v>4003</v>
      </c>
    </row>
    <row r="306" spans="1:7" ht="11.25" customHeight="1">
      <c r="A306" t="s">
        <v>14</v>
      </c>
      <c r="B306" t="s">
        <v>3977</v>
      </c>
      <c r="C306" t="s">
        <v>3978</v>
      </c>
      <c r="D306" t="s">
        <v>4004</v>
      </c>
      <c r="E306" t="s">
        <v>4005</v>
      </c>
      <c r="F306" t="s">
        <v>3232</v>
      </c>
      <c r="G306" t="s">
        <v>4006</v>
      </c>
    </row>
    <row r="307" spans="1:7" ht="11.25" customHeight="1">
      <c r="A307" t="s">
        <v>14</v>
      </c>
      <c r="B307" t="s">
        <v>3977</v>
      </c>
      <c r="C307" t="s">
        <v>3978</v>
      </c>
      <c r="D307" t="s">
        <v>4007</v>
      </c>
      <c r="E307" t="s">
        <v>4008</v>
      </c>
      <c r="F307" t="s">
        <v>3232</v>
      </c>
      <c r="G307" t="s">
        <v>4009</v>
      </c>
    </row>
    <row r="308" spans="1:7" ht="11.25" customHeight="1">
      <c r="A308" t="s">
        <v>14</v>
      </c>
      <c r="B308" t="s">
        <v>3977</v>
      </c>
      <c r="C308" t="s">
        <v>3978</v>
      </c>
      <c r="D308" t="s">
        <v>4010</v>
      </c>
      <c r="E308" t="s">
        <v>4011</v>
      </c>
      <c r="F308" t="s">
        <v>3232</v>
      </c>
      <c r="G308" t="s">
        <v>4012</v>
      </c>
    </row>
    <row r="309" spans="1:7" ht="11.25" customHeight="1">
      <c r="A309" t="s">
        <v>14</v>
      </c>
      <c r="B309" t="s">
        <v>3977</v>
      </c>
      <c r="C309" t="s">
        <v>3978</v>
      </c>
      <c r="D309" t="s">
        <v>4013</v>
      </c>
      <c r="E309" t="s">
        <v>4014</v>
      </c>
      <c r="F309" t="s">
        <v>3232</v>
      </c>
      <c r="G309" t="s">
        <v>4015</v>
      </c>
    </row>
    <row r="310" spans="1:7" ht="11.25" customHeight="1">
      <c r="A310" t="s">
        <v>14</v>
      </c>
      <c r="B310" t="s">
        <v>3977</v>
      </c>
      <c r="C310" t="s">
        <v>3978</v>
      </c>
      <c r="D310" t="s">
        <v>4016</v>
      </c>
      <c r="E310" t="s">
        <v>4017</v>
      </c>
      <c r="F310" t="s">
        <v>3232</v>
      </c>
      <c r="G310" t="s">
        <v>4018</v>
      </c>
    </row>
    <row r="311" spans="1:7" ht="11.25" customHeight="1">
      <c r="A311" t="s">
        <v>14</v>
      </c>
      <c r="B311" t="s">
        <v>3977</v>
      </c>
      <c r="C311" t="s">
        <v>3978</v>
      </c>
      <c r="D311" t="s">
        <v>4019</v>
      </c>
      <c r="E311" t="s">
        <v>4020</v>
      </c>
      <c r="F311" t="s">
        <v>3232</v>
      </c>
      <c r="G311" t="s">
        <v>4021</v>
      </c>
    </row>
    <row r="312" spans="1:7" ht="11.25" customHeight="1">
      <c r="A312" t="s">
        <v>14</v>
      </c>
      <c r="B312" t="s">
        <v>3977</v>
      </c>
      <c r="C312" t="s">
        <v>3978</v>
      </c>
      <c r="D312" t="s">
        <v>4022</v>
      </c>
      <c r="E312" t="s">
        <v>4023</v>
      </c>
      <c r="F312" t="s">
        <v>3232</v>
      </c>
      <c r="G312" t="s">
        <v>4024</v>
      </c>
    </row>
    <row r="313" spans="1:7" ht="11.25" customHeight="1">
      <c r="A313" t="s">
        <v>14</v>
      </c>
      <c r="B313" t="s">
        <v>4025</v>
      </c>
      <c r="C313" t="s">
        <v>4026</v>
      </c>
      <c r="D313" t="s">
        <v>4025</v>
      </c>
      <c r="E313" t="s">
        <v>4026</v>
      </c>
      <c r="F313" t="s">
        <v>3311</v>
      </c>
      <c r="G313" t="s">
        <v>4027</v>
      </c>
    </row>
    <row r="314" spans="1:7" ht="11.25" customHeight="1">
      <c r="A314" t="s">
        <v>14</v>
      </c>
      <c r="B314" t="s">
        <v>4028</v>
      </c>
      <c r="C314" t="s">
        <v>4029</v>
      </c>
      <c r="D314" t="s">
        <v>4028</v>
      </c>
      <c r="E314" t="s">
        <v>4029</v>
      </c>
      <c r="F314" t="s">
        <v>3227</v>
      </c>
      <c r="G314" t="s">
        <v>4030</v>
      </c>
    </row>
    <row r="315" spans="1:7" ht="11.25" customHeight="1">
      <c r="A315" t="s">
        <v>14</v>
      </c>
      <c r="B315" t="s">
        <v>4031</v>
      </c>
      <c r="C315" t="s">
        <v>4032</v>
      </c>
      <c r="D315" t="s">
        <v>4033</v>
      </c>
      <c r="E315" t="s">
        <v>4034</v>
      </c>
      <c r="F315" t="s">
        <v>3232</v>
      </c>
      <c r="G315" t="s">
        <v>4035</v>
      </c>
    </row>
    <row r="316" spans="1:7" ht="11.25" customHeight="1">
      <c r="A316" t="s">
        <v>14</v>
      </c>
      <c r="B316" t="s">
        <v>4031</v>
      </c>
      <c r="C316" t="s">
        <v>4032</v>
      </c>
      <c r="D316" t="s">
        <v>4036</v>
      </c>
      <c r="E316" t="s">
        <v>4037</v>
      </c>
      <c r="F316" t="s">
        <v>3324</v>
      </c>
      <c r="G316" t="s">
        <v>4038</v>
      </c>
    </row>
    <row r="317" spans="1:7" ht="11.25" customHeight="1">
      <c r="A317" t="s">
        <v>14</v>
      </c>
      <c r="B317" t="s">
        <v>4031</v>
      </c>
      <c r="C317" t="s">
        <v>4032</v>
      </c>
      <c r="D317" t="s">
        <v>4039</v>
      </c>
      <c r="E317" t="s">
        <v>4040</v>
      </c>
      <c r="F317" t="s">
        <v>3232</v>
      </c>
      <c r="G317" t="s">
        <v>4041</v>
      </c>
    </row>
    <row r="318" spans="1:7" ht="11.25" customHeight="1">
      <c r="A318" t="s">
        <v>14</v>
      </c>
      <c r="B318" t="s">
        <v>4031</v>
      </c>
      <c r="C318" t="s">
        <v>4032</v>
      </c>
      <c r="D318" t="s">
        <v>4042</v>
      </c>
      <c r="E318" t="s">
        <v>4043</v>
      </c>
      <c r="F318" t="s">
        <v>3232</v>
      </c>
      <c r="G318" t="s">
        <v>4044</v>
      </c>
    </row>
    <row r="319" spans="1:7" ht="11.25" customHeight="1">
      <c r="A319" t="s">
        <v>14</v>
      </c>
      <c r="B319" t="s">
        <v>4031</v>
      </c>
      <c r="C319" t="s">
        <v>4032</v>
      </c>
      <c r="D319" t="s">
        <v>4045</v>
      </c>
      <c r="E319" t="s">
        <v>4046</v>
      </c>
      <c r="F319" t="s">
        <v>3232</v>
      </c>
      <c r="G319" t="s">
        <v>4047</v>
      </c>
    </row>
    <row r="320" spans="1:7" ht="11.25" customHeight="1">
      <c r="A320" t="s">
        <v>14</v>
      </c>
      <c r="B320" t="s">
        <v>4031</v>
      </c>
      <c r="C320" t="s">
        <v>4032</v>
      </c>
      <c r="D320" t="s">
        <v>4048</v>
      </c>
      <c r="E320" t="s">
        <v>4049</v>
      </c>
      <c r="F320" t="s">
        <v>3232</v>
      </c>
      <c r="G320" t="s">
        <v>4050</v>
      </c>
    </row>
    <row r="321" spans="1:7" ht="11.25" customHeight="1">
      <c r="A321" t="s">
        <v>14</v>
      </c>
      <c r="B321" t="s">
        <v>4031</v>
      </c>
      <c r="C321" t="s">
        <v>4032</v>
      </c>
      <c r="D321" t="s">
        <v>4031</v>
      </c>
      <c r="E321" t="s">
        <v>4032</v>
      </c>
      <c r="F321" t="s">
        <v>3229</v>
      </c>
      <c r="G321" t="s">
        <v>4051</v>
      </c>
    </row>
    <row r="322" spans="1:7" ht="11.25" customHeight="1">
      <c r="A322" t="s">
        <v>14</v>
      </c>
      <c r="B322" t="s">
        <v>4031</v>
      </c>
      <c r="C322" t="s">
        <v>4032</v>
      </c>
      <c r="D322" t="s">
        <v>4052</v>
      </c>
      <c r="E322" t="s">
        <v>4053</v>
      </c>
      <c r="F322" t="s">
        <v>3232</v>
      </c>
      <c r="G322" t="s">
        <v>4054</v>
      </c>
    </row>
    <row r="323" spans="1:7" ht="11.25" customHeight="1">
      <c r="A323" t="s">
        <v>14</v>
      </c>
      <c r="B323" t="s">
        <v>193</v>
      </c>
      <c r="C323" t="s">
        <v>194</v>
      </c>
      <c r="D323" t="s">
        <v>193</v>
      </c>
      <c r="E323" t="s">
        <v>194</v>
      </c>
      <c r="F323" t="s">
        <v>3227</v>
      </c>
      <c r="G323" t="s">
        <v>192</v>
      </c>
    </row>
    <row r="324" spans="1:7" ht="11.25" customHeight="1">
      <c r="A324" t="s">
        <v>14</v>
      </c>
      <c r="B324" t="s">
        <v>4055</v>
      </c>
      <c r="C324" t="s">
        <v>4056</v>
      </c>
      <c r="D324" t="s">
        <v>4057</v>
      </c>
      <c r="E324" t="s">
        <v>4058</v>
      </c>
      <c r="F324" t="s">
        <v>3232</v>
      </c>
      <c r="G324" t="s">
        <v>4059</v>
      </c>
    </row>
    <row r="325" spans="1:7" ht="11.25" customHeight="1">
      <c r="A325" t="s">
        <v>14</v>
      </c>
      <c r="B325" t="s">
        <v>4055</v>
      </c>
      <c r="C325" t="s">
        <v>4056</v>
      </c>
      <c r="D325" t="s">
        <v>4060</v>
      </c>
      <c r="E325" t="s">
        <v>4061</v>
      </c>
      <c r="F325" t="s">
        <v>3232</v>
      </c>
      <c r="G325" t="s">
        <v>4062</v>
      </c>
    </row>
    <row r="326" spans="1:7" ht="11.25" customHeight="1">
      <c r="A326" t="s">
        <v>14</v>
      </c>
      <c r="B326" t="s">
        <v>4055</v>
      </c>
      <c r="C326" t="s">
        <v>4056</v>
      </c>
      <c r="D326" t="s">
        <v>4063</v>
      </c>
      <c r="E326" t="s">
        <v>4064</v>
      </c>
      <c r="F326" t="s">
        <v>3232</v>
      </c>
      <c r="G326" t="s">
        <v>4065</v>
      </c>
    </row>
    <row r="327" spans="1:7" ht="11.25" customHeight="1">
      <c r="A327" t="s">
        <v>14</v>
      </c>
      <c r="B327" t="s">
        <v>4055</v>
      </c>
      <c r="C327" t="s">
        <v>4056</v>
      </c>
      <c r="D327" t="s">
        <v>4066</v>
      </c>
      <c r="E327" t="s">
        <v>4067</v>
      </c>
      <c r="F327" t="s">
        <v>3232</v>
      </c>
      <c r="G327" t="s">
        <v>4068</v>
      </c>
    </row>
    <row r="328" spans="1:7" ht="11.25" customHeight="1">
      <c r="A328" t="s">
        <v>14</v>
      </c>
      <c r="B328" t="s">
        <v>4055</v>
      </c>
      <c r="C328" t="s">
        <v>4056</v>
      </c>
      <c r="D328" t="s">
        <v>4069</v>
      </c>
      <c r="E328" t="s">
        <v>4070</v>
      </c>
      <c r="F328" t="s">
        <v>3232</v>
      </c>
      <c r="G328" t="s">
        <v>4071</v>
      </c>
    </row>
    <row r="329" spans="1:7" ht="11.25" customHeight="1">
      <c r="A329" t="s">
        <v>14</v>
      </c>
      <c r="B329" t="s">
        <v>4055</v>
      </c>
      <c r="C329" t="s">
        <v>4056</v>
      </c>
      <c r="D329" t="s">
        <v>4072</v>
      </c>
      <c r="E329" t="s">
        <v>4073</v>
      </c>
      <c r="F329" t="s">
        <v>3232</v>
      </c>
      <c r="G329" t="s">
        <v>4074</v>
      </c>
    </row>
    <row r="330" spans="1:7" ht="11.25" customHeight="1">
      <c r="A330" t="s">
        <v>14</v>
      </c>
      <c r="B330" t="s">
        <v>4055</v>
      </c>
      <c r="C330" t="s">
        <v>4056</v>
      </c>
      <c r="D330" t="s">
        <v>4055</v>
      </c>
      <c r="E330" t="s">
        <v>4056</v>
      </c>
      <c r="F330" t="s">
        <v>3229</v>
      </c>
      <c r="G330" t="s">
        <v>4075</v>
      </c>
    </row>
    <row r="331" spans="1:7" ht="11.25" customHeight="1">
      <c r="A331" t="s">
        <v>14</v>
      </c>
      <c r="B331" t="s">
        <v>4055</v>
      </c>
      <c r="C331" t="s">
        <v>4056</v>
      </c>
      <c r="D331" t="s">
        <v>4076</v>
      </c>
      <c r="E331" t="s">
        <v>4077</v>
      </c>
      <c r="F331" t="s">
        <v>3232</v>
      </c>
      <c r="G331" t="s">
        <v>4078</v>
      </c>
    </row>
    <row r="332" spans="1:7" ht="11.25" customHeight="1">
      <c r="A332" t="s">
        <v>14</v>
      </c>
      <c r="B332" t="s">
        <v>197</v>
      </c>
      <c r="C332" t="s">
        <v>198</v>
      </c>
      <c r="D332" t="s">
        <v>197</v>
      </c>
      <c r="E332" t="s">
        <v>198</v>
      </c>
      <c r="F332" t="s">
        <v>3227</v>
      </c>
      <c r="G332" t="s">
        <v>196</v>
      </c>
    </row>
    <row r="333" spans="1:7" ht="11.25" customHeight="1">
      <c r="A333" t="s">
        <v>14</v>
      </c>
      <c r="B333" t="s">
        <v>4079</v>
      </c>
      <c r="C333" t="s">
        <v>4080</v>
      </c>
      <c r="D333" t="s">
        <v>4081</v>
      </c>
      <c r="E333" t="s">
        <v>4082</v>
      </c>
      <c r="F333" t="s">
        <v>3232</v>
      </c>
      <c r="G333" t="s">
        <v>4083</v>
      </c>
    </row>
    <row r="334" spans="1:7" ht="11.25" customHeight="1">
      <c r="A334" t="s">
        <v>14</v>
      </c>
      <c r="B334" t="s">
        <v>4079</v>
      </c>
      <c r="C334" t="s">
        <v>4080</v>
      </c>
      <c r="D334" t="s">
        <v>4084</v>
      </c>
      <c r="E334" t="s">
        <v>4085</v>
      </c>
      <c r="F334" t="s">
        <v>3232</v>
      </c>
      <c r="G334" t="s">
        <v>4086</v>
      </c>
    </row>
    <row r="335" spans="1:7" ht="11.25" customHeight="1">
      <c r="A335" t="s">
        <v>14</v>
      </c>
      <c r="B335" t="s">
        <v>4079</v>
      </c>
      <c r="C335" t="s">
        <v>4080</v>
      </c>
      <c r="D335" t="s">
        <v>4087</v>
      </c>
      <c r="E335" t="s">
        <v>4088</v>
      </c>
      <c r="F335" t="s">
        <v>3232</v>
      </c>
      <c r="G335" t="s">
        <v>4089</v>
      </c>
    </row>
    <row r="336" spans="1:7" ht="11.25" customHeight="1">
      <c r="A336" t="s">
        <v>14</v>
      </c>
      <c r="B336" t="s">
        <v>4079</v>
      </c>
      <c r="C336" t="s">
        <v>4080</v>
      </c>
      <c r="D336" t="s">
        <v>4090</v>
      </c>
      <c r="E336" t="s">
        <v>4091</v>
      </c>
      <c r="F336" t="s">
        <v>3232</v>
      </c>
      <c r="G336" t="s">
        <v>4092</v>
      </c>
    </row>
    <row r="337" spans="1:7" ht="11.25" customHeight="1">
      <c r="A337" t="s">
        <v>14</v>
      </c>
      <c r="B337" t="s">
        <v>4079</v>
      </c>
      <c r="C337" t="s">
        <v>4080</v>
      </c>
      <c r="D337" t="s">
        <v>4093</v>
      </c>
      <c r="E337" t="s">
        <v>4094</v>
      </c>
      <c r="F337" t="s">
        <v>3232</v>
      </c>
      <c r="G337" t="s">
        <v>4095</v>
      </c>
    </row>
    <row r="338" spans="1:7" ht="11.25" customHeight="1">
      <c r="A338" t="s">
        <v>14</v>
      </c>
      <c r="B338" t="s">
        <v>4079</v>
      </c>
      <c r="C338" t="s">
        <v>4080</v>
      </c>
      <c r="D338" t="s">
        <v>4079</v>
      </c>
      <c r="E338" t="s">
        <v>4080</v>
      </c>
      <c r="F338" t="s">
        <v>3229</v>
      </c>
      <c r="G338" t="s">
        <v>4096</v>
      </c>
    </row>
    <row r="339" spans="1:7" ht="11.25" customHeight="1">
      <c r="A339" t="s">
        <v>14</v>
      </c>
      <c r="B339" t="s">
        <v>4079</v>
      </c>
      <c r="C339" t="s">
        <v>4080</v>
      </c>
      <c r="D339" t="s">
        <v>4097</v>
      </c>
      <c r="E339" t="s">
        <v>4098</v>
      </c>
      <c r="F339" t="s">
        <v>3232</v>
      </c>
      <c r="G339" t="s">
        <v>4099</v>
      </c>
    </row>
    <row r="340" spans="1:7" ht="11.25" customHeight="1">
      <c r="A340" t="s">
        <v>14</v>
      </c>
      <c r="B340" t="s">
        <v>201</v>
      </c>
      <c r="C340" t="s">
        <v>202</v>
      </c>
      <c r="D340" t="s">
        <v>201</v>
      </c>
      <c r="E340" t="s">
        <v>202</v>
      </c>
      <c r="F340" t="s">
        <v>3227</v>
      </c>
      <c r="G340" t="s">
        <v>200</v>
      </c>
    </row>
    <row r="341" spans="1:7" ht="11.25" customHeight="1">
      <c r="A341" t="s">
        <v>14</v>
      </c>
      <c r="B341" t="s">
        <v>4100</v>
      </c>
      <c r="C341" t="s">
        <v>4101</v>
      </c>
      <c r="D341" t="s">
        <v>3744</v>
      </c>
      <c r="E341" t="s">
        <v>4102</v>
      </c>
      <c r="F341" t="s">
        <v>3232</v>
      </c>
      <c r="G341" t="s">
        <v>4103</v>
      </c>
    </row>
    <row r="342" spans="1:7" ht="11.25" customHeight="1">
      <c r="A342" t="s">
        <v>14</v>
      </c>
      <c r="B342" t="s">
        <v>4100</v>
      </c>
      <c r="C342" t="s">
        <v>4101</v>
      </c>
      <c r="D342" t="s">
        <v>4104</v>
      </c>
      <c r="E342" t="s">
        <v>4105</v>
      </c>
      <c r="F342" t="s">
        <v>3232</v>
      </c>
      <c r="G342" t="s">
        <v>4106</v>
      </c>
    </row>
    <row r="343" spans="1:7" ht="11.25" customHeight="1">
      <c r="A343" t="s">
        <v>14</v>
      </c>
      <c r="B343" t="s">
        <v>4100</v>
      </c>
      <c r="C343" t="s">
        <v>4101</v>
      </c>
      <c r="D343" t="s">
        <v>4107</v>
      </c>
      <c r="E343" t="s">
        <v>4108</v>
      </c>
      <c r="F343" t="s">
        <v>3232</v>
      </c>
      <c r="G343" t="s">
        <v>4109</v>
      </c>
    </row>
    <row r="344" spans="1:7" ht="11.25" customHeight="1">
      <c r="A344" t="s">
        <v>14</v>
      </c>
      <c r="B344" t="s">
        <v>4100</v>
      </c>
      <c r="C344" t="s">
        <v>4101</v>
      </c>
      <c r="D344" t="s">
        <v>4110</v>
      </c>
      <c r="E344" t="s">
        <v>4111</v>
      </c>
      <c r="F344" t="s">
        <v>3232</v>
      </c>
      <c r="G344" t="s">
        <v>4112</v>
      </c>
    </row>
    <row r="345" spans="1:7" ht="11.25" customHeight="1">
      <c r="A345" t="s">
        <v>14</v>
      </c>
      <c r="B345" t="s">
        <v>4100</v>
      </c>
      <c r="C345" t="s">
        <v>4101</v>
      </c>
      <c r="D345" t="s">
        <v>4113</v>
      </c>
      <c r="E345" t="s">
        <v>4114</v>
      </c>
      <c r="F345" t="s">
        <v>3232</v>
      </c>
      <c r="G345" t="s">
        <v>4115</v>
      </c>
    </row>
    <row r="346" spans="1:7" ht="11.25" customHeight="1">
      <c r="A346" t="s">
        <v>14</v>
      </c>
      <c r="B346" t="s">
        <v>4100</v>
      </c>
      <c r="C346" t="s">
        <v>4101</v>
      </c>
      <c r="D346" t="s">
        <v>4116</v>
      </c>
      <c r="E346" t="s">
        <v>4117</v>
      </c>
      <c r="F346" t="s">
        <v>3232</v>
      </c>
      <c r="G346" t="s">
        <v>4118</v>
      </c>
    </row>
    <row r="347" spans="1:7" ht="11.25" customHeight="1">
      <c r="A347" t="s">
        <v>14</v>
      </c>
      <c r="B347" t="s">
        <v>4100</v>
      </c>
      <c r="C347" t="s">
        <v>4101</v>
      </c>
      <c r="D347" t="s">
        <v>4119</v>
      </c>
      <c r="E347" t="s">
        <v>4120</v>
      </c>
      <c r="F347" t="s">
        <v>3232</v>
      </c>
      <c r="G347" t="s">
        <v>4121</v>
      </c>
    </row>
    <row r="348" spans="1:7" ht="11.25" customHeight="1">
      <c r="A348" t="s">
        <v>14</v>
      </c>
      <c r="B348" t="s">
        <v>4100</v>
      </c>
      <c r="C348" t="s">
        <v>4101</v>
      </c>
      <c r="D348" t="s">
        <v>4122</v>
      </c>
      <c r="E348" t="s">
        <v>4123</v>
      </c>
      <c r="F348" t="s">
        <v>3232</v>
      </c>
      <c r="G348" t="s">
        <v>4124</v>
      </c>
    </row>
    <row r="349" spans="1:7" ht="11.25" customHeight="1">
      <c r="A349" t="s">
        <v>14</v>
      </c>
      <c r="B349" t="s">
        <v>4100</v>
      </c>
      <c r="C349" t="s">
        <v>4101</v>
      </c>
      <c r="D349" t="s">
        <v>4125</v>
      </c>
      <c r="E349" t="s">
        <v>4126</v>
      </c>
      <c r="F349" t="s">
        <v>3232</v>
      </c>
      <c r="G349" t="s">
        <v>4127</v>
      </c>
    </row>
    <row r="350" spans="1:7" ht="11.25" customHeight="1">
      <c r="A350" t="s">
        <v>14</v>
      </c>
      <c r="B350" t="s">
        <v>4100</v>
      </c>
      <c r="C350" t="s">
        <v>4101</v>
      </c>
      <c r="D350" t="s">
        <v>4128</v>
      </c>
      <c r="E350" t="s">
        <v>4129</v>
      </c>
      <c r="F350" t="s">
        <v>3232</v>
      </c>
      <c r="G350" t="s">
        <v>4130</v>
      </c>
    </row>
    <row r="351" spans="1:7" ht="11.25" customHeight="1">
      <c r="A351" t="s">
        <v>14</v>
      </c>
      <c r="B351" t="s">
        <v>4100</v>
      </c>
      <c r="C351" t="s">
        <v>4101</v>
      </c>
      <c r="D351" t="s">
        <v>4131</v>
      </c>
      <c r="E351" t="s">
        <v>4132</v>
      </c>
      <c r="F351" t="s">
        <v>3232</v>
      </c>
      <c r="G351" t="s">
        <v>4133</v>
      </c>
    </row>
    <row r="352" spans="1:7" ht="11.25" customHeight="1">
      <c r="A352" t="s">
        <v>14</v>
      </c>
      <c r="B352" t="s">
        <v>4100</v>
      </c>
      <c r="C352" t="s">
        <v>4101</v>
      </c>
      <c r="D352" t="s">
        <v>4100</v>
      </c>
      <c r="E352" t="s">
        <v>4101</v>
      </c>
      <c r="F352" t="s">
        <v>3229</v>
      </c>
      <c r="G352" t="s">
        <v>4134</v>
      </c>
    </row>
    <row r="353" spans="1:7" ht="11.25" customHeight="1">
      <c r="A353" t="s">
        <v>14</v>
      </c>
      <c r="B353" t="s">
        <v>205</v>
      </c>
      <c r="C353" t="s">
        <v>206</v>
      </c>
      <c r="D353" t="s">
        <v>205</v>
      </c>
      <c r="E353" t="s">
        <v>206</v>
      </c>
      <c r="F353" t="s">
        <v>3227</v>
      </c>
      <c r="G353" t="s">
        <v>204</v>
      </c>
    </row>
    <row r="354" spans="1:7" ht="11.25" customHeight="1">
      <c r="A354" t="s">
        <v>14</v>
      </c>
      <c r="B354" t="s">
        <v>4135</v>
      </c>
      <c r="C354" t="s">
        <v>4136</v>
      </c>
      <c r="D354" t="s">
        <v>4137</v>
      </c>
      <c r="E354" t="s">
        <v>4138</v>
      </c>
      <c r="F354" t="s">
        <v>3232</v>
      </c>
      <c r="G354" t="s">
        <v>4139</v>
      </c>
    </row>
    <row r="355" spans="1:7" ht="11.25" customHeight="1">
      <c r="A355" t="s">
        <v>14</v>
      </c>
      <c r="B355" t="s">
        <v>4135</v>
      </c>
      <c r="C355" t="s">
        <v>4136</v>
      </c>
      <c r="D355" t="s">
        <v>4140</v>
      </c>
      <c r="E355" t="s">
        <v>4141</v>
      </c>
      <c r="F355" t="s">
        <v>3324</v>
      </c>
      <c r="G355" t="s">
        <v>4142</v>
      </c>
    </row>
    <row r="356" spans="1:7" ht="11.25" customHeight="1">
      <c r="A356" t="s">
        <v>14</v>
      </c>
      <c r="B356" t="s">
        <v>4135</v>
      </c>
      <c r="C356" t="s">
        <v>4136</v>
      </c>
      <c r="D356" t="s">
        <v>4143</v>
      </c>
      <c r="E356" t="s">
        <v>4144</v>
      </c>
      <c r="F356" t="s">
        <v>3232</v>
      </c>
      <c r="G356" t="s">
        <v>4145</v>
      </c>
    </row>
    <row r="357" spans="1:7" ht="11.25" customHeight="1">
      <c r="A357" t="s">
        <v>14</v>
      </c>
      <c r="B357" t="s">
        <v>4135</v>
      </c>
      <c r="C357" t="s">
        <v>4136</v>
      </c>
      <c r="D357" t="s">
        <v>4146</v>
      </c>
      <c r="E357" t="s">
        <v>4147</v>
      </c>
      <c r="F357" t="s">
        <v>3232</v>
      </c>
      <c r="G357" t="s">
        <v>4148</v>
      </c>
    </row>
    <row r="358" spans="1:7" ht="11.25" customHeight="1">
      <c r="A358" t="s">
        <v>14</v>
      </c>
      <c r="B358" t="s">
        <v>4135</v>
      </c>
      <c r="C358" t="s">
        <v>4136</v>
      </c>
      <c r="D358" t="s">
        <v>3249</v>
      </c>
      <c r="E358" t="s">
        <v>4149</v>
      </c>
      <c r="F358" t="s">
        <v>3232</v>
      </c>
      <c r="G358" t="s">
        <v>4150</v>
      </c>
    </row>
    <row r="359" spans="1:7" ht="11.25" customHeight="1">
      <c r="A359" t="s">
        <v>14</v>
      </c>
      <c r="B359" t="s">
        <v>4135</v>
      </c>
      <c r="C359" t="s">
        <v>4136</v>
      </c>
      <c r="D359" t="s">
        <v>4151</v>
      </c>
      <c r="E359" t="s">
        <v>4152</v>
      </c>
      <c r="F359" t="s">
        <v>3232</v>
      </c>
      <c r="G359" t="s">
        <v>4153</v>
      </c>
    </row>
    <row r="360" spans="1:7" ht="11.25" customHeight="1">
      <c r="A360" t="s">
        <v>14</v>
      </c>
      <c r="B360" t="s">
        <v>4135</v>
      </c>
      <c r="C360" t="s">
        <v>4136</v>
      </c>
      <c r="D360" t="s">
        <v>4154</v>
      </c>
      <c r="E360" t="s">
        <v>4155</v>
      </c>
      <c r="F360" t="s">
        <v>3232</v>
      </c>
      <c r="G360" t="s">
        <v>4156</v>
      </c>
    </row>
    <row r="361" spans="1:7" ht="11.25" customHeight="1">
      <c r="A361" t="s">
        <v>14</v>
      </c>
      <c r="B361" t="s">
        <v>4135</v>
      </c>
      <c r="C361" t="s">
        <v>4136</v>
      </c>
      <c r="D361" t="s">
        <v>4157</v>
      </c>
      <c r="E361" t="s">
        <v>4158</v>
      </c>
      <c r="F361" t="s">
        <v>3232</v>
      </c>
      <c r="G361" t="s">
        <v>4159</v>
      </c>
    </row>
    <row r="362" spans="1:7" ht="11.25" customHeight="1">
      <c r="A362" t="s">
        <v>14</v>
      </c>
      <c r="B362" t="s">
        <v>4135</v>
      </c>
      <c r="C362" t="s">
        <v>4136</v>
      </c>
      <c r="D362" t="s">
        <v>4160</v>
      </c>
      <c r="E362" t="s">
        <v>4161</v>
      </c>
      <c r="F362" t="s">
        <v>3232</v>
      </c>
      <c r="G362" t="s">
        <v>4162</v>
      </c>
    </row>
    <row r="363" spans="1:7" ht="11.25" customHeight="1">
      <c r="A363" t="s">
        <v>14</v>
      </c>
      <c r="B363" t="s">
        <v>4135</v>
      </c>
      <c r="C363" t="s">
        <v>4136</v>
      </c>
      <c r="D363" t="s">
        <v>4163</v>
      </c>
      <c r="E363" t="s">
        <v>4164</v>
      </c>
      <c r="F363" t="s">
        <v>3232</v>
      </c>
      <c r="G363" t="s">
        <v>4165</v>
      </c>
    </row>
    <row r="364" spans="1:7" ht="11.25" customHeight="1">
      <c r="A364" t="s">
        <v>14</v>
      </c>
      <c r="B364" t="s">
        <v>4135</v>
      </c>
      <c r="C364" t="s">
        <v>4136</v>
      </c>
      <c r="D364" t="s">
        <v>4166</v>
      </c>
      <c r="E364" t="s">
        <v>4167</v>
      </c>
      <c r="F364" t="s">
        <v>3232</v>
      </c>
      <c r="G364" t="s">
        <v>4168</v>
      </c>
    </row>
    <row r="365" spans="1:7" ht="11.25" customHeight="1">
      <c r="A365" t="s">
        <v>14</v>
      </c>
      <c r="B365" t="s">
        <v>4135</v>
      </c>
      <c r="C365" t="s">
        <v>4136</v>
      </c>
      <c r="D365" t="s">
        <v>4169</v>
      </c>
      <c r="E365" t="s">
        <v>4170</v>
      </c>
      <c r="F365" t="s">
        <v>3232</v>
      </c>
      <c r="G365" t="s">
        <v>4171</v>
      </c>
    </row>
    <row r="366" spans="1:7" ht="11.25" customHeight="1">
      <c r="A366" t="s">
        <v>14</v>
      </c>
      <c r="B366" t="s">
        <v>4135</v>
      </c>
      <c r="C366" t="s">
        <v>4136</v>
      </c>
      <c r="D366" t="s">
        <v>4135</v>
      </c>
      <c r="E366" t="s">
        <v>4136</v>
      </c>
      <c r="F366" t="s">
        <v>3229</v>
      </c>
      <c r="G366" t="s">
        <v>4172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16"/>
  <sheetViews>
    <sheetView showGridLines="0" workbookViewId="0"/>
  </sheetViews>
  <sheetFormatPr defaultColWidth="9.140625" defaultRowHeight="11.25" customHeight="1"/>
  <cols>
    <col min="1" max="4" width="9.140625" style="1610"/>
  </cols>
  <sheetData>
    <row r="1" spans="1:4" ht="11.25" customHeight="1">
      <c r="A1" s="749" t="s">
        <v>4173</v>
      </c>
      <c r="B1" s="749" t="s">
        <v>4174</v>
      </c>
      <c r="C1" s="749" t="s">
        <v>4175</v>
      </c>
      <c r="D1" s="749" t="s">
        <v>4176</v>
      </c>
    </row>
    <row r="2" spans="1:4" ht="11.25" customHeight="1">
      <c r="A2" s="1610" t="s">
        <v>97</v>
      </c>
      <c r="B2" s="1610" t="s">
        <v>4177</v>
      </c>
      <c r="C2" s="1610" t="s">
        <v>4178</v>
      </c>
      <c r="D2" s="1610" t="s">
        <v>4179</v>
      </c>
    </row>
    <row r="3" spans="1:4" ht="11.25" customHeight="1">
      <c r="A3" s="1610" t="s">
        <v>100</v>
      </c>
      <c r="B3" s="1610" t="s">
        <v>4180</v>
      </c>
      <c r="C3" s="1610" t="s">
        <v>4181</v>
      </c>
      <c r="D3" s="1610" t="s">
        <v>4182</v>
      </c>
    </row>
    <row r="4" spans="1:4" ht="11.25" customHeight="1">
      <c r="A4" s="1610" t="s">
        <v>88</v>
      </c>
      <c r="B4" s="1610" t="s">
        <v>4183</v>
      </c>
      <c r="C4" s="1610" t="s">
        <v>4181</v>
      </c>
      <c r="D4" s="1610" t="s">
        <v>4182</v>
      </c>
    </row>
    <row r="5" spans="1:4" ht="11.25" customHeight="1">
      <c r="A5" s="1610" t="s">
        <v>89</v>
      </c>
      <c r="B5" s="1610" t="s">
        <v>4184</v>
      </c>
      <c r="C5" s="1610" t="s">
        <v>4181</v>
      </c>
      <c r="D5" s="1610" t="s">
        <v>4182</v>
      </c>
    </row>
    <row r="6" spans="1:4" ht="11.25" customHeight="1">
      <c r="A6" s="1610" t="s">
        <v>111</v>
      </c>
      <c r="B6" s="1610" t="s">
        <v>4185</v>
      </c>
      <c r="C6" s="1610" t="s">
        <v>4186</v>
      </c>
      <c r="D6" s="1610" t="s">
        <v>4179</v>
      </c>
    </row>
    <row r="7" spans="1:4" ht="11.25" customHeight="1">
      <c r="A7" s="1610" t="s">
        <v>90</v>
      </c>
      <c r="B7" s="1610" t="s">
        <v>4187</v>
      </c>
      <c r="C7" s="1610" t="s">
        <v>4188</v>
      </c>
      <c r="D7" s="1610" t="s">
        <v>4179</v>
      </c>
    </row>
    <row r="8" spans="1:4" ht="11.25" customHeight="1">
      <c r="A8" s="1610" t="s">
        <v>91</v>
      </c>
      <c r="B8" s="1610" t="s">
        <v>4189</v>
      </c>
      <c r="C8" s="1610" t="s">
        <v>4190</v>
      </c>
      <c r="D8" s="1610" t="s">
        <v>4191</v>
      </c>
    </row>
    <row r="9" spans="1:4" ht="11.25" customHeight="1">
      <c r="A9" s="1610" t="s">
        <v>121</v>
      </c>
      <c r="B9" s="1610" t="s">
        <v>4192</v>
      </c>
      <c r="C9" s="1610" t="s">
        <v>4190</v>
      </c>
      <c r="D9" s="1610" t="s">
        <v>4191</v>
      </c>
    </row>
    <row r="10" spans="1:4" ht="11.25" customHeight="1">
      <c r="A10" s="1610" t="s">
        <v>125</v>
      </c>
      <c r="B10" s="1610" t="s">
        <v>4193</v>
      </c>
      <c r="C10" s="1610" t="s">
        <v>4181</v>
      </c>
      <c r="D10" s="1610" t="s">
        <v>4182</v>
      </c>
    </row>
    <row r="11" spans="1:4" ht="11.25" customHeight="1">
      <c r="A11" s="1610" t="s">
        <v>129</v>
      </c>
      <c r="B11" s="1610" t="s">
        <v>4194</v>
      </c>
      <c r="C11" s="1610" t="s">
        <v>4188</v>
      </c>
      <c r="D11" s="1610" t="s">
        <v>4182</v>
      </c>
    </row>
    <row r="12" spans="1:4" ht="11.25" customHeight="1">
      <c r="A12" s="1610" t="s">
        <v>102</v>
      </c>
      <c r="B12" s="1610" t="s">
        <v>4195</v>
      </c>
      <c r="C12" s="1610" t="s">
        <v>4188</v>
      </c>
      <c r="D12" s="1610" t="s">
        <v>4196</v>
      </c>
    </row>
    <row r="13" spans="1:4" ht="11.25" customHeight="1">
      <c r="A13" s="1610" t="s">
        <v>136</v>
      </c>
      <c r="B13" s="1610" t="s">
        <v>4197</v>
      </c>
      <c r="C13" s="1610" t="s">
        <v>4198</v>
      </c>
      <c r="D13" s="1610" t="s">
        <v>4182</v>
      </c>
    </row>
    <row r="14" spans="1:4" ht="11.25" customHeight="1">
      <c r="A14" s="1610" t="s">
        <v>140</v>
      </c>
      <c r="B14" s="1610" t="s">
        <v>4199</v>
      </c>
      <c r="C14" s="1610" t="s">
        <v>4198</v>
      </c>
      <c r="D14" s="1610" t="s">
        <v>4182</v>
      </c>
    </row>
    <row r="15" spans="1:4" ht="11.25" customHeight="1">
      <c r="A15" s="1610" t="s">
        <v>144</v>
      </c>
      <c r="B15" s="1610" t="s">
        <v>4200</v>
      </c>
      <c r="C15" s="1610" t="s">
        <v>4188</v>
      </c>
      <c r="D15" s="1610" t="s">
        <v>4191</v>
      </c>
    </row>
    <row r="16" spans="1:4" ht="11.25" customHeight="1">
      <c r="A16" s="1610" t="s">
        <v>148</v>
      </c>
      <c r="B16" s="1610" t="s">
        <v>4201</v>
      </c>
      <c r="C16" s="1610" t="s">
        <v>4190</v>
      </c>
      <c r="D16" s="1610" t="s">
        <v>4191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9"/>
  <sheetViews>
    <sheetView showGridLines="0" workbookViewId="0"/>
  </sheetViews>
  <sheetFormatPr defaultColWidth="9.140625" defaultRowHeight="11.25" customHeight="1"/>
  <cols>
    <col min="1" max="2" width="9.140625" style="101"/>
  </cols>
  <sheetData>
    <row r="1" spans="1:2" ht="11.25" customHeight="1">
      <c r="A1" s="101" t="s">
        <v>244</v>
      </c>
      <c r="B1" s="101" t="s">
        <v>4202</v>
      </c>
    </row>
    <row r="2" spans="1:2" ht="11.25" customHeight="1">
      <c r="A2" s="101" t="s">
        <v>96</v>
      </c>
      <c r="B2" s="101" t="s">
        <v>4203</v>
      </c>
    </row>
    <row r="3" spans="1:2" ht="11.25" customHeight="1">
      <c r="A3" s="101" t="s">
        <v>208</v>
      </c>
      <c r="B3" s="101" t="s">
        <v>4204</v>
      </c>
    </row>
    <row r="4" spans="1:2" ht="11.25" customHeight="1">
      <c r="A4" s="101" t="s">
        <v>209</v>
      </c>
      <c r="B4" s="101" t="s">
        <v>4205</v>
      </c>
    </row>
    <row r="5" spans="1:2" ht="11.25" customHeight="1">
      <c r="A5" s="101" t="s">
        <v>213</v>
      </c>
      <c r="B5" s="101" t="s">
        <v>4206</v>
      </c>
    </row>
    <row r="6" spans="1:2" ht="11.25" customHeight="1">
      <c r="A6" s="101" t="s">
        <v>214</v>
      </c>
      <c r="B6" s="101" t="s">
        <v>4207</v>
      </c>
    </row>
    <row r="7" spans="1:2" ht="11.25" customHeight="1">
      <c r="A7" s="101" t="s">
        <v>218</v>
      </c>
      <c r="B7" s="101" t="s">
        <v>4208</v>
      </c>
    </row>
    <row r="8" spans="1:2" ht="11.25" customHeight="1">
      <c r="A8" s="101" t="s">
        <v>219</v>
      </c>
      <c r="B8" s="101" t="s">
        <v>4209</v>
      </c>
    </row>
    <row r="9" spans="1:2" ht="11.25" customHeight="1">
      <c r="A9" s="101" t="s">
        <v>220</v>
      </c>
      <c r="B9" s="101" t="s">
        <v>4210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0"/>
    <col min="2" max="2" width="65.28515625" style="1610" customWidth="1"/>
  </cols>
  <sheetData>
    <row r="1" spans="1:2" ht="11.25" customHeight="1">
      <c r="A1" s="749" t="s">
        <v>4211</v>
      </c>
      <c r="B1" s="749" t="s">
        <v>4212</v>
      </c>
    </row>
    <row r="2" spans="1:2" ht="11.25" customHeight="1">
      <c r="A2" s="749">
        <v>4213775</v>
      </c>
      <c r="B2" s="749" t="s">
        <v>1539</v>
      </c>
    </row>
    <row r="3" spans="1:2" ht="11.25" customHeight="1">
      <c r="A3" s="749">
        <v>4213784</v>
      </c>
      <c r="B3" s="749" t="s">
        <v>1574</v>
      </c>
    </row>
    <row r="4" spans="1:2" ht="11.25" customHeight="1">
      <c r="A4" s="749">
        <v>4213781</v>
      </c>
      <c r="B4" s="749" t="s">
        <v>1567</v>
      </c>
    </row>
    <row r="5" spans="1:2" ht="11.25" customHeight="1">
      <c r="A5" s="749">
        <v>4213776</v>
      </c>
      <c r="B5" s="749" t="s">
        <v>274</v>
      </c>
    </row>
    <row r="6" spans="1:2" ht="11.25" customHeight="1">
      <c r="A6" s="749">
        <v>4213777</v>
      </c>
      <c r="B6" s="749" t="s">
        <v>280</v>
      </c>
    </row>
    <row r="7" spans="1:2" ht="11.25" customHeight="1">
      <c r="A7" s="749">
        <v>4213778</v>
      </c>
      <c r="B7" s="749" t="s">
        <v>286</v>
      </c>
    </row>
    <row r="8" spans="1:2" ht="11.25" customHeight="1">
      <c r="A8" s="749">
        <v>4213780</v>
      </c>
      <c r="B8" s="749" t="s">
        <v>292</v>
      </c>
    </row>
    <row r="9" spans="1:2" ht="11.25" customHeight="1">
      <c r="A9" s="749">
        <v>4213779</v>
      </c>
      <c r="B9" s="749" t="s">
        <v>1706</v>
      </c>
    </row>
    <row r="10" spans="1:2" ht="11.25" customHeight="1">
      <c r="A10" s="749">
        <v>4213783</v>
      </c>
      <c r="B10" s="749" t="s">
        <v>1721</v>
      </c>
    </row>
    <row r="11" spans="1:2" ht="11.25" customHeight="1">
      <c r="A11" s="749">
        <v>4213782</v>
      </c>
      <c r="B11" s="749" t="s">
        <v>298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0"/>
    <col min="2" max="2" width="65.28515625" style="1610" customWidth="1"/>
  </cols>
  <sheetData>
    <row r="1" spans="1:2" ht="11.25" customHeight="1">
      <c r="A1" s="749" t="s">
        <v>4211</v>
      </c>
      <c r="B1" s="749" t="s">
        <v>4213</v>
      </c>
    </row>
    <row r="2" spans="1:2" ht="11.25" customHeight="1">
      <c r="A2" s="749" t="s">
        <v>320</v>
      </c>
      <c r="B2" s="749" t="s">
        <v>1815</v>
      </c>
    </row>
    <row r="3" spans="1:2" ht="11.25" customHeight="1">
      <c r="A3" s="749" t="s">
        <v>4214</v>
      </c>
      <c r="B3" s="749" t="s">
        <v>1824</v>
      </c>
    </row>
    <row r="4" spans="1:2" ht="11.25" customHeight="1">
      <c r="A4" s="749" t="s">
        <v>4215</v>
      </c>
      <c r="B4" s="749" t="s">
        <v>1832</v>
      </c>
    </row>
    <row r="5" spans="1:2" ht="11.25" customHeight="1">
      <c r="A5" s="749" t="s">
        <v>4216</v>
      </c>
      <c r="B5" s="749" t="s">
        <v>1841</v>
      </c>
    </row>
    <row r="6" spans="1:2" ht="11.25" customHeight="1">
      <c r="A6" s="749" t="s">
        <v>4217</v>
      </c>
      <c r="B6" s="749" t="s">
        <v>1846</v>
      </c>
    </row>
    <row r="7" spans="1:2" ht="11.25" customHeight="1">
      <c r="A7" s="749" t="s">
        <v>4218</v>
      </c>
      <c r="B7" s="749" t="s">
        <v>1853</v>
      </c>
    </row>
    <row r="8" spans="1:2" ht="11.25" customHeight="1">
      <c r="A8" s="749" t="s">
        <v>4219</v>
      </c>
      <c r="B8" s="749" t="s">
        <v>1859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2" hidden="1" customWidth="1"/>
    <col min="2" max="2" width="9.140625" style="1555" hidden="1" customWidth="1"/>
    <col min="3" max="3" width="3.7109375" style="1760" customWidth="1"/>
    <col min="4" max="4" width="5.5703125" style="1555" customWidth="1"/>
    <col min="5" max="5" width="48.42578125" style="1555" customWidth="1"/>
    <col min="6" max="6" width="38.140625" style="1555" customWidth="1"/>
    <col min="7" max="7" width="1.7109375" style="1555" hidden="1" customWidth="1"/>
    <col min="8" max="11" width="19.85546875" style="1555" hidden="1" customWidth="1"/>
    <col min="12" max="12" width="9.7109375" style="1555" hidden="1" customWidth="1"/>
    <col min="13" max="18" width="19.85546875" style="1555" hidden="1" customWidth="1"/>
    <col min="19" max="19" width="1.7109375" style="1555" hidden="1" customWidth="1"/>
    <col min="20" max="22" width="19.85546875" style="1555" hidden="1" customWidth="1"/>
    <col min="23" max="23" width="1.7109375" style="1555" hidden="1" customWidth="1"/>
    <col min="24" max="26" width="19.85546875" style="1555" customWidth="1"/>
    <col min="27" max="27" width="1.7109375" style="1555" hidden="1" customWidth="1"/>
    <col min="28" max="29" width="19.85546875" style="1555" hidden="1" customWidth="1"/>
    <col min="30" max="30" width="1.7109375" style="1555" hidden="1" customWidth="1"/>
    <col min="31" max="32" width="103.7109375" style="1555" hidden="1" customWidth="1"/>
    <col min="33" max="33" width="103.7109375" style="1555" customWidth="1"/>
    <col min="34" max="34" width="103.7109375" style="1555" hidden="1" customWidth="1"/>
    <col min="35" max="35" width="3.7109375" style="1739" customWidth="1"/>
    <col min="36" max="38" width="10.5703125" style="1562"/>
    <col min="39" max="39" width="13.7109375" style="1562" hidden="1" customWidth="1"/>
    <col min="40" max="40" width="15.42578125" style="1562" customWidth="1"/>
    <col min="41" max="41" width="16.28515625" style="1562" customWidth="1"/>
    <col min="42" max="45" width="10.5703125" style="1562"/>
  </cols>
  <sheetData>
    <row r="1" spans="1:45" ht="14.25" hidden="1" customHeight="1">
      <c r="E1" s="341"/>
      <c r="F1" s="341"/>
      <c r="G1" s="341"/>
      <c r="H1" s="7534" t="s">
        <v>528</v>
      </c>
      <c r="I1" s="7534"/>
      <c r="J1" s="7534"/>
      <c r="K1" s="7534"/>
      <c r="L1" s="7534"/>
      <c r="M1" s="7534"/>
      <c r="N1" s="7534"/>
      <c r="O1" s="7534"/>
      <c r="P1" s="7534"/>
      <c r="Q1" s="7534"/>
      <c r="R1" s="7534"/>
      <c r="T1" s="7534" t="s">
        <v>529</v>
      </c>
      <c r="U1" s="7534"/>
      <c r="V1" s="7534"/>
      <c r="X1" s="7534" t="s">
        <v>530</v>
      </c>
      <c r="Y1" s="7534"/>
      <c r="Z1" s="7534"/>
      <c r="AB1" s="7534" t="s">
        <v>531</v>
      </c>
      <c r="AC1" s="7534"/>
    </row>
    <row r="2" spans="1:45" ht="14.25" hidden="1" customHeight="1"/>
    <row r="3" spans="1:45" s="1534" customFormat="1" ht="6" customHeight="1">
      <c r="C3" s="618"/>
      <c r="D3" s="619"/>
      <c r="E3" s="619"/>
      <c r="F3" s="619"/>
      <c r="G3" s="619"/>
      <c r="H3" s="619" t="s">
        <v>532</v>
      </c>
      <c r="I3" s="619"/>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J3" s="435"/>
      <c r="AK3" s="435"/>
      <c r="AL3" s="435"/>
      <c r="AM3" s="435"/>
      <c r="AN3" s="435"/>
      <c r="AO3" s="435"/>
      <c r="AP3" s="435"/>
      <c r="AQ3" s="435"/>
      <c r="AR3" s="435"/>
      <c r="AS3" s="435"/>
    </row>
    <row r="4" spans="1:45" ht="37.5" customHeight="1">
      <c r="C4" s="375"/>
      <c r="D4" s="7594" t="str">
        <f>ORG_VD_NAME_FORM</f>
        <v>Форма 1. Информация об организации, осуществляющей холодное водоснабжение (общая информация)</v>
      </c>
      <c r="E4" s="7595"/>
      <c r="F4" s="7595"/>
      <c r="G4" s="7595"/>
      <c r="H4" s="7595"/>
      <c r="I4" s="7595"/>
      <c r="J4" s="7595"/>
      <c r="K4" s="7595"/>
      <c r="L4" s="7595"/>
      <c r="M4" s="7595"/>
      <c r="N4" s="7595"/>
      <c r="O4" s="7595"/>
      <c r="P4" s="7595"/>
      <c r="Q4" s="7595"/>
      <c r="R4" s="7596"/>
      <c r="S4" s="767"/>
      <c r="T4" s="617"/>
      <c r="U4" s="617"/>
      <c r="V4" s="617"/>
      <c r="W4" s="617"/>
      <c r="X4" s="617"/>
      <c r="Y4" s="617"/>
      <c r="Z4" s="617"/>
      <c r="AA4" s="617"/>
      <c r="AB4" s="617"/>
      <c r="AC4" s="617"/>
      <c r="AD4" s="617"/>
      <c r="AE4" s="415"/>
      <c r="AF4" s="415"/>
      <c r="AG4" s="415"/>
      <c r="AH4" s="415"/>
      <c r="AI4" s="412"/>
    </row>
    <row r="5" spans="1:45" s="1555" customFormat="1" ht="17.25" customHeight="1">
      <c r="A5" s="674"/>
      <c r="C5" s="736"/>
      <c r="D5" s="7654" t="str">
        <f>IF(org=0,"Не определено",org)</f>
        <v>ГУП СК "Ставрополькрайводоканал"</v>
      </c>
      <c r="E5" s="7655"/>
      <c r="F5" s="7655"/>
      <c r="G5" s="7655"/>
      <c r="H5" s="7655"/>
      <c r="I5" s="7655"/>
      <c r="J5" s="7655"/>
      <c r="K5" s="7655"/>
      <c r="L5" s="7655"/>
      <c r="M5" s="7655"/>
      <c r="N5" s="7655"/>
      <c r="O5" s="7655"/>
      <c r="P5" s="7655"/>
      <c r="Q5" s="7655"/>
      <c r="R5" s="7656"/>
      <c r="S5" s="767"/>
      <c r="T5" s="617"/>
      <c r="U5" s="617"/>
      <c r="V5" s="617"/>
      <c r="W5" s="617"/>
      <c r="X5" s="617"/>
      <c r="Y5" s="617"/>
      <c r="Z5" s="617"/>
      <c r="AA5" s="617"/>
      <c r="AB5" s="617"/>
      <c r="AC5" s="617"/>
      <c r="AD5" s="617"/>
      <c r="AE5" s="415"/>
      <c r="AF5" s="415"/>
      <c r="AG5" s="415"/>
      <c r="AH5" s="415"/>
      <c r="AI5" s="412"/>
      <c r="AJ5" s="435"/>
      <c r="AK5" s="435"/>
      <c r="AL5" s="435"/>
      <c r="AM5" s="435"/>
      <c r="AN5" s="435"/>
      <c r="AO5" s="435"/>
      <c r="AP5" s="435"/>
      <c r="AQ5" s="435"/>
      <c r="AR5" s="435"/>
      <c r="AS5" s="435"/>
    </row>
    <row r="6" spans="1:45" s="1533" customFormat="1" ht="11.25" customHeight="1">
      <c r="A6" s="403"/>
      <c r="C6" s="410"/>
      <c r="D6" s="409"/>
      <c r="E6" s="409"/>
      <c r="F6" s="409"/>
      <c r="G6" s="409"/>
      <c r="H6" s="409"/>
      <c r="I6" s="409"/>
      <c r="J6" s="409"/>
      <c r="K6" s="409"/>
      <c r="L6" s="409"/>
      <c r="M6" s="409"/>
      <c r="N6" s="409"/>
      <c r="O6" s="409"/>
      <c r="P6" s="409"/>
      <c r="Q6" s="409"/>
      <c r="R6" s="667"/>
      <c r="S6" s="667"/>
      <c r="T6" s="409"/>
      <c r="U6" s="409"/>
      <c r="V6" s="629"/>
      <c r="W6" s="629"/>
      <c r="X6" s="409"/>
      <c r="Y6" s="409"/>
      <c r="Z6" s="629"/>
      <c r="AA6" s="629"/>
      <c r="AB6" s="409"/>
      <c r="AC6" s="629"/>
      <c r="AD6" s="629"/>
      <c r="AE6" s="409"/>
      <c r="AF6" s="409"/>
      <c r="AG6" s="409"/>
      <c r="AH6" s="409"/>
      <c r="AJ6" s="413"/>
      <c r="AK6" s="413"/>
      <c r="AL6" s="413"/>
      <c r="AM6" s="413"/>
      <c r="AN6" s="413"/>
      <c r="AO6" s="413"/>
      <c r="AP6" s="413"/>
      <c r="AQ6" s="413"/>
      <c r="AR6" s="413"/>
      <c r="AS6" s="413"/>
    </row>
    <row r="7" spans="1:45" ht="14.25" customHeight="1">
      <c r="C7" s="375"/>
      <c r="D7" s="7657" t="s">
        <v>474</v>
      </c>
      <c r="E7" s="7658"/>
      <c r="F7" s="7658"/>
      <c r="G7" s="7658"/>
      <c r="H7" s="7658"/>
      <c r="I7" s="7658"/>
      <c r="J7" s="7658"/>
      <c r="K7" s="7658"/>
      <c r="L7" s="7658"/>
      <c r="M7" s="7658"/>
      <c r="N7" s="7658"/>
      <c r="O7" s="7658"/>
      <c r="P7" s="7658"/>
      <c r="Q7" s="7658"/>
      <c r="R7" s="7658"/>
      <c r="S7" s="7658"/>
      <c r="T7" s="7658"/>
      <c r="U7" s="7658"/>
      <c r="V7" s="7658"/>
      <c r="W7" s="7658"/>
      <c r="X7" s="7658"/>
      <c r="Y7" s="7658"/>
      <c r="Z7" s="7658"/>
      <c r="AA7" s="7658"/>
      <c r="AB7" s="7658"/>
      <c r="AC7" s="7658"/>
      <c r="AD7" s="7659"/>
      <c r="AE7" s="7587" t="s">
        <v>475</v>
      </c>
      <c r="AF7" s="7587" t="s">
        <v>475</v>
      </c>
      <c r="AG7" s="7587" t="s">
        <v>475</v>
      </c>
      <c r="AH7" s="7587" t="s">
        <v>475</v>
      </c>
    </row>
    <row r="8" spans="1:45" ht="25.5" customHeight="1">
      <c r="C8" s="375"/>
      <c r="D8" s="7559" t="s">
        <v>86</v>
      </c>
      <c r="E8" s="7587" t="str">
        <f>"Наименование "&amp;IF(TEMPLATE_SPHERE&lt;&gt;"HEAT","централизованной ","")&amp;"системы "&amp;TEMPLATE_SPHERE_RUS</f>
        <v>Наименование централизованной системы холодного водоснабжения</v>
      </c>
      <c r="F8" s="7587" t="str">
        <f>IF(TEMPLATE_SPHERE&lt;&gt;"HEAT","Регулируемый вид деятельности","Вид регулируемой деятельности")</f>
        <v>Регулируемый вид деятельности</v>
      </c>
      <c r="G8" s="742"/>
      <c r="H8" s="7662" t="s">
        <v>533</v>
      </c>
      <c r="I8" s="7664" t="s">
        <v>534</v>
      </c>
      <c r="J8" s="7587" t="s">
        <v>535</v>
      </c>
      <c r="K8" s="7587"/>
      <c r="L8" s="7587"/>
      <c r="M8" s="7657"/>
      <c r="N8" s="7587" t="s">
        <v>536</v>
      </c>
      <c r="O8" s="7587"/>
      <c r="P8" s="7587" t="s">
        <v>537</v>
      </c>
      <c r="Q8" s="7587"/>
      <c r="R8" s="7666" t="s">
        <v>538</v>
      </c>
      <c r="S8" s="738"/>
      <c r="T8" s="7662" t="s">
        <v>539</v>
      </c>
      <c r="U8" s="7662" t="s">
        <v>540</v>
      </c>
      <c r="V8" s="7662" t="s">
        <v>541</v>
      </c>
      <c r="W8" s="740"/>
      <c r="X8" s="7662" t="s">
        <v>542</v>
      </c>
      <c r="Y8" s="7662" t="s">
        <v>543</v>
      </c>
      <c r="Z8" s="7662" t="s">
        <v>544</v>
      </c>
      <c r="AA8" s="740"/>
      <c r="AB8" s="7662" t="s">
        <v>545</v>
      </c>
      <c r="AC8" s="7662" t="s">
        <v>538</v>
      </c>
      <c r="AD8" s="740"/>
      <c r="AE8" s="7587"/>
      <c r="AF8" s="7587"/>
      <c r="AG8" s="7587"/>
      <c r="AH8" s="7587"/>
    </row>
    <row r="9" spans="1:45" ht="43.5" customHeight="1">
      <c r="C9" s="375"/>
      <c r="D9" s="7559"/>
      <c r="E9" s="7587"/>
      <c r="F9" s="7587"/>
      <c r="G9" s="743"/>
      <c r="H9" s="7663"/>
      <c r="I9" s="7665"/>
      <c r="J9" s="352" t="s">
        <v>546</v>
      </c>
      <c r="K9" s="352" t="s">
        <v>547</v>
      </c>
      <c r="L9" s="352" t="s">
        <v>548</v>
      </c>
      <c r="M9" s="357" t="s">
        <v>549</v>
      </c>
      <c r="N9" s="352" t="s">
        <v>550</v>
      </c>
      <c r="O9" s="352" t="s">
        <v>549</v>
      </c>
      <c r="P9" s="352" t="s">
        <v>551</v>
      </c>
      <c r="Q9" s="352" t="s">
        <v>549</v>
      </c>
      <c r="R9" s="7667"/>
      <c r="S9" s="739"/>
      <c r="T9" s="7663"/>
      <c r="U9" s="7663"/>
      <c r="V9" s="7663"/>
      <c r="W9" s="741"/>
      <c r="X9" s="7663"/>
      <c r="Y9" s="7663"/>
      <c r="Z9" s="7663"/>
      <c r="AA9" s="741"/>
      <c r="AB9" s="7663"/>
      <c r="AC9" s="7663"/>
      <c r="AD9" s="741"/>
      <c r="AE9" s="7587"/>
      <c r="AF9" s="7587"/>
      <c r="AG9" s="7587"/>
      <c r="AH9" s="7587"/>
    </row>
    <row r="10" spans="1:45" ht="12" hidden="1" customHeight="1">
      <c r="C10" s="411"/>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3"/>
      <c r="AP10" s="424"/>
      <c r="AQ10" s="424"/>
    </row>
    <row r="11" spans="1:45" s="1561" customFormat="1" ht="11.25" hidden="1" customHeight="1">
      <c r="C11" s="422"/>
      <c r="D11" s="423" t="s">
        <v>552</v>
      </c>
      <c r="E11" s="423"/>
      <c r="F11" s="423"/>
      <c r="G11" s="423"/>
      <c r="H11" s="421"/>
      <c r="I11" s="421"/>
      <c r="J11" s="421"/>
      <c r="K11" s="421"/>
      <c r="L11" s="421"/>
      <c r="M11" s="421"/>
      <c r="N11" s="421"/>
      <c r="O11" s="421"/>
      <c r="P11" s="421"/>
      <c r="Q11" s="421"/>
      <c r="R11" s="421"/>
      <c r="S11" s="421"/>
      <c r="T11" s="421"/>
      <c r="U11" s="421"/>
      <c r="V11" s="421"/>
      <c r="W11" s="421"/>
      <c r="X11" s="421"/>
      <c r="Y11" s="421"/>
      <c r="Z11" s="421"/>
      <c r="AA11" s="421"/>
      <c r="AB11" s="421"/>
      <c r="AC11" s="421"/>
      <c r="AD11" s="421"/>
      <c r="AE11" s="361"/>
      <c r="AF11" s="361"/>
      <c r="AG11" s="361"/>
      <c r="AH11" s="361"/>
      <c r="AJ11" s="413"/>
      <c r="AK11" s="413"/>
      <c r="AL11" s="413"/>
      <c r="AM11" s="413"/>
      <c r="AN11" s="413"/>
      <c r="AO11" s="413"/>
      <c r="AP11" s="413"/>
      <c r="AQ11" s="413"/>
      <c r="AR11" s="413"/>
      <c r="AS11" s="413"/>
    </row>
    <row r="12" spans="1:45" ht="14.25" customHeight="1">
      <c r="A12" s="373"/>
      <c r="C12" s="375"/>
      <c r="D12" s="360" t="s">
        <v>97</v>
      </c>
      <c r="E12" s="1697" t="s">
        <v>24</v>
      </c>
      <c r="F12" s="769"/>
      <c r="G12" s="770"/>
      <c r="H12" s="1698"/>
      <c r="I12" s="1698"/>
      <c r="J12" s="359"/>
      <c r="K12" s="1782"/>
      <c r="L12" s="358"/>
      <c r="M12" s="1782"/>
      <c r="N12" s="359"/>
      <c r="O12" s="1782"/>
      <c r="P12" s="359"/>
      <c r="Q12" s="1782"/>
      <c r="R12" s="359"/>
      <c r="S12" s="768"/>
      <c r="T12" s="1698"/>
      <c r="U12" s="359"/>
      <c r="V12" s="359"/>
      <c r="W12" s="741"/>
      <c r="X12" s="1698"/>
      <c r="Y12" s="359"/>
      <c r="Z12" s="359"/>
      <c r="AA12" s="741"/>
      <c r="AB12" s="1698"/>
      <c r="AC12" s="359"/>
      <c r="AD12" s="741"/>
      <c r="AE12" s="7660" t="s">
        <v>553</v>
      </c>
      <c r="AF12" s="7660" t="s">
        <v>554</v>
      </c>
      <c r="AG12" s="7660" t="s">
        <v>555</v>
      </c>
      <c r="AH12" s="7660" t="s">
        <v>556</v>
      </c>
      <c r="AI12" s="373"/>
      <c r="AM12" s="435"/>
      <c r="AP12" s="424" t="s">
        <v>557</v>
      </c>
      <c r="AQ12" s="424" t="s">
        <v>557</v>
      </c>
    </row>
    <row r="13" spans="1:45" ht="17.25" customHeight="1">
      <c r="A13" s="373"/>
      <c r="C13" s="375"/>
      <c r="D13" s="334"/>
      <c r="E13" s="783" t="str">
        <f>IF(TITLE_DIFFERENTIATION_TYPE="нет","","Добавить систему")</f>
        <v/>
      </c>
      <c r="F13" s="783" t="str">
        <f>IF(TITLE_DIFFERENTIATION_TYPE="нет","Добавить вид деятельности","")</f>
        <v>Добавить вид деятельности</v>
      </c>
      <c r="G13" s="229"/>
      <c r="H13" s="335"/>
      <c r="I13" s="335"/>
      <c r="J13" s="335"/>
      <c r="K13" s="335"/>
      <c r="L13" s="335"/>
      <c r="M13" s="335"/>
      <c r="N13" s="335"/>
      <c r="O13" s="335"/>
      <c r="P13" s="335"/>
      <c r="Q13" s="335"/>
      <c r="R13" s="335"/>
      <c r="S13" s="335"/>
      <c r="T13" s="335"/>
      <c r="U13" s="335"/>
      <c r="V13" s="335"/>
      <c r="W13" s="335"/>
      <c r="X13" s="335"/>
      <c r="Y13" s="335"/>
      <c r="Z13" s="335"/>
      <c r="AA13" s="335"/>
      <c r="AB13" s="335"/>
      <c r="AC13" s="335"/>
      <c r="AD13" s="771"/>
      <c r="AE13" s="7661"/>
      <c r="AF13" s="7661"/>
      <c r="AG13" s="7661"/>
      <c r="AH13" s="7661"/>
      <c r="AI13" s="373"/>
    </row>
    <row r="14" spans="1:45" ht="14.25" customHeight="1">
      <c r="AI14" s="373"/>
    </row>
    <row r="15" spans="1:45" ht="14.25" customHeight="1">
      <c r="E15" s="673"/>
      <c r="L15" s="673"/>
    </row>
    <row r="16" spans="1:45" ht="14.25" customHeight="1">
      <c r="L16" s="673"/>
    </row>
    <row r="17" spans="12:12" ht="14.25" customHeight="1">
      <c r="L17" s="673"/>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65"/>
  <sheetViews>
    <sheetView showGridLines="0" workbookViewId="0"/>
  </sheetViews>
  <sheetFormatPr defaultRowHeight="11.25" customHeight="1"/>
  <sheetData>
    <row r="1" spans="1:7" ht="11.25" customHeight="1">
      <c r="A1" t="s">
        <v>3220</v>
      </c>
      <c r="B1" t="s">
        <v>3221</v>
      </c>
      <c r="C1" t="s">
        <v>3222</v>
      </c>
      <c r="D1" t="s">
        <v>3223</v>
      </c>
      <c r="E1" t="s">
        <v>3224</v>
      </c>
      <c r="F1" t="s">
        <v>3225</v>
      </c>
      <c r="G1" t="s">
        <v>3226</v>
      </c>
    </row>
    <row r="2" spans="1:7" ht="11.25" customHeight="1">
      <c r="A2" t="s">
        <v>14</v>
      </c>
      <c r="B2" t="s">
        <v>98</v>
      </c>
      <c r="C2" t="s">
        <v>99</v>
      </c>
      <c r="D2" t="s">
        <v>98</v>
      </c>
      <c r="E2" t="s">
        <v>99</v>
      </c>
      <c r="F2" t="s">
        <v>3227</v>
      </c>
      <c r="G2" t="s">
        <v>97</v>
      </c>
    </row>
    <row r="3" spans="1:7" ht="11.25" customHeight="1">
      <c r="A3" t="s">
        <v>14</v>
      </c>
      <c r="B3" t="s">
        <v>210</v>
      </c>
      <c r="C3" t="s">
        <v>3228</v>
      </c>
      <c r="D3" t="s">
        <v>210</v>
      </c>
      <c r="E3" t="s">
        <v>3228</v>
      </c>
      <c r="F3" t="s">
        <v>3229</v>
      </c>
      <c r="G3" t="s">
        <v>100</v>
      </c>
    </row>
    <row r="4" spans="1:7" ht="11.25" customHeight="1">
      <c r="A4" t="s">
        <v>14</v>
      </c>
      <c r="B4" t="s">
        <v>210</v>
      </c>
      <c r="C4" t="s">
        <v>3228</v>
      </c>
      <c r="D4" t="s">
        <v>3230</v>
      </c>
      <c r="E4" t="s">
        <v>3231</v>
      </c>
      <c r="F4" t="s">
        <v>3232</v>
      </c>
      <c r="G4" t="s">
        <v>88</v>
      </c>
    </row>
    <row r="5" spans="1:7" ht="11.25" customHeight="1">
      <c r="A5" t="s">
        <v>14</v>
      </c>
      <c r="B5" t="s">
        <v>210</v>
      </c>
      <c r="C5" t="s">
        <v>3228</v>
      </c>
      <c r="D5" t="s">
        <v>211</v>
      </c>
      <c r="E5" t="s">
        <v>212</v>
      </c>
      <c r="F5" t="s">
        <v>3232</v>
      </c>
      <c r="G5" t="s">
        <v>89</v>
      </c>
    </row>
    <row r="6" spans="1:7" ht="11.25" customHeight="1">
      <c r="A6" t="s">
        <v>14</v>
      </c>
      <c r="B6" t="s">
        <v>210</v>
      </c>
      <c r="C6" t="s">
        <v>3228</v>
      </c>
      <c r="D6" t="s">
        <v>3233</v>
      </c>
      <c r="E6" t="s">
        <v>3234</v>
      </c>
      <c r="F6" t="s">
        <v>3232</v>
      </c>
      <c r="G6" t="s">
        <v>111</v>
      </c>
    </row>
    <row r="7" spans="1:7" ht="11.25" customHeight="1">
      <c r="A7" t="s">
        <v>14</v>
      </c>
      <c r="B7" t="s">
        <v>210</v>
      </c>
      <c r="C7" t="s">
        <v>3228</v>
      </c>
      <c r="D7" t="s">
        <v>3235</v>
      </c>
      <c r="E7" t="s">
        <v>3236</v>
      </c>
      <c r="F7" t="s">
        <v>3232</v>
      </c>
      <c r="G7" t="s">
        <v>90</v>
      </c>
    </row>
    <row r="8" spans="1:7" ht="11.25" customHeight="1">
      <c r="A8" t="s">
        <v>14</v>
      </c>
      <c r="B8" t="s">
        <v>210</v>
      </c>
      <c r="C8" t="s">
        <v>3228</v>
      </c>
      <c r="D8" t="s">
        <v>3237</v>
      </c>
      <c r="E8" t="s">
        <v>3238</v>
      </c>
      <c r="F8" t="s">
        <v>3232</v>
      </c>
      <c r="G8" t="s">
        <v>91</v>
      </c>
    </row>
    <row r="9" spans="1:7" ht="11.25" customHeight="1">
      <c r="A9" t="s">
        <v>14</v>
      </c>
      <c r="B9" t="s">
        <v>210</v>
      </c>
      <c r="C9" t="s">
        <v>3228</v>
      </c>
      <c r="D9" t="s">
        <v>3239</v>
      </c>
      <c r="E9" t="s">
        <v>3240</v>
      </c>
      <c r="F9" t="s">
        <v>3232</v>
      </c>
      <c r="G9" t="s">
        <v>121</v>
      </c>
    </row>
    <row r="10" spans="1:7" ht="11.25" customHeight="1">
      <c r="A10" t="s">
        <v>14</v>
      </c>
      <c r="B10" t="s">
        <v>210</v>
      </c>
      <c r="C10" t="s">
        <v>3228</v>
      </c>
      <c r="D10" t="s">
        <v>3241</v>
      </c>
      <c r="E10" t="s">
        <v>3242</v>
      </c>
      <c r="F10" t="s">
        <v>3232</v>
      </c>
      <c r="G10" t="s">
        <v>125</v>
      </c>
    </row>
    <row r="11" spans="1:7" ht="11.25" customHeight="1">
      <c r="A11" t="s">
        <v>14</v>
      </c>
      <c r="B11" t="s">
        <v>210</v>
      </c>
      <c r="C11" t="s">
        <v>3228</v>
      </c>
      <c r="D11" t="s">
        <v>3243</v>
      </c>
      <c r="E11" t="s">
        <v>3244</v>
      </c>
      <c r="F11" t="s">
        <v>3232</v>
      </c>
      <c r="G11" t="s">
        <v>129</v>
      </c>
    </row>
    <row r="12" spans="1:7" ht="11.25" customHeight="1">
      <c r="A12" t="s">
        <v>14</v>
      </c>
      <c r="B12" t="s">
        <v>103</v>
      </c>
      <c r="C12" t="s">
        <v>104</v>
      </c>
      <c r="D12" t="s">
        <v>103</v>
      </c>
      <c r="E12" t="s">
        <v>104</v>
      </c>
      <c r="F12" t="s">
        <v>3227</v>
      </c>
      <c r="G12" t="s">
        <v>102</v>
      </c>
    </row>
    <row r="13" spans="1:7" ht="11.25" customHeight="1">
      <c r="A13" t="s">
        <v>14</v>
      </c>
      <c r="B13" t="s">
        <v>3245</v>
      </c>
      <c r="C13" t="s">
        <v>3246</v>
      </c>
      <c r="D13" t="s">
        <v>3245</v>
      </c>
      <c r="E13" t="s">
        <v>3246</v>
      </c>
      <c r="F13" t="s">
        <v>3229</v>
      </c>
      <c r="G13" t="s">
        <v>136</v>
      </c>
    </row>
    <row r="14" spans="1:7" ht="11.25" customHeight="1">
      <c r="A14" t="s">
        <v>14</v>
      </c>
      <c r="B14" t="s">
        <v>3245</v>
      </c>
      <c r="C14" t="s">
        <v>3246</v>
      </c>
      <c r="D14" t="s">
        <v>3247</v>
      </c>
      <c r="E14" t="s">
        <v>3248</v>
      </c>
      <c r="F14" t="s">
        <v>3232</v>
      </c>
      <c r="G14" t="s">
        <v>140</v>
      </c>
    </row>
    <row r="15" spans="1:7" ht="11.25" customHeight="1">
      <c r="A15" t="s">
        <v>14</v>
      </c>
      <c r="B15" t="s">
        <v>3245</v>
      </c>
      <c r="C15" t="s">
        <v>3246</v>
      </c>
      <c r="D15" t="s">
        <v>3249</v>
      </c>
      <c r="E15" t="s">
        <v>3250</v>
      </c>
      <c r="F15" t="s">
        <v>3232</v>
      </c>
      <c r="G15" t="s">
        <v>144</v>
      </c>
    </row>
    <row r="16" spans="1:7" ht="11.25" customHeight="1">
      <c r="A16" t="s">
        <v>14</v>
      </c>
      <c r="B16" t="s">
        <v>3245</v>
      </c>
      <c r="C16" t="s">
        <v>3246</v>
      </c>
      <c r="D16" t="s">
        <v>3251</v>
      </c>
      <c r="E16" t="s">
        <v>3252</v>
      </c>
      <c r="F16" t="s">
        <v>3232</v>
      </c>
      <c r="G16" t="s">
        <v>148</v>
      </c>
    </row>
    <row r="17" spans="1:7" ht="11.25" customHeight="1">
      <c r="A17" t="s">
        <v>14</v>
      </c>
      <c r="B17" t="s">
        <v>3245</v>
      </c>
      <c r="C17" t="s">
        <v>3246</v>
      </c>
      <c r="D17" t="s">
        <v>3253</v>
      </c>
      <c r="E17" t="s">
        <v>3254</v>
      </c>
      <c r="F17" t="s">
        <v>3232</v>
      </c>
      <c r="G17" t="s">
        <v>152</v>
      </c>
    </row>
    <row r="18" spans="1:7" ht="11.25" customHeight="1">
      <c r="A18" t="s">
        <v>14</v>
      </c>
      <c r="B18" t="s">
        <v>3245</v>
      </c>
      <c r="C18" t="s">
        <v>3246</v>
      </c>
      <c r="D18" t="s">
        <v>3255</v>
      </c>
      <c r="E18" t="s">
        <v>3256</v>
      </c>
      <c r="F18" t="s">
        <v>3232</v>
      </c>
      <c r="G18" t="s">
        <v>156</v>
      </c>
    </row>
    <row r="19" spans="1:7" ht="11.25" customHeight="1">
      <c r="A19" t="s">
        <v>14</v>
      </c>
      <c r="B19" t="s">
        <v>3245</v>
      </c>
      <c r="C19" t="s">
        <v>3246</v>
      </c>
      <c r="D19" t="s">
        <v>3257</v>
      </c>
      <c r="E19" t="s">
        <v>3258</v>
      </c>
      <c r="F19" t="s">
        <v>3232</v>
      </c>
      <c r="G19" t="s">
        <v>160</v>
      </c>
    </row>
    <row r="20" spans="1:7" ht="11.25" customHeight="1">
      <c r="A20" t="s">
        <v>14</v>
      </c>
      <c r="B20" t="s">
        <v>3245</v>
      </c>
      <c r="C20" t="s">
        <v>3246</v>
      </c>
      <c r="D20" t="s">
        <v>3259</v>
      </c>
      <c r="E20" t="s">
        <v>3260</v>
      </c>
      <c r="F20" t="s">
        <v>3232</v>
      </c>
      <c r="G20" t="s">
        <v>164</v>
      </c>
    </row>
    <row r="21" spans="1:7" ht="11.25" customHeight="1">
      <c r="A21" t="s">
        <v>14</v>
      </c>
      <c r="B21" t="s">
        <v>3245</v>
      </c>
      <c r="C21" t="s">
        <v>3246</v>
      </c>
      <c r="D21" t="s">
        <v>3261</v>
      </c>
      <c r="E21" t="s">
        <v>3262</v>
      </c>
      <c r="F21" t="s">
        <v>3232</v>
      </c>
      <c r="G21" t="s">
        <v>168</v>
      </c>
    </row>
    <row r="22" spans="1:7" ht="11.25" customHeight="1">
      <c r="A22" t="s">
        <v>14</v>
      </c>
      <c r="B22" t="s">
        <v>3245</v>
      </c>
      <c r="C22" t="s">
        <v>3246</v>
      </c>
      <c r="D22" t="s">
        <v>3263</v>
      </c>
      <c r="E22" t="s">
        <v>3264</v>
      </c>
      <c r="F22" t="s">
        <v>3232</v>
      </c>
      <c r="G22" t="s">
        <v>172</v>
      </c>
    </row>
    <row r="23" spans="1:7" ht="11.25" customHeight="1">
      <c r="A23" t="s">
        <v>14</v>
      </c>
      <c r="B23" t="s">
        <v>3245</v>
      </c>
      <c r="C23" t="s">
        <v>3246</v>
      </c>
      <c r="D23" t="s">
        <v>3265</v>
      </c>
      <c r="E23" t="s">
        <v>3266</v>
      </c>
      <c r="F23" t="s">
        <v>3232</v>
      </c>
      <c r="G23" t="s">
        <v>176</v>
      </c>
    </row>
    <row r="24" spans="1:7" ht="11.25" customHeight="1">
      <c r="A24" t="s">
        <v>14</v>
      </c>
      <c r="B24" t="s">
        <v>3245</v>
      </c>
      <c r="C24" t="s">
        <v>3246</v>
      </c>
      <c r="D24" t="s">
        <v>3267</v>
      </c>
      <c r="E24" t="s">
        <v>3268</v>
      </c>
      <c r="F24" t="s">
        <v>3232</v>
      </c>
      <c r="G24" t="s">
        <v>180</v>
      </c>
    </row>
    <row r="25" spans="1:7" ht="11.25" customHeight="1">
      <c r="A25" t="s">
        <v>14</v>
      </c>
      <c r="B25" t="s">
        <v>106</v>
      </c>
      <c r="C25" t="s">
        <v>107</v>
      </c>
      <c r="D25" t="s">
        <v>106</v>
      </c>
      <c r="E25" t="s">
        <v>107</v>
      </c>
      <c r="F25" t="s">
        <v>3227</v>
      </c>
      <c r="G25" t="s">
        <v>105</v>
      </c>
    </row>
    <row r="26" spans="1:7" ht="11.25" customHeight="1">
      <c r="A26" t="s">
        <v>14</v>
      </c>
      <c r="B26" t="s">
        <v>3269</v>
      </c>
      <c r="C26" t="s">
        <v>3270</v>
      </c>
      <c r="D26" t="s">
        <v>3271</v>
      </c>
      <c r="E26" t="s">
        <v>3272</v>
      </c>
      <c r="F26" t="s">
        <v>3232</v>
      </c>
      <c r="G26" t="s">
        <v>187</v>
      </c>
    </row>
    <row r="27" spans="1:7" ht="11.25" customHeight="1">
      <c r="A27" t="s">
        <v>14</v>
      </c>
      <c r="B27" t="s">
        <v>3269</v>
      </c>
      <c r="C27" t="s">
        <v>3270</v>
      </c>
      <c r="D27" t="s">
        <v>3269</v>
      </c>
      <c r="E27" t="s">
        <v>3270</v>
      </c>
      <c r="F27" t="s">
        <v>3229</v>
      </c>
      <c r="G27" t="s">
        <v>191</v>
      </c>
    </row>
    <row r="28" spans="1:7" ht="11.25" customHeight="1">
      <c r="A28" t="s">
        <v>14</v>
      </c>
      <c r="B28" t="s">
        <v>3269</v>
      </c>
      <c r="C28" t="s">
        <v>3270</v>
      </c>
      <c r="D28" t="s">
        <v>3273</v>
      </c>
      <c r="E28" t="s">
        <v>3274</v>
      </c>
      <c r="F28" t="s">
        <v>3232</v>
      </c>
      <c r="G28" t="s">
        <v>195</v>
      </c>
    </row>
    <row r="29" spans="1:7" ht="11.25" customHeight="1">
      <c r="A29" t="s">
        <v>14</v>
      </c>
      <c r="B29" t="s">
        <v>3269</v>
      </c>
      <c r="C29" t="s">
        <v>3270</v>
      </c>
      <c r="D29" t="s">
        <v>3275</v>
      </c>
      <c r="E29" t="s">
        <v>3276</v>
      </c>
      <c r="F29" t="s">
        <v>3232</v>
      </c>
      <c r="G29" t="s">
        <v>199</v>
      </c>
    </row>
    <row r="30" spans="1:7" ht="11.25" customHeight="1">
      <c r="A30" t="s">
        <v>14</v>
      </c>
      <c r="B30" t="s">
        <v>3269</v>
      </c>
      <c r="C30" t="s">
        <v>3270</v>
      </c>
      <c r="D30" t="s">
        <v>3277</v>
      </c>
      <c r="E30" t="s">
        <v>3278</v>
      </c>
      <c r="F30" t="s">
        <v>3232</v>
      </c>
      <c r="G30" t="s">
        <v>203</v>
      </c>
    </row>
    <row r="31" spans="1:7" ht="11.25" customHeight="1">
      <c r="A31" t="s">
        <v>14</v>
      </c>
      <c r="B31" t="s">
        <v>3269</v>
      </c>
      <c r="C31" t="s">
        <v>3270</v>
      </c>
      <c r="D31" t="s">
        <v>3279</v>
      </c>
      <c r="E31" t="s">
        <v>3280</v>
      </c>
      <c r="F31" t="s">
        <v>3232</v>
      </c>
      <c r="G31" t="s">
        <v>1883</v>
      </c>
    </row>
    <row r="32" spans="1:7" ht="11.25" customHeight="1">
      <c r="A32" t="s">
        <v>14</v>
      </c>
      <c r="B32" t="s">
        <v>3269</v>
      </c>
      <c r="C32" t="s">
        <v>3270</v>
      </c>
      <c r="D32" t="s">
        <v>3281</v>
      </c>
      <c r="E32" t="s">
        <v>3282</v>
      </c>
      <c r="F32" t="s">
        <v>3232</v>
      </c>
      <c r="G32" t="s">
        <v>1885</v>
      </c>
    </row>
    <row r="33" spans="1:7" ht="11.25" customHeight="1">
      <c r="A33" t="s">
        <v>14</v>
      </c>
      <c r="B33" t="s">
        <v>3269</v>
      </c>
      <c r="C33" t="s">
        <v>3270</v>
      </c>
      <c r="D33" t="s">
        <v>3283</v>
      </c>
      <c r="E33" t="s">
        <v>3284</v>
      </c>
      <c r="F33" t="s">
        <v>3232</v>
      </c>
      <c r="G33" t="s">
        <v>1887</v>
      </c>
    </row>
    <row r="34" spans="1:7" ht="11.25" customHeight="1">
      <c r="A34" t="s">
        <v>14</v>
      </c>
      <c r="B34" t="s">
        <v>3269</v>
      </c>
      <c r="C34" t="s">
        <v>3270</v>
      </c>
      <c r="D34" t="s">
        <v>3285</v>
      </c>
      <c r="E34" t="s">
        <v>3286</v>
      </c>
      <c r="F34" t="s">
        <v>3232</v>
      </c>
      <c r="G34" t="s">
        <v>1889</v>
      </c>
    </row>
    <row r="35" spans="1:7" ht="11.25" customHeight="1">
      <c r="A35" t="s">
        <v>14</v>
      </c>
      <c r="B35" t="s">
        <v>3269</v>
      </c>
      <c r="C35" t="s">
        <v>3270</v>
      </c>
      <c r="D35" t="s">
        <v>3287</v>
      </c>
      <c r="E35" t="s">
        <v>3288</v>
      </c>
      <c r="F35" t="s">
        <v>3232</v>
      </c>
      <c r="G35" t="s">
        <v>1894</v>
      </c>
    </row>
    <row r="36" spans="1:7" ht="11.25" customHeight="1">
      <c r="A36" t="s">
        <v>14</v>
      </c>
      <c r="B36" t="s">
        <v>3269</v>
      </c>
      <c r="C36" t="s">
        <v>3270</v>
      </c>
      <c r="D36" t="s">
        <v>3289</v>
      </c>
      <c r="E36" t="s">
        <v>3290</v>
      </c>
      <c r="F36" t="s">
        <v>3232</v>
      </c>
      <c r="G36" t="s">
        <v>1899</v>
      </c>
    </row>
    <row r="37" spans="1:7" ht="11.25" customHeight="1">
      <c r="A37" t="s">
        <v>14</v>
      </c>
      <c r="B37" t="s">
        <v>3269</v>
      </c>
      <c r="C37" t="s">
        <v>3270</v>
      </c>
      <c r="D37" t="s">
        <v>3291</v>
      </c>
      <c r="E37" t="s">
        <v>3292</v>
      </c>
      <c r="F37" t="s">
        <v>3232</v>
      </c>
      <c r="G37" t="s">
        <v>1903</v>
      </c>
    </row>
    <row r="38" spans="1:7" ht="11.25" customHeight="1">
      <c r="A38" t="s">
        <v>14</v>
      </c>
      <c r="B38" t="s">
        <v>109</v>
      </c>
      <c r="C38" t="s">
        <v>110</v>
      </c>
      <c r="D38" t="s">
        <v>109</v>
      </c>
      <c r="E38" t="s">
        <v>110</v>
      </c>
      <c r="F38" t="s">
        <v>3227</v>
      </c>
      <c r="G38" t="s">
        <v>108</v>
      </c>
    </row>
    <row r="39" spans="1:7" ht="11.25" customHeight="1">
      <c r="A39" t="s">
        <v>14</v>
      </c>
      <c r="B39" t="s">
        <v>3293</v>
      </c>
      <c r="C39" t="s">
        <v>3294</v>
      </c>
      <c r="D39" t="s">
        <v>3293</v>
      </c>
      <c r="E39" t="s">
        <v>3294</v>
      </c>
      <c r="F39" t="s">
        <v>3229</v>
      </c>
      <c r="G39" t="s">
        <v>1916</v>
      </c>
    </row>
    <row r="40" spans="1:7" ht="11.25" customHeight="1">
      <c r="A40" t="s">
        <v>14</v>
      </c>
      <c r="B40" t="s">
        <v>3293</v>
      </c>
      <c r="C40" t="s">
        <v>3294</v>
      </c>
      <c r="D40" t="s">
        <v>3295</v>
      </c>
      <c r="E40" t="s">
        <v>3296</v>
      </c>
      <c r="F40" t="s">
        <v>3232</v>
      </c>
      <c r="G40" t="s">
        <v>1921</v>
      </c>
    </row>
    <row r="41" spans="1:7" ht="11.25" customHeight="1">
      <c r="A41" t="s">
        <v>14</v>
      </c>
      <c r="B41" t="s">
        <v>3293</v>
      </c>
      <c r="C41" t="s">
        <v>3294</v>
      </c>
      <c r="D41" t="s">
        <v>3297</v>
      </c>
      <c r="E41" t="s">
        <v>3298</v>
      </c>
      <c r="F41" t="s">
        <v>3232</v>
      </c>
      <c r="G41" t="s">
        <v>1925</v>
      </c>
    </row>
    <row r="42" spans="1:7" ht="11.25" customHeight="1">
      <c r="A42" t="s">
        <v>14</v>
      </c>
      <c r="B42" t="s">
        <v>3293</v>
      </c>
      <c r="C42" t="s">
        <v>3294</v>
      </c>
      <c r="D42" t="s">
        <v>3299</v>
      </c>
      <c r="E42" t="s">
        <v>3300</v>
      </c>
      <c r="F42" t="s">
        <v>3232</v>
      </c>
      <c r="G42" t="s">
        <v>1928</v>
      </c>
    </row>
    <row r="43" spans="1:7" ht="11.25" customHeight="1">
      <c r="A43" t="s">
        <v>14</v>
      </c>
      <c r="B43" t="s">
        <v>3293</v>
      </c>
      <c r="C43" t="s">
        <v>3294</v>
      </c>
      <c r="D43" t="s">
        <v>3301</v>
      </c>
      <c r="E43" t="s">
        <v>3302</v>
      </c>
      <c r="F43" t="s">
        <v>3232</v>
      </c>
      <c r="G43" t="s">
        <v>1935</v>
      </c>
    </row>
    <row r="44" spans="1:7" ht="11.25" customHeight="1">
      <c r="A44" t="s">
        <v>14</v>
      </c>
      <c r="B44" t="s">
        <v>3293</v>
      </c>
      <c r="C44" t="s">
        <v>3294</v>
      </c>
      <c r="D44" t="s">
        <v>3303</v>
      </c>
      <c r="E44" t="s">
        <v>3304</v>
      </c>
      <c r="F44" t="s">
        <v>3232</v>
      </c>
      <c r="G44" t="s">
        <v>1944</v>
      </c>
    </row>
    <row r="45" spans="1:7" ht="11.25" customHeight="1">
      <c r="A45" t="s">
        <v>14</v>
      </c>
      <c r="B45" t="s">
        <v>3293</v>
      </c>
      <c r="C45" t="s">
        <v>3294</v>
      </c>
      <c r="D45" t="s">
        <v>3305</v>
      </c>
      <c r="E45" t="s">
        <v>3306</v>
      </c>
      <c r="F45" t="s">
        <v>3232</v>
      </c>
      <c r="G45" t="s">
        <v>1949</v>
      </c>
    </row>
    <row r="46" spans="1:7" ht="11.25" customHeight="1">
      <c r="A46" t="s">
        <v>14</v>
      </c>
      <c r="B46" t="s">
        <v>3293</v>
      </c>
      <c r="C46" t="s">
        <v>3294</v>
      </c>
      <c r="D46" t="s">
        <v>3307</v>
      </c>
      <c r="E46" t="s">
        <v>3308</v>
      </c>
      <c r="F46" t="s">
        <v>3232</v>
      </c>
      <c r="G46" t="s">
        <v>1953</v>
      </c>
    </row>
    <row r="47" spans="1:7" ht="11.25" customHeight="1">
      <c r="A47" t="s">
        <v>14</v>
      </c>
      <c r="B47" t="s">
        <v>3293</v>
      </c>
      <c r="C47" t="s">
        <v>3294</v>
      </c>
      <c r="D47" t="s">
        <v>3309</v>
      </c>
      <c r="E47" t="s">
        <v>3310</v>
      </c>
      <c r="F47" t="s">
        <v>3232</v>
      </c>
      <c r="G47" t="s">
        <v>1959</v>
      </c>
    </row>
    <row r="48" spans="1:7" ht="11.25" customHeight="1">
      <c r="A48" t="s">
        <v>14</v>
      </c>
      <c r="B48" t="s">
        <v>113</v>
      </c>
      <c r="C48" t="s">
        <v>114</v>
      </c>
      <c r="D48" t="s">
        <v>113</v>
      </c>
      <c r="E48" t="s">
        <v>114</v>
      </c>
      <c r="F48" t="s">
        <v>3311</v>
      </c>
      <c r="G48" t="s">
        <v>112</v>
      </c>
    </row>
    <row r="49" spans="1:7" ht="11.25" customHeight="1">
      <c r="A49" t="s">
        <v>14</v>
      </c>
      <c r="B49" t="s">
        <v>3312</v>
      </c>
      <c r="C49" t="s">
        <v>3313</v>
      </c>
      <c r="D49" t="s">
        <v>3312</v>
      </c>
      <c r="E49" t="s">
        <v>3313</v>
      </c>
      <c r="F49" t="s">
        <v>3227</v>
      </c>
      <c r="G49" t="s">
        <v>1966</v>
      </c>
    </row>
    <row r="50" spans="1:7" ht="11.25" customHeight="1">
      <c r="A50" t="s">
        <v>14</v>
      </c>
      <c r="B50" t="s">
        <v>3314</v>
      </c>
      <c r="C50" t="s">
        <v>3315</v>
      </c>
      <c r="D50" t="s">
        <v>3316</v>
      </c>
      <c r="E50" t="s">
        <v>3317</v>
      </c>
      <c r="F50" t="s">
        <v>3232</v>
      </c>
      <c r="G50" t="s">
        <v>1970</v>
      </c>
    </row>
    <row r="51" spans="1:7" ht="11.25" customHeight="1">
      <c r="A51" t="s">
        <v>14</v>
      </c>
      <c r="B51" t="s">
        <v>3314</v>
      </c>
      <c r="C51" t="s">
        <v>3315</v>
      </c>
      <c r="D51" t="s">
        <v>3318</v>
      </c>
      <c r="E51" t="s">
        <v>3319</v>
      </c>
      <c r="F51" t="s">
        <v>3232</v>
      </c>
      <c r="G51" t="s">
        <v>1974</v>
      </c>
    </row>
    <row r="52" spans="1:7" ht="11.25" customHeight="1">
      <c r="A52" t="s">
        <v>14</v>
      </c>
      <c r="B52" t="s">
        <v>3314</v>
      </c>
      <c r="C52" t="s">
        <v>3315</v>
      </c>
      <c r="D52" t="s">
        <v>3320</v>
      </c>
      <c r="E52" t="s">
        <v>3321</v>
      </c>
      <c r="F52" t="s">
        <v>3232</v>
      </c>
      <c r="G52" t="s">
        <v>1978</v>
      </c>
    </row>
    <row r="53" spans="1:7" ht="11.25" customHeight="1">
      <c r="A53" t="s">
        <v>14</v>
      </c>
      <c r="B53" t="s">
        <v>3314</v>
      </c>
      <c r="C53" t="s">
        <v>3315</v>
      </c>
      <c r="D53" t="s">
        <v>3314</v>
      </c>
      <c r="E53" t="s">
        <v>3315</v>
      </c>
      <c r="F53" t="s">
        <v>3229</v>
      </c>
      <c r="G53" t="s">
        <v>1980</v>
      </c>
    </row>
    <row r="54" spans="1:7" ht="11.25" customHeight="1">
      <c r="A54" t="s">
        <v>14</v>
      </c>
      <c r="B54" t="s">
        <v>3314</v>
      </c>
      <c r="C54" t="s">
        <v>3315</v>
      </c>
      <c r="D54" t="s">
        <v>3322</v>
      </c>
      <c r="E54" t="s">
        <v>3323</v>
      </c>
      <c r="F54" t="s">
        <v>3324</v>
      </c>
      <c r="G54" t="s">
        <v>1983</v>
      </c>
    </row>
    <row r="55" spans="1:7" ht="11.25" customHeight="1">
      <c r="A55" t="s">
        <v>14</v>
      </c>
      <c r="B55" t="s">
        <v>3314</v>
      </c>
      <c r="C55" t="s">
        <v>3315</v>
      </c>
      <c r="D55" t="s">
        <v>3325</v>
      </c>
      <c r="E55" t="s">
        <v>3326</v>
      </c>
      <c r="F55" t="s">
        <v>3232</v>
      </c>
      <c r="G55" t="s">
        <v>1987</v>
      </c>
    </row>
    <row r="56" spans="1:7" ht="11.25" customHeight="1">
      <c r="A56" t="s">
        <v>14</v>
      </c>
      <c r="B56" t="s">
        <v>3314</v>
      </c>
      <c r="C56" t="s">
        <v>3315</v>
      </c>
      <c r="D56" t="s">
        <v>3327</v>
      </c>
      <c r="E56" t="s">
        <v>3328</v>
      </c>
      <c r="F56" t="s">
        <v>3232</v>
      </c>
      <c r="G56" t="s">
        <v>1990</v>
      </c>
    </row>
    <row r="57" spans="1:7" ht="11.25" customHeight="1">
      <c r="A57" t="s">
        <v>14</v>
      </c>
      <c r="B57" t="s">
        <v>3314</v>
      </c>
      <c r="C57" t="s">
        <v>3315</v>
      </c>
      <c r="D57" t="s">
        <v>3329</v>
      </c>
      <c r="E57" t="s">
        <v>3330</v>
      </c>
      <c r="F57" t="s">
        <v>3232</v>
      </c>
      <c r="G57" t="s">
        <v>1993</v>
      </c>
    </row>
    <row r="58" spans="1:7" ht="11.25" customHeight="1">
      <c r="A58" t="s">
        <v>14</v>
      </c>
      <c r="B58" t="s">
        <v>3314</v>
      </c>
      <c r="C58" t="s">
        <v>3315</v>
      </c>
      <c r="D58" t="s">
        <v>3331</v>
      </c>
      <c r="E58" t="s">
        <v>3332</v>
      </c>
      <c r="F58" t="s">
        <v>3232</v>
      </c>
      <c r="G58" t="s">
        <v>1996</v>
      </c>
    </row>
    <row r="59" spans="1:7" ht="11.25" customHeight="1">
      <c r="A59" t="s">
        <v>14</v>
      </c>
      <c r="B59" t="s">
        <v>3314</v>
      </c>
      <c r="C59" t="s">
        <v>3315</v>
      </c>
      <c r="D59" t="s">
        <v>3333</v>
      </c>
      <c r="E59" t="s">
        <v>3334</v>
      </c>
      <c r="F59" t="s">
        <v>3232</v>
      </c>
      <c r="G59" t="s">
        <v>2000</v>
      </c>
    </row>
    <row r="60" spans="1:7" ht="11.25" customHeight="1">
      <c r="A60" t="s">
        <v>14</v>
      </c>
      <c r="B60" t="s">
        <v>3314</v>
      </c>
      <c r="C60" t="s">
        <v>3315</v>
      </c>
      <c r="D60" t="s">
        <v>3335</v>
      </c>
      <c r="E60" t="s">
        <v>3336</v>
      </c>
      <c r="F60" t="s">
        <v>3232</v>
      </c>
      <c r="G60" t="s">
        <v>2003</v>
      </c>
    </row>
    <row r="61" spans="1:7" ht="11.25" customHeight="1">
      <c r="A61" t="s">
        <v>14</v>
      </c>
      <c r="B61" t="s">
        <v>3314</v>
      </c>
      <c r="C61" t="s">
        <v>3315</v>
      </c>
      <c r="D61" t="s">
        <v>3337</v>
      </c>
      <c r="E61" t="s">
        <v>3338</v>
      </c>
      <c r="F61" t="s">
        <v>3232</v>
      </c>
      <c r="G61" t="s">
        <v>3339</v>
      </c>
    </row>
    <row r="62" spans="1:7" ht="11.25" customHeight="1">
      <c r="A62" t="s">
        <v>14</v>
      </c>
      <c r="B62" t="s">
        <v>3314</v>
      </c>
      <c r="C62" t="s">
        <v>3315</v>
      </c>
      <c r="D62" t="s">
        <v>3340</v>
      </c>
      <c r="E62" t="s">
        <v>3341</v>
      </c>
      <c r="F62" t="s">
        <v>3232</v>
      </c>
      <c r="G62" t="s">
        <v>3342</v>
      </c>
    </row>
    <row r="63" spans="1:7" ht="11.25" customHeight="1">
      <c r="A63" t="s">
        <v>14</v>
      </c>
      <c r="B63" t="s">
        <v>3314</v>
      </c>
      <c r="C63" t="s">
        <v>3315</v>
      </c>
      <c r="D63" t="s">
        <v>3343</v>
      </c>
      <c r="E63" t="s">
        <v>3344</v>
      </c>
      <c r="F63" t="s">
        <v>3232</v>
      </c>
      <c r="G63" t="s">
        <v>3345</v>
      </c>
    </row>
    <row r="64" spans="1:7" ht="11.25" customHeight="1">
      <c r="A64" t="s">
        <v>14</v>
      </c>
      <c r="B64" t="s">
        <v>3314</v>
      </c>
      <c r="C64" t="s">
        <v>3315</v>
      </c>
      <c r="D64" t="s">
        <v>3346</v>
      </c>
      <c r="E64" t="s">
        <v>3347</v>
      </c>
      <c r="F64" t="s">
        <v>3232</v>
      </c>
      <c r="G64" t="s">
        <v>3348</v>
      </c>
    </row>
    <row r="65" spans="1:7" ht="11.25" customHeight="1">
      <c r="A65" t="s">
        <v>14</v>
      </c>
      <c r="B65" t="s">
        <v>116</v>
      </c>
      <c r="C65" t="s">
        <v>117</v>
      </c>
      <c r="D65" t="s">
        <v>116</v>
      </c>
      <c r="E65" t="s">
        <v>117</v>
      </c>
      <c r="F65" t="s">
        <v>3227</v>
      </c>
      <c r="G65" t="s">
        <v>115</v>
      </c>
    </row>
    <row r="66" spans="1:7" ht="11.25" customHeight="1">
      <c r="A66" t="s">
        <v>14</v>
      </c>
      <c r="B66" t="s">
        <v>3349</v>
      </c>
      <c r="C66" t="s">
        <v>3350</v>
      </c>
      <c r="D66" t="s">
        <v>3351</v>
      </c>
      <c r="E66" t="s">
        <v>3352</v>
      </c>
      <c r="F66" t="s">
        <v>3232</v>
      </c>
      <c r="G66" t="s">
        <v>3353</v>
      </c>
    </row>
    <row r="67" spans="1:7" ht="11.25" customHeight="1">
      <c r="A67" t="s">
        <v>14</v>
      </c>
      <c r="B67" t="s">
        <v>3349</v>
      </c>
      <c r="C67" t="s">
        <v>3350</v>
      </c>
      <c r="D67" t="s">
        <v>3349</v>
      </c>
      <c r="E67" t="s">
        <v>3350</v>
      </c>
      <c r="F67" t="s">
        <v>3229</v>
      </c>
      <c r="G67" t="s">
        <v>2224</v>
      </c>
    </row>
    <row r="68" spans="1:7" ht="11.25" customHeight="1">
      <c r="A68" t="s">
        <v>14</v>
      </c>
      <c r="B68" t="s">
        <v>3349</v>
      </c>
      <c r="C68" t="s">
        <v>3350</v>
      </c>
      <c r="D68" t="s">
        <v>3354</v>
      </c>
      <c r="E68" t="s">
        <v>3355</v>
      </c>
      <c r="F68" t="s">
        <v>3324</v>
      </c>
      <c r="G68" t="s">
        <v>3356</v>
      </c>
    </row>
    <row r="69" spans="1:7" ht="11.25" customHeight="1">
      <c r="A69" t="s">
        <v>14</v>
      </c>
      <c r="B69" t="s">
        <v>3349</v>
      </c>
      <c r="C69" t="s">
        <v>3350</v>
      </c>
      <c r="D69" t="s">
        <v>3357</v>
      </c>
      <c r="E69" t="s">
        <v>3358</v>
      </c>
      <c r="F69" t="s">
        <v>3232</v>
      </c>
      <c r="G69" t="s">
        <v>2434</v>
      </c>
    </row>
    <row r="70" spans="1:7" ht="11.25" customHeight="1">
      <c r="A70" t="s">
        <v>14</v>
      </c>
      <c r="B70" t="s">
        <v>3349</v>
      </c>
      <c r="C70" t="s">
        <v>3350</v>
      </c>
      <c r="D70" t="s">
        <v>3359</v>
      </c>
      <c r="E70" t="s">
        <v>3360</v>
      </c>
      <c r="F70" t="s">
        <v>3232</v>
      </c>
      <c r="G70" t="s">
        <v>3361</v>
      </c>
    </row>
    <row r="71" spans="1:7" ht="11.25" customHeight="1">
      <c r="A71" t="s">
        <v>14</v>
      </c>
      <c r="B71" t="s">
        <v>3349</v>
      </c>
      <c r="C71" t="s">
        <v>3350</v>
      </c>
      <c r="D71" t="s">
        <v>3362</v>
      </c>
      <c r="E71" t="s">
        <v>3363</v>
      </c>
      <c r="F71" t="s">
        <v>3232</v>
      </c>
      <c r="G71" t="s">
        <v>3364</v>
      </c>
    </row>
    <row r="72" spans="1:7" ht="11.25" customHeight="1">
      <c r="A72" t="s">
        <v>14</v>
      </c>
      <c r="B72" t="s">
        <v>3349</v>
      </c>
      <c r="C72" t="s">
        <v>3350</v>
      </c>
      <c r="D72" t="s">
        <v>3365</v>
      </c>
      <c r="E72" t="s">
        <v>3366</v>
      </c>
      <c r="F72" t="s">
        <v>3232</v>
      </c>
      <c r="G72" t="s">
        <v>3367</v>
      </c>
    </row>
    <row r="73" spans="1:7" ht="11.25" customHeight="1">
      <c r="A73" t="s">
        <v>14</v>
      </c>
      <c r="B73" t="s">
        <v>3349</v>
      </c>
      <c r="C73" t="s">
        <v>3350</v>
      </c>
      <c r="D73" t="s">
        <v>3368</v>
      </c>
      <c r="E73" t="s">
        <v>3369</v>
      </c>
      <c r="F73" t="s">
        <v>3232</v>
      </c>
      <c r="G73" t="s">
        <v>3370</v>
      </c>
    </row>
    <row r="74" spans="1:7" ht="11.25" customHeight="1">
      <c r="A74" t="s">
        <v>14</v>
      </c>
      <c r="B74" t="s">
        <v>3349</v>
      </c>
      <c r="C74" t="s">
        <v>3350</v>
      </c>
      <c r="D74" t="s">
        <v>3371</v>
      </c>
      <c r="E74" t="s">
        <v>3372</v>
      </c>
      <c r="F74" t="s">
        <v>3232</v>
      </c>
      <c r="G74" t="s">
        <v>3373</v>
      </c>
    </row>
    <row r="75" spans="1:7" ht="11.25" customHeight="1">
      <c r="A75" t="s">
        <v>14</v>
      </c>
      <c r="B75" t="s">
        <v>3349</v>
      </c>
      <c r="C75" t="s">
        <v>3350</v>
      </c>
      <c r="D75" t="s">
        <v>3374</v>
      </c>
      <c r="E75" t="s">
        <v>3375</v>
      </c>
      <c r="F75" t="s">
        <v>3232</v>
      </c>
      <c r="G75" t="s">
        <v>3376</v>
      </c>
    </row>
    <row r="76" spans="1:7" ht="11.25" customHeight="1">
      <c r="A76" t="s">
        <v>14</v>
      </c>
      <c r="B76" t="s">
        <v>3349</v>
      </c>
      <c r="C76" t="s">
        <v>3350</v>
      </c>
      <c r="D76" t="s">
        <v>3377</v>
      </c>
      <c r="E76" t="s">
        <v>3378</v>
      </c>
      <c r="F76" t="s">
        <v>3232</v>
      </c>
      <c r="G76" t="s">
        <v>3379</v>
      </c>
    </row>
    <row r="77" spans="1:7" ht="11.25" customHeight="1">
      <c r="A77" t="s">
        <v>14</v>
      </c>
      <c r="B77" t="s">
        <v>3349</v>
      </c>
      <c r="C77" t="s">
        <v>3350</v>
      </c>
      <c r="D77" t="s">
        <v>3380</v>
      </c>
      <c r="E77" t="s">
        <v>3381</v>
      </c>
      <c r="F77" t="s">
        <v>3232</v>
      </c>
      <c r="G77" t="s">
        <v>3382</v>
      </c>
    </row>
    <row r="78" spans="1:7" ht="11.25" customHeight="1">
      <c r="A78" t="s">
        <v>14</v>
      </c>
      <c r="B78" t="s">
        <v>3349</v>
      </c>
      <c r="C78" t="s">
        <v>3350</v>
      </c>
      <c r="D78" t="s">
        <v>3383</v>
      </c>
      <c r="E78" t="s">
        <v>3384</v>
      </c>
      <c r="F78" t="s">
        <v>3232</v>
      </c>
      <c r="G78" t="s">
        <v>3385</v>
      </c>
    </row>
    <row r="79" spans="1:7" ht="11.25" customHeight="1">
      <c r="A79" t="s">
        <v>14</v>
      </c>
      <c r="B79" t="s">
        <v>3349</v>
      </c>
      <c r="C79" t="s">
        <v>3350</v>
      </c>
      <c r="D79" t="s">
        <v>3386</v>
      </c>
      <c r="E79" t="s">
        <v>3387</v>
      </c>
      <c r="F79" t="s">
        <v>3232</v>
      </c>
      <c r="G79" t="s">
        <v>3388</v>
      </c>
    </row>
    <row r="80" spans="1:7" ht="11.25" customHeight="1">
      <c r="A80" t="s">
        <v>14</v>
      </c>
      <c r="B80" t="s">
        <v>3349</v>
      </c>
      <c r="C80" t="s">
        <v>3350</v>
      </c>
      <c r="D80" t="s">
        <v>3389</v>
      </c>
      <c r="E80" t="s">
        <v>3390</v>
      </c>
      <c r="F80" t="s">
        <v>3232</v>
      </c>
      <c r="G80" t="s">
        <v>3391</v>
      </c>
    </row>
    <row r="81" spans="1:7" ht="11.25" customHeight="1">
      <c r="A81" t="s">
        <v>14</v>
      </c>
      <c r="B81" t="s">
        <v>119</v>
      </c>
      <c r="C81" t="s">
        <v>120</v>
      </c>
      <c r="D81" t="s">
        <v>119</v>
      </c>
      <c r="E81" t="s">
        <v>120</v>
      </c>
      <c r="F81" t="s">
        <v>3311</v>
      </c>
      <c r="G81" t="s">
        <v>118</v>
      </c>
    </row>
    <row r="82" spans="1:7" ht="11.25" customHeight="1">
      <c r="A82" t="s">
        <v>14</v>
      </c>
      <c r="B82" t="s">
        <v>3392</v>
      </c>
      <c r="C82" t="s">
        <v>3393</v>
      </c>
      <c r="D82" t="s">
        <v>3392</v>
      </c>
      <c r="E82" t="s">
        <v>3393</v>
      </c>
      <c r="F82" t="s">
        <v>3227</v>
      </c>
      <c r="G82" t="s">
        <v>3394</v>
      </c>
    </row>
    <row r="83" spans="1:7" ht="11.25" customHeight="1">
      <c r="A83" t="s">
        <v>14</v>
      </c>
      <c r="B83" t="s">
        <v>3395</v>
      </c>
      <c r="C83" t="s">
        <v>3396</v>
      </c>
      <c r="D83" t="s">
        <v>3318</v>
      </c>
      <c r="E83" t="s">
        <v>3397</v>
      </c>
      <c r="F83" t="s">
        <v>3232</v>
      </c>
      <c r="G83" t="s">
        <v>3398</v>
      </c>
    </row>
    <row r="84" spans="1:7" ht="11.25" customHeight="1">
      <c r="A84" t="s">
        <v>14</v>
      </c>
      <c r="B84" t="s">
        <v>3395</v>
      </c>
      <c r="C84" t="s">
        <v>3396</v>
      </c>
      <c r="D84" t="s">
        <v>3399</v>
      </c>
      <c r="E84" t="s">
        <v>3400</v>
      </c>
      <c r="F84" t="s">
        <v>3232</v>
      </c>
      <c r="G84" t="s">
        <v>3401</v>
      </c>
    </row>
    <row r="85" spans="1:7" ht="11.25" customHeight="1">
      <c r="A85" t="s">
        <v>14</v>
      </c>
      <c r="B85" t="s">
        <v>3395</v>
      </c>
      <c r="C85" t="s">
        <v>3396</v>
      </c>
      <c r="D85" t="s">
        <v>3395</v>
      </c>
      <c r="E85" t="s">
        <v>3396</v>
      </c>
      <c r="F85" t="s">
        <v>3229</v>
      </c>
      <c r="G85" t="s">
        <v>3402</v>
      </c>
    </row>
    <row r="86" spans="1:7" ht="11.25" customHeight="1">
      <c r="A86" t="s">
        <v>14</v>
      </c>
      <c r="B86" t="s">
        <v>3395</v>
      </c>
      <c r="C86" t="s">
        <v>3396</v>
      </c>
      <c r="D86" t="s">
        <v>3403</v>
      </c>
      <c r="E86" t="s">
        <v>3404</v>
      </c>
      <c r="F86" t="s">
        <v>3232</v>
      </c>
      <c r="G86" t="s">
        <v>3405</v>
      </c>
    </row>
    <row r="87" spans="1:7" ht="11.25" customHeight="1">
      <c r="A87" t="s">
        <v>14</v>
      </c>
      <c r="B87" t="s">
        <v>3395</v>
      </c>
      <c r="C87" t="s">
        <v>3396</v>
      </c>
      <c r="D87" t="s">
        <v>3406</v>
      </c>
      <c r="E87" t="s">
        <v>3407</v>
      </c>
      <c r="F87" t="s">
        <v>3232</v>
      </c>
      <c r="G87" t="s">
        <v>3408</v>
      </c>
    </row>
    <row r="88" spans="1:7" ht="11.25" customHeight="1">
      <c r="A88" t="s">
        <v>14</v>
      </c>
      <c r="B88" t="s">
        <v>3395</v>
      </c>
      <c r="C88" t="s">
        <v>3396</v>
      </c>
      <c r="D88" t="s">
        <v>3409</v>
      </c>
      <c r="E88" t="s">
        <v>3410</v>
      </c>
      <c r="F88" t="s">
        <v>3232</v>
      </c>
      <c r="G88" t="s">
        <v>3411</v>
      </c>
    </row>
    <row r="89" spans="1:7" ht="11.25" customHeight="1">
      <c r="A89" t="s">
        <v>14</v>
      </c>
      <c r="B89" t="s">
        <v>3395</v>
      </c>
      <c r="C89" t="s">
        <v>3396</v>
      </c>
      <c r="D89" t="s">
        <v>3412</v>
      </c>
      <c r="E89" t="s">
        <v>3413</v>
      </c>
      <c r="F89" t="s">
        <v>3232</v>
      </c>
      <c r="G89" t="s">
        <v>3414</v>
      </c>
    </row>
    <row r="90" spans="1:7" ht="11.25" customHeight="1">
      <c r="A90" t="s">
        <v>14</v>
      </c>
      <c r="B90" t="s">
        <v>3395</v>
      </c>
      <c r="C90" t="s">
        <v>3396</v>
      </c>
      <c r="D90" t="s">
        <v>3415</v>
      </c>
      <c r="E90" t="s">
        <v>3416</v>
      </c>
      <c r="F90" t="s">
        <v>3232</v>
      </c>
      <c r="G90" t="s">
        <v>3417</v>
      </c>
    </row>
    <row r="91" spans="1:7" ht="11.25" customHeight="1">
      <c r="A91" t="s">
        <v>14</v>
      </c>
      <c r="B91" t="s">
        <v>3395</v>
      </c>
      <c r="C91" t="s">
        <v>3396</v>
      </c>
      <c r="D91" t="s">
        <v>3418</v>
      </c>
      <c r="E91" t="s">
        <v>3419</v>
      </c>
      <c r="F91" t="s">
        <v>3232</v>
      </c>
      <c r="G91" t="s">
        <v>3420</v>
      </c>
    </row>
    <row r="92" spans="1:7" ht="11.25" customHeight="1">
      <c r="A92" t="s">
        <v>14</v>
      </c>
      <c r="B92" t="s">
        <v>3395</v>
      </c>
      <c r="C92" t="s">
        <v>3396</v>
      </c>
      <c r="D92" t="s">
        <v>3421</v>
      </c>
      <c r="E92" t="s">
        <v>3422</v>
      </c>
      <c r="F92" t="s">
        <v>3232</v>
      </c>
      <c r="G92" t="s">
        <v>3423</v>
      </c>
    </row>
    <row r="93" spans="1:7" ht="11.25" customHeight="1">
      <c r="A93" t="s">
        <v>14</v>
      </c>
      <c r="B93" t="s">
        <v>3395</v>
      </c>
      <c r="C93" t="s">
        <v>3396</v>
      </c>
      <c r="D93" t="s">
        <v>3424</v>
      </c>
      <c r="E93" t="s">
        <v>3425</v>
      </c>
      <c r="F93" t="s">
        <v>3232</v>
      </c>
      <c r="G93" t="s">
        <v>3426</v>
      </c>
    </row>
    <row r="94" spans="1:7" ht="11.25" customHeight="1">
      <c r="A94" t="s">
        <v>14</v>
      </c>
      <c r="B94" t="s">
        <v>3395</v>
      </c>
      <c r="C94" t="s">
        <v>3396</v>
      </c>
      <c r="D94" t="s">
        <v>3427</v>
      </c>
      <c r="E94" t="s">
        <v>3428</v>
      </c>
      <c r="F94" t="s">
        <v>3232</v>
      </c>
      <c r="G94" t="s">
        <v>3429</v>
      </c>
    </row>
    <row r="95" spans="1:7" ht="11.25" customHeight="1">
      <c r="A95" t="s">
        <v>14</v>
      </c>
      <c r="B95" t="s">
        <v>3395</v>
      </c>
      <c r="C95" t="s">
        <v>3396</v>
      </c>
      <c r="D95" t="s">
        <v>3430</v>
      </c>
      <c r="E95" t="s">
        <v>3431</v>
      </c>
      <c r="F95" t="s">
        <v>3232</v>
      </c>
      <c r="G95" t="s">
        <v>3432</v>
      </c>
    </row>
    <row r="96" spans="1:7" ht="11.25" customHeight="1">
      <c r="A96" t="s">
        <v>14</v>
      </c>
      <c r="B96" t="s">
        <v>3395</v>
      </c>
      <c r="C96" t="s">
        <v>3396</v>
      </c>
      <c r="D96" t="s">
        <v>3433</v>
      </c>
      <c r="E96" t="s">
        <v>3434</v>
      </c>
      <c r="F96" t="s">
        <v>3232</v>
      </c>
      <c r="G96" t="s">
        <v>3435</v>
      </c>
    </row>
    <row r="97" spans="1:7" ht="11.25" customHeight="1">
      <c r="A97" t="s">
        <v>14</v>
      </c>
      <c r="B97" t="s">
        <v>3395</v>
      </c>
      <c r="C97" t="s">
        <v>3396</v>
      </c>
      <c r="D97" t="s">
        <v>3436</v>
      </c>
      <c r="E97" t="s">
        <v>3437</v>
      </c>
      <c r="F97" t="s">
        <v>3232</v>
      </c>
      <c r="G97" t="s">
        <v>3438</v>
      </c>
    </row>
    <row r="98" spans="1:7" ht="11.25" customHeight="1">
      <c r="A98" t="s">
        <v>14</v>
      </c>
      <c r="B98" t="s">
        <v>123</v>
      </c>
      <c r="C98" t="s">
        <v>124</v>
      </c>
      <c r="D98" t="s">
        <v>123</v>
      </c>
      <c r="E98" t="s">
        <v>124</v>
      </c>
      <c r="F98" t="s">
        <v>3311</v>
      </c>
      <c r="G98" t="s">
        <v>122</v>
      </c>
    </row>
    <row r="99" spans="1:7" ht="11.25" customHeight="1">
      <c r="A99" t="s">
        <v>14</v>
      </c>
      <c r="B99" t="s">
        <v>3439</v>
      </c>
      <c r="C99" t="s">
        <v>3440</v>
      </c>
      <c r="D99" t="s">
        <v>3439</v>
      </c>
      <c r="E99" t="s">
        <v>3440</v>
      </c>
      <c r="F99" t="s">
        <v>3311</v>
      </c>
      <c r="G99" t="s">
        <v>3441</v>
      </c>
    </row>
    <row r="100" spans="1:7" ht="11.25" customHeight="1">
      <c r="A100" t="s">
        <v>14</v>
      </c>
      <c r="B100" t="s">
        <v>3442</v>
      </c>
      <c r="C100" t="s">
        <v>3443</v>
      </c>
      <c r="D100" t="s">
        <v>3442</v>
      </c>
      <c r="E100" t="s">
        <v>3443</v>
      </c>
      <c r="F100" t="s">
        <v>3311</v>
      </c>
      <c r="G100" t="s">
        <v>3444</v>
      </c>
    </row>
    <row r="101" spans="1:7" ht="11.25" customHeight="1">
      <c r="A101" t="s">
        <v>14</v>
      </c>
      <c r="B101" t="s">
        <v>127</v>
      </c>
      <c r="C101" t="s">
        <v>128</v>
      </c>
      <c r="D101" t="s">
        <v>127</v>
      </c>
      <c r="E101" t="s">
        <v>128</v>
      </c>
      <c r="F101" t="s">
        <v>3311</v>
      </c>
      <c r="G101" t="s">
        <v>126</v>
      </c>
    </row>
    <row r="102" spans="1:7" ht="11.25" customHeight="1">
      <c r="A102" t="s">
        <v>14</v>
      </c>
      <c r="B102" t="s">
        <v>131</v>
      </c>
      <c r="C102" t="s">
        <v>132</v>
      </c>
      <c r="D102" t="s">
        <v>131</v>
      </c>
      <c r="E102" t="s">
        <v>132</v>
      </c>
      <c r="F102" t="s">
        <v>3311</v>
      </c>
      <c r="G102" t="s">
        <v>130</v>
      </c>
    </row>
    <row r="103" spans="1:7" ht="11.25" customHeight="1">
      <c r="A103" t="s">
        <v>14</v>
      </c>
      <c r="B103" t="s">
        <v>134</v>
      </c>
      <c r="C103" t="s">
        <v>135</v>
      </c>
      <c r="D103" t="s">
        <v>134</v>
      </c>
      <c r="E103" t="s">
        <v>135</v>
      </c>
      <c r="F103" t="s">
        <v>3311</v>
      </c>
      <c r="G103" t="s">
        <v>133</v>
      </c>
    </row>
    <row r="104" spans="1:7" ht="11.25" customHeight="1">
      <c r="A104" t="s">
        <v>14</v>
      </c>
      <c r="B104" t="s">
        <v>138</v>
      </c>
      <c r="C104" t="s">
        <v>139</v>
      </c>
      <c r="D104" t="s">
        <v>138</v>
      </c>
      <c r="E104" t="s">
        <v>139</v>
      </c>
      <c r="F104" t="s">
        <v>3311</v>
      </c>
      <c r="G104" t="s">
        <v>137</v>
      </c>
    </row>
    <row r="105" spans="1:7" ht="11.25" customHeight="1">
      <c r="A105" t="s">
        <v>14</v>
      </c>
      <c r="B105" t="s">
        <v>142</v>
      </c>
      <c r="C105" t="s">
        <v>143</v>
      </c>
      <c r="D105" t="s">
        <v>142</v>
      </c>
      <c r="E105" t="s">
        <v>143</v>
      </c>
      <c r="F105" t="s">
        <v>3227</v>
      </c>
      <c r="G105" t="s">
        <v>141</v>
      </c>
    </row>
    <row r="106" spans="1:7" ht="11.25" customHeight="1">
      <c r="A106" t="s">
        <v>14</v>
      </c>
      <c r="B106" t="s">
        <v>3445</v>
      </c>
      <c r="C106" t="s">
        <v>3446</v>
      </c>
      <c r="D106" t="s">
        <v>3445</v>
      </c>
      <c r="E106" t="s">
        <v>3446</v>
      </c>
      <c r="F106" t="s">
        <v>3229</v>
      </c>
      <c r="G106" t="s">
        <v>3447</v>
      </c>
    </row>
    <row r="107" spans="1:7" ht="11.25" customHeight="1">
      <c r="A107" t="s">
        <v>14</v>
      </c>
      <c r="B107" t="s">
        <v>3445</v>
      </c>
      <c r="C107" t="s">
        <v>3446</v>
      </c>
      <c r="D107" t="s">
        <v>3448</v>
      </c>
      <c r="E107" t="s">
        <v>3449</v>
      </c>
      <c r="F107" t="s">
        <v>3232</v>
      </c>
      <c r="G107" t="s">
        <v>3450</v>
      </c>
    </row>
    <row r="108" spans="1:7" ht="11.25" customHeight="1">
      <c r="A108" t="s">
        <v>14</v>
      </c>
      <c r="B108" t="s">
        <v>3445</v>
      </c>
      <c r="C108" t="s">
        <v>3446</v>
      </c>
      <c r="D108" t="s">
        <v>3451</v>
      </c>
      <c r="E108" t="s">
        <v>3452</v>
      </c>
      <c r="F108" t="s">
        <v>3232</v>
      </c>
      <c r="G108" t="s">
        <v>3453</v>
      </c>
    </row>
    <row r="109" spans="1:7" ht="11.25" customHeight="1">
      <c r="A109" t="s">
        <v>14</v>
      </c>
      <c r="B109" t="s">
        <v>3445</v>
      </c>
      <c r="C109" t="s">
        <v>3446</v>
      </c>
      <c r="D109" t="s">
        <v>3454</v>
      </c>
      <c r="E109" t="s">
        <v>3455</v>
      </c>
      <c r="F109" t="s">
        <v>3232</v>
      </c>
      <c r="G109" t="s">
        <v>3456</v>
      </c>
    </row>
    <row r="110" spans="1:7" ht="11.25" customHeight="1">
      <c r="A110" t="s">
        <v>14</v>
      </c>
      <c r="B110" t="s">
        <v>3445</v>
      </c>
      <c r="C110" t="s">
        <v>3446</v>
      </c>
      <c r="D110" t="s">
        <v>3457</v>
      </c>
      <c r="E110" t="s">
        <v>3458</v>
      </c>
      <c r="F110" t="s">
        <v>3232</v>
      </c>
      <c r="G110" t="s">
        <v>3459</v>
      </c>
    </row>
    <row r="111" spans="1:7" ht="11.25" customHeight="1">
      <c r="A111" t="s">
        <v>14</v>
      </c>
      <c r="B111" t="s">
        <v>3445</v>
      </c>
      <c r="C111" t="s">
        <v>3446</v>
      </c>
      <c r="D111" t="s">
        <v>3460</v>
      </c>
      <c r="E111" t="s">
        <v>3461</v>
      </c>
      <c r="F111" t="s">
        <v>3232</v>
      </c>
      <c r="G111" t="s">
        <v>3462</v>
      </c>
    </row>
    <row r="112" spans="1:7" ht="11.25" customHeight="1">
      <c r="A112" t="s">
        <v>14</v>
      </c>
      <c r="B112" t="s">
        <v>3445</v>
      </c>
      <c r="C112" t="s">
        <v>3446</v>
      </c>
      <c r="D112" t="s">
        <v>3463</v>
      </c>
      <c r="E112" t="s">
        <v>3464</v>
      </c>
      <c r="F112" t="s">
        <v>3232</v>
      </c>
      <c r="G112" t="s">
        <v>3465</v>
      </c>
    </row>
    <row r="113" spans="1:7" ht="11.25" customHeight="1">
      <c r="A113" t="s">
        <v>14</v>
      </c>
      <c r="B113" t="s">
        <v>3445</v>
      </c>
      <c r="C113" t="s">
        <v>3446</v>
      </c>
      <c r="D113" t="s">
        <v>3466</v>
      </c>
      <c r="E113" t="s">
        <v>3467</v>
      </c>
      <c r="F113" t="s">
        <v>3232</v>
      </c>
      <c r="G113" t="s">
        <v>3468</v>
      </c>
    </row>
    <row r="114" spans="1:7" ht="11.25" customHeight="1">
      <c r="A114" t="s">
        <v>14</v>
      </c>
      <c r="B114" t="s">
        <v>3445</v>
      </c>
      <c r="C114" t="s">
        <v>3446</v>
      </c>
      <c r="D114" t="s">
        <v>3469</v>
      </c>
      <c r="E114" t="s">
        <v>3470</v>
      </c>
      <c r="F114" t="s">
        <v>3232</v>
      </c>
      <c r="G114" t="s">
        <v>3471</v>
      </c>
    </row>
    <row r="115" spans="1:7" ht="11.25" customHeight="1">
      <c r="A115" t="s">
        <v>14</v>
      </c>
      <c r="B115" t="s">
        <v>146</v>
      </c>
      <c r="C115" t="s">
        <v>147</v>
      </c>
      <c r="D115" t="s">
        <v>146</v>
      </c>
      <c r="E115" t="s">
        <v>147</v>
      </c>
      <c r="F115" t="s">
        <v>3311</v>
      </c>
      <c r="G115" t="s">
        <v>145</v>
      </c>
    </row>
    <row r="116" spans="1:7" ht="11.25" customHeight="1">
      <c r="A116" t="s">
        <v>14</v>
      </c>
      <c r="B116" t="s">
        <v>3472</v>
      </c>
      <c r="C116" t="s">
        <v>3473</v>
      </c>
      <c r="D116" t="s">
        <v>3472</v>
      </c>
      <c r="E116" t="s">
        <v>3473</v>
      </c>
      <c r="F116" t="s">
        <v>3227</v>
      </c>
      <c r="G116" t="s">
        <v>3474</v>
      </c>
    </row>
    <row r="117" spans="1:7" ht="11.25" customHeight="1">
      <c r="A117" t="s">
        <v>14</v>
      </c>
      <c r="B117" t="s">
        <v>3475</v>
      </c>
      <c r="C117" t="s">
        <v>3476</v>
      </c>
      <c r="D117" t="s">
        <v>3477</v>
      </c>
      <c r="E117" t="s">
        <v>3478</v>
      </c>
      <c r="F117" t="s">
        <v>3324</v>
      </c>
      <c r="G117" t="s">
        <v>3479</v>
      </c>
    </row>
    <row r="118" spans="1:7" ht="11.25" customHeight="1">
      <c r="A118" t="s">
        <v>14</v>
      </c>
      <c r="B118" t="s">
        <v>3475</v>
      </c>
      <c r="C118" t="s">
        <v>3476</v>
      </c>
      <c r="D118" t="s">
        <v>3475</v>
      </c>
      <c r="E118" t="s">
        <v>3476</v>
      </c>
      <c r="F118" t="s">
        <v>3229</v>
      </c>
      <c r="G118" t="s">
        <v>3480</v>
      </c>
    </row>
    <row r="119" spans="1:7" ht="11.25" customHeight="1">
      <c r="A119" t="s">
        <v>14</v>
      </c>
      <c r="B119" t="s">
        <v>3475</v>
      </c>
      <c r="C119" t="s">
        <v>3476</v>
      </c>
      <c r="D119" t="s">
        <v>3481</v>
      </c>
      <c r="E119" t="s">
        <v>3482</v>
      </c>
      <c r="F119" t="s">
        <v>3232</v>
      </c>
      <c r="G119" t="s">
        <v>3483</v>
      </c>
    </row>
    <row r="120" spans="1:7" ht="11.25" customHeight="1">
      <c r="A120" t="s">
        <v>14</v>
      </c>
      <c r="B120" t="s">
        <v>3475</v>
      </c>
      <c r="C120" t="s">
        <v>3476</v>
      </c>
      <c r="D120" t="s">
        <v>3484</v>
      </c>
      <c r="E120" t="s">
        <v>3485</v>
      </c>
      <c r="F120" t="s">
        <v>3232</v>
      </c>
      <c r="G120" t="s">
        <v>3486</v>
      </c>
    </row>
    <row r="121" spans="1:7" ht="11.25" customHeight="1">
      <c r="A121" t="s">
        <v>14</v>
      </c>
      <c r="B121" t="s">
        <v>3475</v>
      </c>
      <c r="C121" t="s">
        <v>3476</v>
      </c>
      <c r="D121" t="s">
        <v>3487</v>
      </c>
      <c r="E121" t="s">
        <v>3488</v>
      </c>
      <c r="F121" t="s">
        <v>3232</v>
      </c>
      <c r="G121" t="s">
        <v>3489</v>
      </c>
    </row>
    <row r="122" spans="1:7" ht="11.25" customHeight="1">
      <c r="A122" t="s">
        <v>14</v>
      </c>
      <c r="B122" t="s">
        <v>3475</v>
      </c>
      <c r="C122" t="s">
        <v>3476</v>
      </c>
      <c r="D122" t="s">
        <v>3490</v>
      </c>
      <c r="E122" t="s">
        <v>3491</v>
      </c>
      <c r="F122" t="s">
        <v>3232</v>
      </c>
      <c r="G122" t="s">
        <v>3492</v>
      </c>
    </row>
    <row r="123" spans="1:7" ht="11.25" customHeight="1">
      <c r="A123" t="s">
        <v>14</v>
      </c>
      <c r="B123" t="s">
        <v>3475</v>
      </c>
      <c r="C123" t="s">
        <v>3476</v>
      </c>
      <c r="D123" t="s">
        <v>3493</v>
      </c>
      <c r="E123" t="s">
        <v>3494</v>
      </c>
      <c r="F123" t="s">
        <v>3232</v>
      </c>
      <c r="G123" t="s">
        <v>3495</v>
      </c>
    </row>
    <row r="124" spans="1:7" ht="11.25" customHeight="1">
      <c r="A124" t="s">
        <v>14</v>
      </c>
      <c r="B124" t="s">
        <v>3475</v>
      </c>
      <c r="C124" t="s">
        <v>3476</v>
      </c>
      <c r="D124" t="s">
        <v>3496</v>
      </c>
      <c r="E124" t="s">
        <v>3497</v>
      </c>
      <c r="F124" t="s">
        <v>3498</v>
      </c>
      <c r="G124" t="s">
        <v>3499</v>
      </c>
    </row>
    <row r="125" spans="1:7" ht="11.25" customHeight="1">
      <c r="A125" t="s">
        <v>14</v>
      </c>
      <c r="B125" t="s">
        <v>3475</v>
      </c>
      <c r="C125" t="s">
        <v>3476</v>
      </c>
      <c r="D125" t="s">
        <v>3500</v>
      </c>
      <c r="E125" t="s">
        <v>3501</v>
      </c>
      <c r="F125" t="s">
        <v>3498</v>
      </c>
      <c r="G125" t="s">
        <v>3502</v>
      </c>
    </row>
    <row r="126" spans="1:7" ht="11.25" customHeight="1">
      <c r="A126" t="s">
        <v>14</v>
      </c>
      <c r="B126" t="s">
        <v>3475</v>
      </c>
      <c r="C126" t="s">
        <v>3476</v>
      </c>
      <c r="D126" t="s">
        <v>3503</v>
      </c>
      <c r="E126" t="s">
        <v>3504</v>
      </c>
      <c r="F126" t="s">
        <v>3232</v>
      </c>
      <c r="G126" t="s">
        <v>3505</v>
      </c>
    </row>
    <row r="127" spans="1:7" ht="11.25" customHeight="1">
      <c r="A127" t="s">
        <v>14</v>
      </c>
      <c r="B127" t="s">
        <v>3475</v>
      </c>
      <c r="C127" t="s">
        <v>3476</v>
      </c>
      <c r="D127" t="s">
        <v>3506</v>
      </c>
      <c r="E127" t="s">
        <v>3507</v>
      </c>
      <c r="F127" t="s">
        <v>3232</v>
      </c>
      <c r="G127" t="s">
        <v>3508</v>
      </c>
    </row>
    <row r="128" spans="1:7" ht="11.25" customHeight="1">
      <c r="A128" t="s">
        <v>14</v>
      </c>
      <c r="B128" t="s">
        <v>3475</v>
      </c>
      <c r="C128" t="s">
        <v>3476</v>
      </c>
      <c r="D128" t="s">
        <v>3509</v>
      </c>
      <c r="E128" t="s">
        <v>3510</v>
      </c>
      <c r="F128" t="s">
        <v>3232</v>
      </c>
      <c r="G128" t="s">
        <v>3511</v>
      </c>
    </row>
    <row r="129" spans="1:7" ht="11.25" customHeight="1">
      <c r="A129" t="s">
        <v>14</v>
      </c>
      <c r="B129" t="s">
        <v>3475</v>
      </c>
      <c r="C129" t="s">
        <v>3476</v>
      </c>
      <c r="D129" t="s">
        <v>3512</v>
      </c>
      <c r="E129" t="s">
        <v>3513</v>
      </c>
      <c r="F129" t="s">
        <v>3232</v>
      </c>
      <c r="G129" t="s">
        <v>3514</v>
      </c>
    </row>
    <row r="130" spans="1:7" ht="11.25" customHeight="1">
      <c r="A130" t="s">
        <v>14</v>
      </c>
      <c r="B130" t="s">
        <v>3475</v>
      </c>
      <c r="C130" t="s">
        <v>3476</v>
      </c>
      <c r="D130" t="s">
        <v>3515</v>
      </c>
      <c r="E130" t="s">
        <v>3516</v>
      </c>
      <c r="F130" t="s">
        <v>3232</v>
      </c>
      <c r="G130" t="s">
        <v>3517</v>
      </c>
    </row>
    <row r="131" spans="1:7" ht="11.25" customHeight="1">
      <c r="A131" t="s">
        <v>14</v>
      </c>
      <c r="B131" t="s">
        <v>3475</v>
      </c>
      <c r="C131" t="s">
        <v>3476</v>
      </c>
      <c r="D131" t="s">
        <v>3518</v>
      </c>
      <c r="E131" t="s">
        <v>3519</v>
      </c>
      <c r="F131" t="s">
        <v>3232</v>
      </c>
      <c r="G131" t="s">
        <v>3520</v>
      </c>
    </row>
    <row r="132" spans="1:7" ht="11.25" customHeight="1">
      <c r="A132" t="s">
        <v>14</v>
      </c>
      <c r="B132" t="s">
        <v>3475</v>
      </c>
      <c r="C132" t="s">
        <v>3476</v>
      </c>
      <c r="D132" t="s">
        <v>3521</v>
      </c>
      <c r="E132" t="s">
        <v>3522</v>
      </c>
      <c r="F132" t="s">
        <v>3232</v>
      </c>
      <c r="G132" t="s">
        <v>3523</v>
      </c>
    </row>
    <row r="133" spans="1:7" ht="11.25" customHeight="1">
      <c r="A133" t="s">
        <v>14</v>
      </c>
      <c r="B133" t="s">
        <v>150</v>
      </c>
      <c r="C133" t="s">
        <v>151</v>
      </c>
      <c r="D133" t="s">
        <v>150</v>
      </c>
      <c r="E133" t="s">
        <v>151</v>
      </c>
      <c r="F133" t="s">
        <v>3311</v>
      </c>
      <c r="G133" t="s">
        <v>149</v>
      </c>
    </row>
    <row r="134" spans="1:7" ht="11.25" customHeight="1">
      <c r="A134" t="s">
        <v>14</v>
      </c>
      <c r="B134" t="s">
        <v>3524</v>
      </c>
      <c r="C134" t="s">
        <v>3525</v>
      </c>
      <c r="D134" t="s">
        <v>3524</v>
      </c>
      <c r="E134" t="s">
        <v>3525</v>
      </c>
      <c r="F134" t="s">
        <v>3227</v>
      </c>
      <c r="G134" t="s">
        <v>3526</v>
      </c>
    </row>
    <row r="135" spans="1:7" ht="11.25" customHeight="1">
      <c r="A135" t="s">
        <v>14</v>
      </c>
      <c r="B135" t="s">
        <v>3527</v>
      </c>
      <c r="C135" t="s">
        <v>3528</v>
      </c>
      <c r="D135" t="s">
        <v>3529</v>
      </c>
      <c r="E135" t="s">
        <v>3530</v>
      </c>
      <c r="F135" t="s">
        <v>3232</v>
      </c>
      <c r="G135" t="s">
        <v>3531</v>
      </c>
    </row>
    <row r="136" spans="1:7" ht="11.25" customHeight="1">
      <c r="A136" t="s">
        <v>14</v>
      </c>
      <c r="B136" t="s">
        <v>3527</v>
      </c>
      <c r="C136" t="s">
        <v>3528</v>
      </c>
      <c r="D136" t="s">
        <v>3532</v>
      </c>
      <c r="E136" t="s">
        <v>3533</v>
      </c>
      <c r="F136" t="s">
        <v>3232</v>
      </c>
      <c r="G136" t="s">
        <v>3534</v>
      </c>
    </row>
    <row r="137" spans="1:7" ht="11.25" customHeight="1">
      <c r="A137" t="s">
        <v>14</v>
      </c>
      <c r="B137" t="s">
        <v>3527</v>
      </c>
      <c r="C137" t="s">
        <v>3528</v>
      </c>
      <c r="D137" t="s">
        <v>3535</v>
      </c>
      <c r="E137" t="s">
        <v>3536</v>
      </c>
      <c r="F137" t="s">
        <v>3324</v>
      </c>
      <c r="G137" t="s">
        <v>3537</v>
      </c>
    </row>
    <row r="138" spans="1:7" ht="11.25" customHeight="1">
      <c r="A138" t="s">
        <v>14</v>
      </c>
      <c r="B138" t="s">
        <v>3527</v>
      </c>
      <c r="C138" t="s">
        <v>3528</v>
      </c>
      <c r="D138" t="s">
        <v>3538</v>
      </c>
      <c r="E138" t="s">
        <v>3539</v>
      </c>
      <c r="F138" t="s">
        <v>3232</v>
      </c>
      <c r="G138" t="s">
        <v>3540</v>
      </c>
    </row>
    <row r="139" spans="1:7" ht="11.25" customHeight="1">
      <c r="A139" t="s">
        <v>14</v>
      </c>
      <c r="B139" t="s">
        <v>3527</v>
      </c>
      <c r="C139" t="s">
        <v>3528</v>
      </c>
      <c r="D139" t="s">
        <v>3541</v>
      </c>
      <c r="E139" t="s">
        <v>3542</v>
      </c>
      <c r="F139" t="s">
        <v>3232</v>
      </c>
      <c r="G139" t="s">
        <v>3543</v>
      </c>
    </row>
    <row r="140" spans="1:7" ht="11.25" customHeight="1">
      <c r="A140" t="s">
        <v>14</v>
      </c>
      <c r="B140" t="s">
        <v>3527</v>
      </c>
      <c r="C140" t="s">
        <v>3528</v>
      </c>
      <c r="D140" t="s">
        <v>3527</v>
      </c>
      <c r="E140" t="s">
        <v>3528</v>
      </c>
      <c r="F140" t="s">
        <v>3229</v>
      </c>
      <c r="G140" t="s">
        <v>3544</v>
      </c>
    </row>
    <row r="141" spans="1:7" ht="11.25" customHeight="1">
      <c r="A141" t="s">
        <v>14</v>
      </c>
      <c r="B141" t="s">
        <v>3527</v>
      </c>
      <c r="C141" t="s">
        <v>3528</v>
      </c>
      <c r="D141" t="s">
        <v>3545</v>
      </c>
      <c r="E141" t="s">
        <v>3546</v>
      </c>
      <c r="F141" t="s">
        <v>3232</v>
      </c>
      <c r="G141" t="s">
        <v>3547</v>
      </c>
    </row>
    <row r="142" spans="1:7" ht="11.25" customHeight="1">
      <c r="A142" t="s">
        <v>14</v>
      </c>
      <c r="B142" t="s">
        <v>3527</v>
      </c>
      <c r="C142" t="s">
        <v>3528</v>
      </c>
      <c r="D142" t="s">
        <v>3548</v>
      </c>
      <c r="E142" t="s">
        <v>3549</v>
      </c>
      <c r="F142" t="s">
        <v>3232</v>
      </c>
      <c r="G142" t="s">
        <v>3550</v>
      </c>
    </row>
    <row r="143" spans="1:7" ht="11.25" customHeight="1">
      <c r="A143" t="s">
        <v>14</v>
      </c>
      <c r="B143" t="s">
        <v>3527</v>
      </c>
      <c r="C143" t="s">
        <v>3528</v>
      </c>
      <c r="D143" t="s">
        <v>3551</v>
      </c>
      <c r="E143" t="s">
        <v>3552</v>
      </c>
      <c r="F143" t="s">
        <v>3232</v>
      </c>
      <c r="G143" t="s">
        <v>3553</v>
      </c>
    </row>
    <row r="144" spans="1:7" ht="11.25" customHeight="1">
      <c r="A144" t="s">
        <v>14</v>
      </c>
      <c r="B144" t="s">
        <v>3527</v>
      </c>
      <c r="C144" t="s">
        <v>3528</v>
      </c>
      <c r="D144" t="s">
        <v>3554</v>
      </c>
      <c r="E144" t="s">
        <v>3555</v>
      </c>
      <c r="F144" t="s">
        <v>3232</v>
      </c>
      <c r="G144" t="s">
        <v>3556</v>
      </c>
    </row>
    <row r="145" spans="1:7" ht="11.25" customHeight="1">
      <c r="A145" t="s">
        <v>14</v>
      </c>
      <c r="B145" t="s">
        <v>3527</v>
      </c>
      <c r="C145" t="s">
        <v>3528</v>
      </c>
      <c r="D145" t="s">
        <v>3557</v>
      </c>
      <c r="E145" t="s">
        <v>3558</v>
      </c>
      <c r="F145" t="s">
        <v>3232</v>
      </c>
      <c r="G145" t="s">
        <v>3559</v>
      </c>
    </row>
    <row r="146" spans="1:7" ht="11.25" customHeight="1">
      <c r="A146" t="s">
        <v>14</v>
      </c>
      <c r="B146" t="s">
        <v>3527</v>
      </c>
      <c r="C146" t="s">
        <v>3528</v>
      </c>
      <c r="D146" t="s">
        <v>3560</v>
      </c>
      <c r="E146" t="s">
        <v>3561</v>
      </c>
      <c r="F146" t="s">
        <v>3232</v>
      </c>
      <c r="G146" t="s">
        <v>3562</v>
      </c>
    </row>
    <row r="147" spans="1:7" ht="11.25" customHeight="1">
      <c r="A147" t="s">
        <v>14</v>
      </c>
      <c r="B147" t="s">
        <v>3527</v>
      </c>
      <c r="C147" t="s">
        <v>3528</v>
      </c>
      <c r="D147" t="s">
        <v>3563</v>
      </c>
      <c r="E147" t="s">
        <v>3564</v>
      </c>
      <c r="F147" t="s">
        <v>3232</v>
      </c>
      <c r="G147" t="s">
        <v>3565</v>
      </c>
    </row>
    <row r="148" spans="1:7" ht="11.25" customHeight="1">
      <c r="A148" t="s">
        <v>14</v>
      </c>
      <c r="B148" t="s">
        <v>3527</v>
      </c>
      <c r="C148" t="s">
        <v>3528</v>
      </c>
      <c r="D148" t="s">
        <v>3566</v>
      </c>
      <c r="E148" t="s">
        <v>3567</v>
      </c>
      <c r="F148" t="s">
        <v>3232</v>
      </c>
      <c r="G148" t="s">
        <v>3568</v>
      </c>
    </row>
    <row r="149" spans="1:7" ht="11.25" customHeight="1">
      <c r="A149" t="s">
        <v>14</v>
      </c>
      <c r="B149" t="s">
        <v>3527</v>
      </c>
      <c r="C149" t="s">
        <v>3528</v>
      </c>
      <c r="D149" t="s">
        <v>3569</v>
      </c>
      <c r="E149" t="s">
        <v>3570</v>
      </c>
      <c r="F149" t="s">
        <v>3232</v>
      </c>
      <c r="G149" t="s">
        <v>3571</v>
      </c>
    </row>
    <row r="150" spans="1:7" ht="11.25" customHeight="1">
      <c r="A150" t="s">
        <v>14</v>
      </c>
      <c r="B150" t="s">
        <v>3527</v>
      </c>
      <c r="C150" t="s">
        <v>3528</v>
      </c>
      <c r="D150" t="s">
        <v>3572</v>
      </c>
      <c r="E150" t="s">
        <v>3573</v>
      </c>
      <c r="F150" t="s">
        <v>3232</v>
      </c>
      <c r="G150" t="s">
        <v>3574</v>
      </c>
    </row>
    <row r="151" spans="1:7" ht="11.25" customHeight="1">
      <c r="A151" t="s">
        <v>14</v>
      </c>
      <c r="B151" t="s">
        <v>3527</v>
      </c>
      <c r="C151" t="s">
        <v>3528</v>
      </c>
      <c r="D151" t="s">
        <v>3575</v>
      </c>
      <c r="E151" t="s">
        <v>3576</v>
      </c>
      <c r="F151" t="s">
        <v>3232</v>
      </c>
      <c r="G151" t="s">
        <v>3577</v>
      </c>
    </row>
    <row r="152" spans="1:7" ht="11.25" customHeight="1">
      <c r="A152" t="s">
        <v>14</v>
      </c>
      <c r="B152" t="s">
        <v>154</v>
      </c>
      <c r="C152" t="s">
        <v>155</v>
      </c>
      <c r="D152" t="s">
        <v>154</v>
      </c>
      <c r="E152" t="s">
        <v>155</v>
      </c>
      <c r="F152" t="s">
        <v>3311</v>
      </c>
      <c r="G152" t="s">
        <v>153</v>
      </c>
    </row>
    <row r="153" spans="1:7" ht="11.25" customHeight="1">
      <c r="A153" t="s">
        <v>14</v>
      </c>
      <c r="B153" t="s">
        <v>3578</v>
      </c>
      <c r="C153" t="s">
        <v>3579</v>
      </c>
      <c r="D153" t="s">
        <v>3578</v>
      </c>
      <c r="E153" t="s">
        <v>3579</v>
      </c>
      <c r="F153" t="s">
        <v>3227</v>
      </c>
      <c r="G153" t="s">
        <v>3580</v>
      </c>
    </row>
    <row r="154" spans="1:7" ht="11.25" customHeight="1">
      <c r="A154" t="s">
        <v>14</v>
      </c>
      <c r="B154" t="s">
        <v>3581</v>
      </c>
      <c r="C154" t="s">
        <v>3582</v>
      </c>
      <c r="D154" t="s">
        <v>3583</v>
      </c>
      <c r="E154" t="s">
        <v>3584</v>
      </c>
      <c r="F154" t="s">
        <v>3232</v>
      </c>
      <c r="G154" t="s">
        <v>3585</v>
      </c>
    </row>
    <row r="155" spans="1:7" ht="11.25" customHeight="1">
      <c r="A155" t="s">
        <v>14</v>
      </c>
      <c r="B155" t="s">
        <v>3581</v>
      </c>
      <c r="C155" t="s">
        <v>3582</v>
      </c>
      <c r="D155" t="s">
        <v>3586</v>
      </c>
      <c r="E155" t="s">
        <v>3587</v>
      </c>
      <c r="F155" t="s">
        <v>3324</v>
      </c>
      <c r="G155" t="s">
        <v>3588</v>
      </c>
    </row>
    <row r="156" spans="1:7" ht="11.25" customHeight="1">
      <c r="A156" t="s">
        <v>14</v>
      </c>
      <c r="B156" t="s">
        <v>3581</v>
      </c>
      <c r="C156" t="s">
        <v>3582</v>
      </c>
      <c r="D156" t="s">
        <v>3589</v>
      </c>
      <c r="E156" t="s">
        <v>3590</v>
      </c>
      <c r="F156" t="s">
        <v>3232</v>
      </c>
      <c r="G156" t="s">
        <v>3591</v>
      </c>
    </row>
    <row r="157" spans="1:7" ht="11.25" customHeight="1">
      <c r="A157" t="s">
        <v>14</v>
      </c>
      <c r="B157" t="s">
        <v>3581</v>
      </c>
      <c r="C157" t="s">
        <v>3582</v>
      </c>
      <c r="D157" t="s">
        <v>3581</v>
      </c>
      <c r="E157" t="s">
        <v>3582</v>
      </c>
      <c r="F157" t="s">
        <v>3229</v>
      </c>
      <c r="G157" t="s">
        <v>3592</v>
      </c>
    </row>
    <row r="158" spans="1:7" ht="11.25" customHeight="1">
      <c r="A158" t="s">
        <v>14</v>
      </c>
      <c r="B158" t="s">
        <v>3581</v>
      </c>
      <c r="C158" t="s">
        <v>3582</v>
      </c>
      <c r="D158" t="s">
        <v>3593</v>
      </c>
      <c r="E158" t="s">
        <v>3594</v>
      </c>
      <c r="F158" t="s">
        <v>3232</v>
      </c>
      <c r="G158" t="s">
        <v>3595</v>
      </c>
    </row>
    <row r="159" spans="1:7" ht="11.25" customHeight="1">
      <c r="A159" t="s">
        <v>14</v>
      </c>
      <c r="B159" t="s">
        <v>3581</v>
      </c>
      <c r="C159" t="s">
        <v>3582</v>
      </c>
      <c r="D159" t="s">
        <v>3596</v>
      </c>
      <c r="E159" t="s">
        <v>3597</v>
      </c>
      <c r="F159" t="s">
        <v>3232</v>
      </c>
      <c r="G159" t="s">
        <v>3598</v>
      </c>
    </row>
    <row r="160" spans="1:7" ht="11.25" customHeight="1">
      <c r="A160" t="s">
        <v>14</v>
      </c>
      <c r="B160" t="s">
        <v>3581</v>
      </c>
      <c r="C160" t="s">
        <v>3582</v>
      </c>
      <c r="D160" t="s">
        <v>3365</v>
      </c>
      <c r="E160" t="s">
        <v>3599</v>
      </c>
      <c r="F160" t="s">
        <v>3232</v>
      </c>
      <c r="G160" t="s">
        <v>3600</v>
      </c>
    </row>
    <row r="161" spans="1:7" ht="11.25" customHeight="1">
      <c r="A161" t="s">
        <v>14</v>
      </c>
      <c r="B161" t="s">
        <v>3581</v>
      </c>
      <c r="C161" t="s">
        <v>3582</v>
      </c>
      <c r="D161" t="s">
        <v>3601</v>
      </c>
      <c r="E161" t="s">
        <v>3602</v>
      </c>
      <c r="F161" t="s">
        <v>3232</v>
      </c>
      <c r="G161" t="s">
        <v>3603</v>
      </c>
    </row>
    <row r="162" spans="1:7" ht="11.25" customHeight="1">
      <c r="A162" t="s">
        <v>14</v>
      </c>
      <c r="B162" t="s">
        <v>3581</v>
      </c>
      <c r="C162" t="s">
        <v>3582</v>
      </c>
      <c r="D162" t="s">
        <v>3604</v>
      </c>
      <c r="E162" t="s">
        <v>3605</v>
      </c>
      <c r="F162" t="s">
        <v>3232</v>
      </c>
      <c r="G162" t="s">
        <v>3606</v>
      </c>
    </row>
    <row r="163" spans="1:7" ht="11.25" customHeight="1">
      <c r="A163" t="s">
        <v>14</v>
      </c>
      <c r="B163" t="s">
        <v>3581</v>
      </c>
      <c r="C163" t="s">
        <v>3582</v>
      </c>
      <c r="D163" t="s">
        <v>3607</v>
      </c>
      <c r="E163" t="s">
        <v>3608</v>
      </c>
      <c r="F163" t="s">
        <v>3232</v>
      </c>
      <c r="G163" t="s">
        <v>3609</v>
      </c>
    </row>
    <row r="164" spans="1:7" ht="11.25" customHeight="1">
      <c r="A164" t="s">
        <v>14</v>
      </c>
      <c r="B164" t="s">
        <v>3581</v>
      </c>
      <c r="C164" t="s">
        <v>3582</v>
      </c>
      <c r="D164" t="s">
        <v>3610</v>
      </c>
      <c r="E164" t="s">
        <v>3611</v>
      </c>
      <c r="F164" t="s">
        <v>3232</v>
      </c>
      <c r="G164" t="s">
        <v>3612</v>
      </c>
    </row>
    <row r="165" spans="1:7" ht="11.25" customHeight="1">
      <c r="A165" t="s">
        <v>14</v>
      </c>
      <c r="B165" t="s">
        <v>158</v>
      </c>
      <c r="C165" t="s">
        <v>159</v>
      </c>
      <c r="D165" t="s">
        <v>158</v>
      </c>
      <c r="E165" t="s">
        <v>159</v>
      </c>
      <c r="F165" t="s">
        <v>3227</v>
      </c>
      <c r="G165" t="s">
        <v>157</v>
      </c>
    </row>
    <row r="166" spans="1:7" ht="11.25" customHeight="1">
      <c r="A166" t="s">
        <v>14</v>
      </c>
      <c r="B166" t="s">
        <v>3613</v>
      </c>
      <c r="C166" t="s">
        <v>3614</v>
      </c>
      <c r="D166" t="s">
        <v>3615</v>
      </c>
      <c r="E166" t="s">
        <v>3616</v>
      </c>
      <c r="F166" t="s">
        <v>3232</v>
      </c>
      <c r="G166" t="s">
        <v>3617</v>
      </c>
    </row>
    <row r="167" spans="1:7" ht="11.25" customHeight="1">
      <c r="A167" t="s">
        <v>14</v>
      </c>
      <c r="B167" t="s">
        <v>3613</v>
      </c>
      <c r="C167" t="s">
        <v>3614</v>
      </c>
      <c r="D167" t="s">
        <v>3618</v>
      </c>
      <c r="E167" t="s">
        <v>3619</v>
      </c>
      <c r="F167" t="s">
        <v>3232</v>
      </c>
      <c r="G167" t="s">
        <v>3620</v>
      </c>
    </row>
    <row r="168" spans="1:7" ht="11.25" customHeight="1">
      <c r="A168" t="s">
        <v>14</v>
      </c>
      <c r="B168" t="s">
        <v>3613</v>
      </c>
      <c r="C168" t="s">
        <v>3614</v>
      </c>
      <c r="D168" t="s">
        <v>3621</v>
      </c>
      <c r="E168" t="s">
        <v>3622</v>
      </c>
      <c r="F168" t="s">
        <v>3232</v>
      </c>
      <c r="G168" t="s">
        <v>3623</v>
      </c>
    </row>
    <row r="169" spans="1:7" ht="11.25" customHeight="1">
      <c r="A169" t="s">
        <v>14</v>
      </c>
      <c r="B169" t="s">
        <v>3613</v>
      </c>
      <c r="C169" t="s">
        <v>3614</v>
      </c>
      <c r="D169" t="s">
        <v>3624</v>
      </c>
      <c r="E169" t="s">
        <v>3625</v>
      </c>
      <c r="F169" t="s">
        <v>3232</v>
      </c>
      <c r="G169" t="s">
        <v>3626</v>
      </c>
    </row>
    <row r="170" spans="1:7" ht="11.25" customHeight="1">
      <c r="A170" t="s">
        <v>14</v>
      </c>
      <c r="B170" t="s">
        <v>3613</v>
      </c>
      <c r="C170" t="s">
        <v>3614</v>
      </c>
      <c r="D170" t="s">
        <v>3627</v>
      </c>
      <c r="E170" t="s">
        <v>3628</v>
      </c>
      <c r="F170" t="s">
        <v>3232</v>
      </c>
      <c r="G170" t="s">
        <v>3629</v>
      </c>
    </row>
    <row r="171" spans="1:7" ht="11.25" customHeight="1">
      <c r="A171" t="s">
        <v>14</v>
      </c>
      <c r="B171" t="s">
        <v>3613</v>
      </c>
      <c r="C171" t="s">
        <v>3614</v>
      </c>
      <c r="D171" t="s">
        <v>3630</v>
      </c>
      <c r="E171" t="s">
        <v>3631</v>
      </c>
      <c r="F171" t="s">
        <v>3232</v>
      </c>
      <c r="G171" t="s">
        <v>3632</v>
      </c>
    </row>
    <row r="172" spans="1:7" ht="11.25" customHeight="1">
      <c r="A172" t="s">
        <v>14</v>
      </c>
      <c r="B172" t="s">
        <v>3613</v>
      </c>
      <c r="C172" t="s">
        <v>3614</v>
      </c>
      <c r="D172" t="s">
        <v>3633</v>
      </c>
      <c r="E172" t="s">
        <v>3634</v>
      </c>
      <c r="F172" t="s">
        <v>3232</v>
      </c>
      <c r="G172" t="s">
        <v>3635</v>
      </c>
    </row>
    <row r="173" spans="1:7" ht="11.25" customHeight="1">
      <c r="A173" t="s">
        <v>14</v>
      </c>
      <c r="B173" t="s">
        <v>3613</v>
      </c>
      <c r="C173" t="s">
        <v>3614</v>
      </c>
      <c r="D173" t="s">
        <v>3636</v>
      </c>
      <c r="E173" t="s">
        <v>3637</v>
      </c>
      <c r="F173" t="s">
        <v>3232</v>
      </c>
      <c r="G173" t="s">
        <v>3638</v>
      </c>
    </row>
    <row r="174" spans="1:7" ht="11.25" customHeight="1">
      <c r="A174" t="s">
        <v>14</v>
      </c>
      <c r="B174" t="s">
        <v>3613</v>
      </c>
      <c r="C174" t="s">
        <v>3614</v>
      </c>
      <c r="D174" t="s">
        <v>3613</v>
      </c>
      <c r="E174" t="s">
        <v>3614</v>
      </c>
      <c r="F174" t="s">
        <v>3229</v>
      </c>
      <c r="G174" t="s">
        <v>3639</v>
      </c>
    </row>
    <row r="175" spans="1:7" ht="11.25" customHeight="1">
      <c r="A175" t="s">
        <v>14</v>
      </c>
      <c r="B175" t="s">
        <v>3613</v>
      </c>
      <c r="C175" t="s">
        <v>3614</v>
      </c>
      <c r="D175" t="s">
        <v>3640</v>
      </c>
      <c r="E175" t="s">
        <v>3641</v>
      </c>
      <c r="F175" t="s">
        <v>3232</v>
      </c>
      <c r="G175" t="s">
        <v>3642</v>
      </c>
    </row>
    <row r="176" spans="1:7" ht="11.25" customHeight="1">
      <c r="A176" t="s">
        <v>14</v>
      </c>
      <c r="B176" t="s">
        <v>3613</v>
      </c>
      <c r="C176" t="s">
        <v>3614</v>
      </c>
      <c r="D176" t="s">
        <v>3643</v>
      </c>
      <c r="E176" t="s">
        <v>3644</v>
      </c>
      <c r="F176" t="s">
        <v>3232</v>
      </c>
      <c r="G176" t="s">
        <v>3645</v>
      </c>
    </row>
    <row r="177" spans="1:7" ht="11.25" customHeight="1">
      <c r="A177" t="s">
        <v>14</v>
      </c>
      <c r="B177" t="s">
        <v>3613</v>
      </c>
      <c r="C177" t="s">
        <v>3614</v>
      </c>
      <c r="D177" t="s">
        <v>3646</v>
      </c>
      <c r="E177" t="s">
        <v>3647</v>
      </c>
      <c r="F177" t="s">
        <v>3232</v>
      </c>
      <c r="G177" t="s">
        <v>3648</v>
      </c>
    </row>
    <row r="178" spans="1:7" ht="11.25" customHeight="1">
      <c r="A178" t="s">
        <v>14</v>
      </c>
      <c r="B178" t="s">
        <v>3613</v>
      </c>
      <c r="C178" t="s">
        <v>3614</v>
      </c>
      <c r="D178" t="s">
        <v>3649</v>
      </c>
      <c r="E178" t="s">
        <v>3650</v>
      </c>
      <c r="F178" t="s">
        <v>3232</v>
      </c>
      <c r="G178" t="s">
        <v>3651</v>
      </c>
    </row>
    <row r="179" spans="1:7" ht="11.25" customHeight="1">
      <c r="A179" t="s">
        <v>14</v>
      </c>
      <c r="B179" t="s">
        <v>3613</v>
      </c>
      <c r="C179" t="s">
        <v>3614</v>
      </c>
      <c r="D179" t="s">
        <v>3652</v>
      </c>
      <c r="E179" t="s">
        <v>3653</v>
      </c>
      <c r="F179" t="s">
        <v>3232</v>
      </c>
      <c r="G179" t="s">
        <v>3654</v>
      </c>
    </row>
    <row r="180" spans="1:7" ht="11.25" customHeight="1">
      <c r="A180" t="s">
        <v>14</v>
      </c>
      <c r="B180" t="s">
        <v>3613</v>
      </c>
      <c r="C180" t="s">
        <v>3614</v>
      </c>
      <c r="D180" t="s">
        <v>3655</v>
      </c>
      <c r="E180" t="s">
        <v>3656</v>
      </c>
      <c r="F180" t="s">
        <v>3232</v>
      </c>
      <c r="G180" t="s">
        <v>3657</v>
      </c>
    </row>
    <row r="181" spans="1:7" ht="11.25" customHeight="1">
      <c r="A181" t="s">
        <v>14</v>
      </c>
      <c r="B181" t="s">
        <v>3613</v>
      </c>
      <c r="C181" t="s">
        <v>3614</v>
      </c>
      <c r="D181" t="s">
        <v>3658</v>
      </c>
      <c r="E181" t="s">
        <v>3659</v>
      </c>
      <c r="F181" t="s">
        <v>3232</v>
      </c>
      <c r="G181" t="s">
        <v>3660</v>
      </c>
    </row>
    <row r="182" spans="1:7" ht="11.25" customHeight="1">
      <c r="A182" t="s">
        <v>14</v>
      </c>
      <c r="B182" t="s">
        <v>162</v>
      </c>
      <c r="C182" t="s">
        <v>163</v>
      </c>
      <c r="D182" t="s">
        <v>162</v>
      </c>
      <c r="E182" t="s">
        <v>163</v>
      </c>
      <c r="F182" t="s">
        <v>3227</v>
      </c>
      <c r="G182" t="s">
        <v>161</v>
      </c>
    </row>
    <row r="183" spans="1:7" ht="11.25" customHeight="1">
      <c r="A183" t="s">
        <v>14</v>
      </c>
      <c r="B183" t="s">
        <v>3661</v>
      </c>
      <c r="C183" t="s">
        <v>3662</v>
      </c>
      <c r="D183" t="s">
        <v>3663</v>
      </c>
      <c r="E183" t="s">
        <v>3664</v>
      </c>
      <c r="F183" t="s">
        <v>3232</v>
      </c>
      <c r="G183" t="s">
        <v>3665</v>
      </c>
    </row>
    <row r="184" spans="1:7" ht="11.25" customHeight="1">
      <c r="A184" t="s">
        <v>14</v>
      </c>
      <c r="B184" t="s">
        <v>3661</v>
      </c>
      <c r="C184" t="s">
        <v>3662</v>
      </c>
      <c r="D184" t="s">
        <v>3661</v>
      </c>
      <c r="E184" t="s">
        <v>3662</v>
      </c>
      <c r="F184" t="s">
        <v>3229</v>
      </c>
      <c r="G184" t="s">
        <v>3666</v>
      </c>
    </row>
    <row r="185" spans="1:7" ht="11.25" customHeight="1">
      <c r="A185" t="s">
        <v>14</v>
      </c>
      <c r="B185" t="s">
        <v>3661</v>
      </c>
      <c r="C185" t="s">
        <v>3662</v>
      </c>
      <c r="D185" t="s">
        <v>3667</v>
      </c>
      <c r="E185" t="s">
        <v>3668</v>
      </c>
      <c r="F185" t="s">
        <v>3232</v>
      </c>
      <c r="G185" t="s">
        <v>3669</v>
      </c>
    </row>
    <row r="186" spans="1:7" ht="11.25" customHeight="1">
      <c r="A186" t="s">
        <v>14</v>
      </c>
      <c r="B186" t="s">
        <v>3661</v>
      </c>
      <c r="C186" t="s">
        <v>3662</v>
      </c>
      <c r="D186" t="s">
        <v>3670</v>
      </c>
      <c r="E186" t="s">
        <v>3671</v>
      </c>
      <c r="F186" t="s">
        <v>3232</v>
      </c>
      <c r="G186" t="s">
        <v>3672</v>
      </c>
    </row>
    <row r="187" spans="1:7" ht="11.25" customHeight="1">
      <c r="A187" t="s">
        <v>14</v>
      </c>
      <c r="B187" t="s">
        <v>3661</v>
      </c>
      <c r="C187" t="s">
        <v>3662</v>
      </c>
      <c r="D187" t="s">
        <v>3673</v>
      </c>
      <c r="E187" t="s">
        <v>3674</v>
      </c>
      <c r="F187" t="s">
        <v>3232</v>
      </c>
      <c r="G187" t="s">
        <v>3675</v>
      </c>
    </row>
    <row r="188" spans="1:7" ht="11.25" customHeight="1">
      <c r="A188" t="s">
        <v>14</v>
      </c>
      <c r="B188" t="s">
        <v>3661</v>
      </c>
      <c r="C188" t="s">
        <v>3662</v>
      </c>
      <c r="D188" t="s">
        <v>3676</v>
      </c>
      <c r="E188" t="s">
        <v>3677</v>
      </c>
      <c r="F188" t="s">
        <v>3232</v>
      </c>
      <c r="G188" t="s">
        <v>3678</v>
      </c>
    </row>
    <row r="189" spans="1:7" ht="11.25" customHeight="1">
      <c r="A189" t="s">
        <v>14</v>
      </c>
      <c r="B189" t="s">
        <v>3661</v>
      </c>
      <c r="C189" t="s">
        <v>3662</v>
      </c>
      <c r="D189" t="s">
        <v>3679</v>
      </c>
      <c r="E189" t="s">
        <v>3680</v>
      </c>
      <c r="F189" t="s">
        <v>3232</v>
      </c>
      <c r="G189" t="s">
        <v>3681</v>
      </c>
    </row>
    <row r="190" spans="1:7" ht="11.25" customHeight="1">
      <c r="A190" t="s">
        <v>14</v>
      </c>
      <c r="B190" t="s">
        <v>3661</v>
      </c>
      <c r="C190" t="s">
        <v>3662</v>
      </c>
      <c r="D190" t="s">
        <v>3682</v>
      </c>
      <c r="E190" t="s">
        <v>3683</v>
      </c>
      <c r="F190" t="s">
        <v>3232</v>
      </c>
      <c r="G190" t="s">
        <v>3684</v>
      </c>
    </row>
    <row r="191" spans="1:7" ht="11.25" customHeight="1">
      <c r="A191" t="s">
        <v>14</v>
      </c>
      <c r="B191" t="s">
        <v>3661</v>
      </c>
      <c r="C191" t="s">
        <v>3662</v>
      </c>
      <c r="D191" t="s">
        <v>3685</v>
      </c>
      <c r="E191" t="s">
        <v>3686</v>
      </c>
      <c r="F191" t="s">
        <v>3232</v>
      </c>
      <c r="G191" t="s">
        <v>3687</v>
      </c>
    </row>
    <row r="192" spans="1:7" ht="11.25" customHeight="1">
      <c r="A192" t="s">
        <v>14</v>
      </c>
      <c r="B192" t="s">
        <v>3661</v>
      </c>
      <c r="C192" t="s">
        <v>3662</v>
      </c>
      <c r="D192" t="s">
        <v>3688</v>
      </c>
      <c r="E192" t="s">
        <v>3689</v>
      </c>
      <c r="F192" t="s">
        <v>3232</v>
      </c>
      <c r="G192" t="s">
        <v>3690</v>
      </c>
    </row>
    <row r="193" spans="1:7" ht="11.25" customHeight="1">
      <c r="A193" t="s">
        <v>14</v>
      </c>
      <c r="B193" t="s">
        <v>3661</v>
      </c>
      <c r="C193" t="s">
        <v>3662</v>
      </c>
      <c r="D193" t="s">
        <v>3691</v>
      </c>
      <c r="E193" t="s">
        <v>3692</v>
      </c>
      <c r="F193" t="s">
        <v>3232</v>
      </c>
      <c r="G193" t="s">
        <v>3693</v>
      </c>
    </row>
    <row r="194" spans="1:7" ht="11.25" customHeight="1">
      <c r="A194" t="s">
        <v>14</v>
      </c>
      <c r="B194" t="s">
        <v>3661</v>
      </c>
      <c r="C194" t="s">
        <v>3662</v>
      </c>
      <c r="D194" t="s">
        <v>3694</v>
      </c>
      <c r="E194" t="s">
        <v>3695</v>
      </c>
      <c r="F194" t="s">
        <v>3232</v>
      </c>
      <c r="G194" t="s">
        <v>3696</v>
      </c>
    </row>
    <row r="195" spans="1:7" ht="11.25" customHeight="1">
      <c r="A195" t="s">
        <v>14</v>
      </c>
      <c r="B195" t="s">
        <v>166</v>
      </c>
      <c r="C195" t="s">
        <v>167</v>
      </c>
      <c r="D195" t="s">
        <v>166</v>
      </c>
      <c r="E195" t="s">
        <v>167</v>
      </c>
      <c r="F195" t="s">
        <v>3227</v>
      </c>
      <c r="G195" t="s">
        <v>165</v>
      </c>
    </row>
    <row r="196" spans="1:7" ht="11.25" customHeight="1">
      <c r="A196" t="s">
        <v>14</v>
      </c>
      <c r="B196" t="s">
        <v>3697</v>
      </c>
      <c r="C196" t="s">
        <v>3698</v>
      </c>
      <c r="D196" t="s">
        <v>3699</v>
      </c>
      <c r="E196" t="s">
        <v>3700</v>
      </c>
      <c r="F196" t="s">
        <v>3232</v>
      </c>
      <c r="G196" t="s">
        <v>3701</v>
      </c>
    </row>
    <row r="197" spans="1:7" ht="11.25" customHeight="1">
      <c r="A197" t="s">
        <v>14</v>
      </c>
      <c r="B197" t="s">
        <v>3697</v>
      </c>
      <c r="C197" t="s">
        <v>3698</v>
      </c>
      <c r="D197" t="s">
        <v>3702</v>
      </c>
      <c r="E197" t="s">
        <v>3703</v>
      </c>
      <c r="F197" t="s">
        <v>3232</v>
      </c>
      <c r="G197" t="s">
        <v>3704</v>
      </c>
    </row>
    <row r="198" spans="1:7" ht="11.25" customHeight="1">
      <c r="A198" t="s">
        <v>14</v>
      </c>
      <c r="B198" t="s">
        <v>3697</v>
      </c>
      <c r="C198" t="s">
        <v>3698</v>
      </c>
      <c r="D198" t="s">
        <v>3705</v>
      </c>
      <c r="E198" t="s">
        <v>3706</v>
      </c>
      <c r="F198" t="s">
        <v>3232</v>
      </c>
      <c r="G198" t="s">
        <v>3707</v>
      </c>
    </row>
    <row r="199" spans="1:7" ht="11.25" customHeight="1">
      <c r="A199" t="s">
        <v>14</v>
      </c>
      <c r="B199" t="s">
        <v>3697</v>
      </c>
      <c r="C199" t="s">
        <v>3698</v>
      </c>
      <c r="D199" t="s">
        <v>3697</v>
      </c>
      <c r="E199" t="s">
        <v>3698</v>
      </c>
      <c r="F199" t="s">
        <v>3229</v>
      </c>
      <c r="G199" t="s">
        <v>3708</v>
      </c>
    </row>
    <row r="200" spans="1:7" ht="11.25" customHeight="1">
      <c r="A200" t="s">
        <v>14</v>
      </c>
      <c r="B200" t="s">
        <v>3697</v>
      </c>
      <c r="C200" t="s">
        <v>3698</v>
      </c>
      <c r="D200" t="s">
        <v>3709</v>
      </c>
      <c r="E200" t="s">
        <v>3710</v>
      </c>
      <c r="F200" t="s">
        <v>3232</v>
      </c>
      <c r="G200" t="s">
        <v>3711</v>
      </c>
    </row>
    <row r="201" spans="1:7" ht="11.25" customHeight="1">
      <c r="A201" t="s">
        <v>14</v>
      </c>
      <c r="B201" t="s">
        <v>3697</v>
      </c>
      <c r="C201" t="s">
        <v>3698</v>
      </c>
      <c r="D201" t="s">
        <v>3712</v>
      </c>
      <c r="E201" t="s">
        <v>3713</v>
      </c>
      <c r="F201" t="s">
        <v>3232</v>
      </c>
      <c r="G201" t="s">
        <v>3714</v>
      </c>
    </row>
    <row r="202" spans="1:7" ht="11.25" customHeight="1">
      <c r="A202" t="s">
        <v>14</v>
      </c>
      <c r="B202" t="s">
        <v>3697</v>
      </c>
      <c r="C202" t="s">
        <v>3698</v>
      </c>
      <c r="D202" t="s">
        <v>3715</v>
      </c>
      <c r="E202" t="s">
        <v>3716</v>
      </c>
      <c r="F202" t="s">
        <v>3232</v>
      </c>
      <c r="G202" t="s">
        <v>3717</v>
      </c>
    </row>
    <row r="203" spans="1:7" ht="11.25" customHeight="1">
      <c r="A203" t="s">
        <v>14</v>
      </c>
      <c r="B203" t="s">
        <v>3697</v>
      </c>
      <c r="C203" t="s">
        <v>3698</v>
      </c>
      <c r="D203" t="s">
        <v>3718</v>
      </c>
      <c r="E203" t="s">
        <v>3719</v>
      </c>
      <c r="F203" t="s">
        <v>3232</v>
      </c>
      <c r="G203" t="s">
        <v>3720</v>
      </c>
    </row>
    <row r="204" spans="1:7" ht="11.25" customHeight="1">
      <c r="A204" t="s">
        <v>14</v>
      </c>
      <c r="B204" t="s">
        <v>3697</v>
      </c>
      <c r="C204" t="s">
        <v>3698</v>
      </c>
      <c r="D204" t="s">
        <v>3721</v>
      </c>
      <c r="E204" t="s">
        <v>3722</v>
      </c>
      <c r="F204" t="s">
        <v>3232</v>
      </c>
      <c r="G204" t="s">
        <v>3723</v>
      </c>
    </row>
    <row r="205" spans="1:7" ht="11.25" customHeight="1">
      <c r="A205" t="s">
        <v>14</v>
      </c>
      <c r="B205" t="s">
        <v>3697</v>
      </c>
      <c r="C205" t="s">
        <v>3698</v>
      </c>
      <c r="D205" t="s">
        <v>3724</v>
      </c>
      <c r="E205" t="s">
        <v>3725</v>
      </c>
      <c r="F205" t="s">
        <v>3232</v>
      </c>
      <c r="G205" t="s">
        <v>3726</v>
      </c>
    </row>
    <row r="206" spans="1:7" ht="11.25" customHeight="1">
      <c r="A206" t="s">
        <v>14</v>
      </c>
      <c r="B206" t="s">
        <v>3697</v>
      </c>
      <c r="C206" t="s">
        <v>3698</v>
      </c>
      <c r="D206" t="s">
        <v>3727</v>
      </c>
      <c r="E206" t="s">
        <v>3728</v>
      </c>
      <c r="F206" t="s">
        <v>3232</v>
      </c>
      <c r="G206" t="s">
        <v>3729</v>
      </c>
    </row>
    <row r="207" spans="1:7" ht="11.25" customHeight="1">
      <c r="A207" t="s">
        <v>14</v>
      </c>
      <c r="B207" t="s">
        <v>3697</v>
      </c>
      <c r="C207" t="s">
        <v>3698</v>
      </c>
      <c r="D207" t="s">
        <v>3730</v>
      </c>
      <c r="E207" t="s">
        <v>3731</v>
      </c>
      <c r="F207" t="s">
        <v>3232</v>
      </c>
      <c r="G207" t="s">
        <v>3732</v>
      </c>
    </row>
    <row r="208" spans="1:7" ht="11.25" customHeight="1">
      <c r="A208" t="s">
        <v>14</v>
      </c>
      <c r="B208" t="s">
        <v>3697</v>
      </c>
      <c r="C208" t="s">
        <v>3698</v>
      </c>
      <c r="D208" t="s">
        <v>3733</v>
      </c>
      <c r="E208" t="s">
        <v>3734</v>
      </c>
      <c r="F208" t="s">
        <v>3232</v>
      </c>
      <c r="G208" t="s">
        <v>3735</v>
      </c>
    </row>
    <row r="209" spans="1:7" ht="11.25" customHeight="1">
      <c r="A209" t="s">
        <v>14</v>
      </c>
      <c r="B209" t="s">
        <v>170</v>
      </c>
      <c r="C209" t="s">
        <v>171</v>
      </c>
      <c r="D209" t="s">
        <v>170</v>
      </c>
      <c r="E209" t="s">
        <v>171</v>
      </c>
      <c r="F209" t="s">
        <v>3227</v>
      </c>
      <c r="G209" t="s">
        <v>169</v>
      </c>
    </row>
    <row r="210" spans="1:7" ht="11.25" customHeight="1">
      <c r="A210" t="s">
        <v>14</v>
      </c>
      <c r="B210" t="s">
        <v>3736</v>
      </c>
      <c r="C210" t="s">
        <v>3737</v>
      </c>
      <c r="D210" t="s">
        <v>3738</v>
      </c>
      <c r="E210" t="s">
        <v>3739</v>
      </c>
      <c r="F210" t="s">
        <v>3232</v>
      </c>
      <c r="G210" t="s">
        <v>3740</v>
      </c>
    </row>
    <row r="211" spans="1:7" ht="11.25" customHeight="1">
      <c r="A211" t="s">
        <v>14</v>
      </c>
      <c r="B211" t="s">
        <v>3736</v>
      </c>
      <c r="C211" t="s">
        <v>3737</v>
      </c>
      <c r="D211" t="s">
        <v>3741</v>
      </c>
      <c r="E211" t="s">
        <v>3742</v>
      </c>
      <c r="F211" t="s">
        <v>3232</v>
      </c>
      <c r="G211" t="s">
        <v>3743</v>
      </c>
    </row>
    <row r="212" spans="1:7" ht="11.25" customHeight="1">
      <c r="A212" t="s">
        <v>14</v>
      </c>
      <c r="B212" t="s">
        <v>3736</v>
      </c>
      <c r="C212" t="s">
        <v>3737</v>
      </c>
      <c r="D212" t="s">
        <v>3744</v>
      </c>
      <c r="E212" t="s">
        <v>3745</v>
      </c>
      <c r="F212" t="s">
        <v>3232</v>
      </c>
      <c r="G212" t="s">
        <v>3746</v>
      </c>
    </row>
    <row r="213" spans="1:7" ht="11.25" customHeight="1">
      <c r="A213" t="s">
        <v>14</v>
      </c>
      <c r="B213" t="s">
        <v>3736</v>
      </c>
      <c r="C213" t="s">
        <v>3737</v>
      </c>
      <c r="D213" t="s">
        <v>3747</v>
      </c>
      <c r="E213" t="s">
        <v>3748</v>
      </c>
      <c r="F213" t="s">
        <v>3232</v>
      </c>
      <c r="G213" t="s">
        <v>3749</v>
      </c>
    </row>
    <row r="214" spans="1:7" ht="11.25" customHeight="1">
      <c r="A214" t="s">
        <v>14</v>
      </c>
      <c r="B214" t="s">
        <v>3736</v>
      </c>
      <c r="C214" t="s">
        <v>3737</v>
      </c>
      <c r="D214" t="s">
        <v>3736</v>
      </c>
      <c r="E214" t="s">
        <v>3737</v>
      </c>
      <c r="F214" t="s">
        <v>3229</v>
      </c>
      <c r="G214" t="s">
        <v>3750</v>
      </c>
    </row>
    <row r="215" spans="1:7" ht="11.25" customHeight="1">
      <c r="A215" t="s">
        <v>14</v>
      </c>
      <c r="B215" t="s">
        <v>3736</v>
      </c>
      <c r="C215" t="s">
        <v>3737</v>
      </c>
      <c r="D215" t="s">
        <v>3751</v>
      </c>
      <c r="E215" t="s">
        <v>3752</v>
      </c>
      <c r="F215" t="s">
        <v>3232</v>
      </c>
      <c r="G215" t="s">
        <v>3753</v>
      </c>
    </row>
    <row r="216" spans="1:7" ht="11.25" customHeight="1">
      <c r="A216" t="s">
        <v>14</v>
      </c>
      <c r="B216" t="s">
        <v>3736</v>
      </c>
      <c r="C216" t="s">
        <v>3737</v>
      </c>
      <c r="D216" t="s">
        <v>3754</v>
      </c>
      <c r="E216" t="s">
        <v>3755</v>
      </c>
      <c r="F216" t="s">
        <v>3232</v>
      </c>
      <c r="G216" t="s">
        <v>3756</v>
      </c>
    </row>
    <row r="217" spans="1:7" ht="11.25" customHeight="1">
      <c r="A217" t="s">
        <v>14</v>
      </c>
      <c r="B217" t="s">
        <v>3736</v>
      </c>
      <c r="C217" t="s">
        <v>3737</v>
      </c>
      <c r="D217" t="s">
        <v>3757</v>
      </c>
      <c r="E217" t="s">
        <v>3758</v>
      </c>
      <c r="F217" t="s">
        <v>3232</v>
      </c>
      <c r="G217" t="s">
        <v>3759</v>
      </c>
    </row>
    <row r="218" spans="1:7" ht="11.25" customHeight="1">
      <c r="A218" t="s">
        <v>14</v>
      </c>
      <c r="B218" t="s">
        <v>3736</v>
      </c>
      <c r="C218" t="s">
        <v>3737</v>
      </c>
      <c r="D218" t="s">
        <v>3760</v>
      </c>
      <c r="E218" t="s">
        <v>3761</v>
      </c>
      <c r="F218" t="s">
        <v>3232</v>
      </c>
      <c r="G218" t="s">
        <v>3762</v>
      </c>
    </row>
    <row r="219" spans="1:7" ht="11.25" customHeight="1">
      <c r="A219" t="s">
        <v>14</v>
      </c>
      <c r="B219" t="s">
        <v>3736</v>
      </c>
      <c r="C219" t="s">
        <v>3737</v>
      </c>
      <c r="D219" t="s">
        <v>3763</v>
      </c>
      <c r="E219" t="s">
        <v>3764</v>
      </c>
      <c r="F219" t="s">
        <v>3232</v>
      </c>
      <c r="G219" t="s">
        <v>3765</v>
      </c>
    </row>
    <row r="220" spans="1:7" ht="11.25" customHeight="1">
      <c r="A220" t="s">
        <v>14</v>
      </c>
      <c r="B220" t="s">
        <v>3736</v>
      </c>
      <c r="C220" t="s">
        <v>3737</v>
      </c>
      <c r="D220" t="s">
        <v>3766</v>
      </c>
      <c r="E220" t="s">
        <v>3767</v>
      </c>
      <c r="F220" t="s">
        <v>3232</v>
      </c>
      <c r="G220" t="s">
        <v>3768</v>
      </c>
    </row>
    <row r="221" spans="1:7" ht="11.25" customHeight="1">
      <c r="A221" t="s">
        <v>14</v>
      </c>
      <c r="B221" t="s">
        <v>3736</v>
      </c>
      <c r="C221" t="s">
        <v>3737</v>
      </c>
      <c r="D221" t="s">
        <v>3769</v>
      </c>
      <c r="E221" t="s">
        <v>3770</v>
      </c>
      <c r="F221" t="s">
        <v>3232</v>
      </c>
      <c r="G221" t="s">
        <v>3771</v>
      </c>
    </row>
    <row r="222" spans="1:7" ht="11.25" customHeight="1">
      <c r="A222" t="s">
        <v>14</v>
      </c>
      <c r="B222" t="s">
        <v>174</v>
      </c>
      <c r="C222" t="s">
        <v>175</v>
      </c>
      <c r="D222" t="s">
        <v>174</v>
      </c>
      <c r="E222" t="s">
        <v>175</v>
      </c>
      <c r="F222" t="s">
        <v>3311</v>
      </c>
      <c r="G222" t="s">
        <v>173</v>
      </c>
    </row>
    <row r="223" spans="1:7" ht="11.25" customHeight="1">
      <c r="A223" t="s">
        <v>14</v>
      </c>
      <c r="B223" t="s">
        <v>3772</v>
      </c>
      <c r="C223" t="s">
        <v>3773</v>
      </c>
      <c r="D223" t="s">
        <v>3772</v>
      </c>
      <c r="E223" t="s">
        <v>3773</v>
      </c>
      <c r="F223" t="s">
        <v>3227</v>
      </c>
      <c r="G223" t="s">
        <v>3774</v>
      </c>
    </row>
    <row r="224" spans="1:7" ht="11.25" customHeight="1">
      <c r="A224" t="s">
        <v>14</v>
      </c>
      <c r="B224" t="s">
        <v>3775</v>
      </c>
      <c r="C224" t="s">
        <v>3776</v>
      </c>
      <c r="D224" t="s">
        <v>3777</v>
      </c>
      <c r="E224" t="s">
        <v>3778</v>
      </c>
      <c r="F224" t="s">
        <v>3324</v>
      </c>
      <c r="G224" t="s">
        <v>3779</v>
      </c>
    </row>
    <row r="225" spans="1:7" ht="11.25" customHeight="1">
      <c r="A225" t="s">
        <v>14</v>
      </c>
      <c r="B225" t="s">
        <v>3775</v>
      </c>
      <c r="C225" t="s">
        <v>3776</v>
      </c>
      <c r="D225" t="s">
        <v>3780</v>
      </c>
      <c r="E225" t="s">
        <v>3781</v>
      </c>
      <c r="F225" t="s">
        <v>3232</v>
      </c>
      <c r="G225" t="s">
        <v>3782</v>
      </c>
    </row>
    <row r="226" spans="1:7" ht="11.25" customHeight="1">
      <c r="A226" t="s">
        <v>14</v>
      </c>
      <c r="B226" t="s">
        <v>3775</v>
      </c>
      <c r="C226" t="s">
        <v>3776</v>
      </c>
      <c r="D226" t="s">
        <v>3783</v>
      </c>
      <c r="E226" t="s">
        <v>3784</v>
      </c>
      <c r="F226" t="s">
        <v>3232</v>
      </c>
      <c r="G226" t="s">
        <v>3785</v>
      </c>
    </row>
    <row r="227" spans="1:7" ht="11.25" customHeight="1">
      <c r="A227" t="s">
        <v>14</v>
      </c>
      <c r="B227" t="s">
        <v>3775</v>
      </c>
      <c r="C227" t="s">
        <v>3776</v>
      </c>
      <c r="D227" t="s">
        <v>3786</v>
      </c>
      <c r="E227" t="s">
        <v>3787</v>
      </c>
      <c r="F227" t="s">
        <v>3232</v>
      </c>
      <c r="G227" t="s">
        <v>3788</v>
      </c>
    </row>
    <row r="228" spans="1:7" ht="11.25" customHeight="1">
      <c r="A228" t="s">
        <v>14</v>
      </c>
      <c r="B228" t="s">
        <v>3775</v>
      </c>
      <c r="C228" t="s">
        <v>3776</v>
      </c>
      <c r="D228" t="s">
        <v>3789</v>
      </c>
      <c r="E228" t="s">
        <v>3790</v>
      </c>
      <c r="F228" t="s">
        <v>3232</v>
      </c>
      <c r="G228" t="s">
        <v>3791</v>
      </c>
    </row>
    <row r="229" spans="1:7" ht="11.25" customHeight="1">
      <c r="A229" t="s">
        <v>14</v>
      </c>
      <c r="B229" t="s">
        <v>3775</v>
      </c>
      <c r="C229" t="s">
        <v>3776</v>
      </c>
      <c r="D229" t="s">
        <v>3775</v>
      </c>
      <c r="E229" t="s">
        <v>3776</v>
      </c>
      <c r="F229" t="s">
        <v>3229</v>
      </c>
      <c r="G229" t="s">
        <v>3792</v>
      </c>
    </row>
    <row r="230" spans="1:7" ht="11.25" customHeight="1">
      <c r="A230" t="s">
        <v>14</v>
      </c>
      <c r="B230" t="s">
        <v>3775</v>
      </c>
      <c r="C230" t="s">
        <v>3776</v>
      </c>
      <c r="D230" t="s">
        <v>3793</v>
      </c>
      <c r="E230" t="s">
        <v>3794</v>
      </c>
      <c r="F230" t="s">
        <v>3232</v>
      </c>
      <c r="G230" t="s">
        <v>3795</v>
      </c>
    </row>
    <row r="231" spans="1:7" ht="11.25" customHeight="1">
      <c r="A231" t="s">
        <v>14</v>
      </c>
      <c r="B231" t="s">
        <v>3775</v>
      </c>
      <c r="C231" t="s">
        <v>3776</v>
      </c>
      <c r="D231" t="s">
        <v>3563</v>
      </c>
      <c r="E231" t="s">
        <v>3796</v>
      </c>
      <c r="F231" t="s">
        <v>3232</v>
      </c>
      <c r="G231" t="s">
        <v>3797</v>
      </c>
    </row>
    <row r="232" spans="1:7" ht="11.25" customHeight="1">
      <c r="A232" t="s">
        <v>14</v>
      </c>
      <c r="B232" t="s">
        <v>3775</v>
      </c>
      <c r="C232" t="s">
        <v>3776</v>
      </c>
      <c r="D232" t="s">
        <v>3798</v>
      </c>
      <c r="E232" t="s">
        <v>3799</v>
      </c>
      <c r="F232" t="s">
        <v>3232</v>
      </c>
      <c r="G232" t="s">
        <v>3800</v>
      </c>
    </row>
    <row r="233" spans="1:7" ht="11.25" customHeight="1">
      <c r="A233" t="s">
        <v>14</v>
      </c>
      <c r="B233" t="s">
        <v>3775</v>
      </c>
      <c r="C233" t="s">
        <v>3776</v>
      </c>
      <c r="D233" t="s">
        <v>3801</v>
      </c>
      <c r="E233" t="s">
        <v>3802</v>
      </c>
      <c r="F233" t="s">
        <v>3232</v>
      </c>
      <c r="G233" t="s">
        <v>3803</v>
      </c>
    </row>
    <row r="234" spans="1:7" ht="11.25" customHeight="1">
      <c r="A234" t="s">
        <v>14</v>
      </c>
      <c r="B234" t="s">
        <v>3775</v>
      </c>
      <c r="C234" t="s">
        <v>3776</v>
      </c>
      <c r="D234" t="s">
        <v>3804</v>
      </c>
      <c r="E234" t="s">
        <v>3805</v>
      </c>
      <c r="F234" t="s">
        <v>3498</v>
      </c>
      <c r="G234" t="s">
        <v>3806</v>
      </c>
    </row>
    <row r="235" spans="1:7" ht="11.25" customHeight="1">
      <c r="A235" t="s">
        <v>14</v>
      </c>
      <c r="B235" t="s">
        <v>3775</v>
      </c>
      <c r="C235" t="s">
        <v>3776</v>
      </c>
      <c r="D235" t="s">
        <v>3807</v>
      </c>
      <c r="E235" t="s">
        <v>3808</v>
      </c>
      <c r="F235" t="s">
        <v>3232</v>
      </c>
      <c r="G235" t="s">
        <v>3809</v>
      </c>
    </row>
    <row r="236" spans="1:7" ht="11.25" customHeight="1">
      <c r="A236" t="s">
        <v>14</v>
      </c>
      <c r="B236" t="s">
        <v>3775</v>
      </c>
      <c r="C236" t="s">
        <v>3776</v>
      </c>
      <c r="D236" t="s">
        <v>3810</v>
      </c>
      <c r="E236" t="s">
        <v>3811</v>
      </c>
      <c r="F236" t="s">
        <v>3232</v>
      </c>
      <c r="G236" t="s">
        <v>3812</v>
      </c>
    </row>
    <row r="237" spans="1:7" ht="11.25" customHeight="1">
      <c r="A237" t="s">
        <v>14</v>
      </c>
      <c r="B237" t="s">
        <v>3775</v>
      </c>
      <c r="C237" t="s">
        <v>3776</v>
      </c>
      <c r="D237" t="s">
        <v>3813</v>
      </c>
      <c r="E237" t="s">
        <v>3814</v>
      </c>
      <c r="F237" t="s">
        <v>3232</v>
      </c>
      <c r="G237" t="s">
        <v>3815</v>
      </c>
    </row>
    <row r="238" spans="1:7" ht="11.25" customHeight="1">
      <c r="A238" t="s">
        <v>14</v>
      </c>
      <c r="B238" t="s">
        <v>3775</v>
      </c>
      <c r="C238" t="s">
        <v>3776</v>
      </c>
      <c r="D238" t="s">
        <v>3816</v>
      </c>
      <c r="E238" t="s">
        <v>3817</v>
      </c>
      <c r="F238" t="s">
        <v>3232</v>
      </c>
      <c r="G238" t="s">
        <v>3818</v>
      </c>
    </row>
    <row r="239" spans="1:7" ht="11.25" customHeight="1">
      <c r="A239" t="s">
        <v>14</v>
      </c>
      <c r="B239" t="s">
        <v>3775</v>
      </c>
      <c r="C239" t="s">
        <v>3776</v>
      </c>
      <c r="D239" t="s">
        <v>3430</v>
      </c>
      <c r="E239" t="s">
        <v>3819</v>
      </c>
      <c r="F239" t="s">
        <v>3232</v>
      </c>
      <c r="G239" t="s">
        <v>3820</v>
      </c>
    </row>
    <row r="240" spans="1:7" ht="11.25" customHeight="1">
      <c r="A240" t="s">
        <v>14</v>
      </c>
      <c r="B240" t="s">
        <v>216</v>
      </c>
      <c r="C240" t="s">
        <v>217</v>
      </c>
      <c r="D240" t="s">
        <v>216</v>
      </c>
      <c r="E240" t="s">
        <v>217</v>
      </c>
      <c r="F240" t="s">
        <v>3311</v>
      </c>
      <c r="G240" t="s">
        <v>215</v>
      </c>
    </row>
    <row r="241" spans="1:7" ht="11.25" customHeight="1">
      <c r="A241" t="s">
        <v>14</v>
      </c>
      <c r="B241" t="s">
        <v>3821</v>
      </c>
      <c r="C241" t="s">
        <v>3822</v>
      </c>
      <c r="D241" t="s">
        <v>3821</v>
      </c>
      <c r="E241" t="s">
        <v>3822</v>
      </c>
      <c r="F241" t="s">
        <v>3227</v>
      </c>
      <c r="G241" t="s">
        <v>3823</v>
      </c>
    </row>
    <row r="242" spans="1:7" ht="11.25" customHeight="1">
      <c r="A242" t="s">
        <v>14</v>
      </c>
      <c r="B242" t="s">
        <v>3824</v>
      </c>
      <c r="C242" t="s">
        <v>3825</v>
      </c>
      <c r="D242" t="s">
        <v>3826</v>
      </c>
      <c r="E242" t="s">
        <v>3827</v>
      </c>
      <c r="F242" t="s">
        <v>3324</v>
      </c>
      <c r="G242" t="s">
        <v>3828</v>
      </c>
    </row>
    <row r="243" spans="1:7" ht="11.25" customHeight="1">
      <c r="A243" t="s">
        <v>14</v>
      </c>
      <c r="B243" t="s">
        <v>3824</v>
      </c>
      <c r="C243" t="s">
        <v>3825</v>
      </c>
      <c r="D243" t="s">
        <v>3829</v>
      </c>
      <c r="E243" t="s">
        <v>3830</v>
      </c>
      <c r="F243" t="s">
        <v>3232</v>
      </c>
      <c r="G243" t="s">
        <v>3831</v>
      </c>
    </row>
    <row r="244" spans="1:7" ht="11.25" customHeight="1">
      <c r="A244" t="s">
        <v>14</v>
      </c>
      <c r="B244" t="s">
        <v>3824</v>
      </c>
      <c r="C244" t="s">
        <v>3825</v>
      </c>
      <c r="D244" t="s">
        <v>3832</v>
      </c>
      <c r="E244" t="s">
        <v>3833</v>
      </c>
      <c r="F244" t="s">
        <v>3232</v>
      </c>
      <c r="G244" t="s">
        <v>3834</v>
      </c>
    </row>
    <row r="245" spans="1:7" ht="11.25" customHeight="1">
      <c r="A245" t="s">
        <v>14</v>
      </c>
      <c r="B245" t="s">
        <v>3824</v>
      </c>
      <c r="C245" t="s">
        <v>3825</v>
      </c>
      <c r="D245" t="s">
        <v>3835</v>
      </c>
      <c r="E245" t="s">
        <v>3836</v>
      </c>
      <c r="F245" t="s">
        <v>3232</v>
      </c>
      <c r="G245" t="s">
        <v>3837</v>
      </c>
    </row>
    <row r="246" spans="1:7" ht="11.25" customHeight="1">
      <c r="A246" t="s">
        <v>14</v>
      </c>
      <c r="B246" t="s">
        <v>3824</v>
      </c>
      <c r="C246" t="s">
        <v>3825</v>
      </c>
      <c r="D246" t="s">
        <v>3838</v>
      </c>
      <c r="E246" t="s">
        <v>3839</v>
      </c>
      <c r="F246" t="s">
        <v>3232</v>
      </c>
      <c r="G246" t="s">
        <v>3840</v>
      </c>
    </row>
    <row r="247" spans="1:7" ht="11.25" customHeight="1">
      <c r="A247" t="s">
        <v>14</v>
      </c>
      <c r="B247" t="s">
        <v>3824</v>
      </c>
      <c r="C247" t="s">
        <v>3825</v>
      </c>
      <c r="D247" t="s">
        <v>3841</v>
      </c>
      <c r="E247" t="s">
        <v>3842</v>
      </c>
      <c r="F247" t="s">
        <v>3232</v>
      </c>
      <c r="G247" t="s">
        <v>3843</v>
      </c>
    </row>
    <row r="248" spans="1:7" ht="11.25" customHeight="1">
      <c r="A248" t="s">
        <v>14</v>
      </c>
      <c r="B248" t="s">
        <v>3824</v>
      </c>
      <c r="C248" t="s">
        <v>3825</v>
      </c>
      <c r="D248" t="s">
        <v>3844</v>
      </c>
      <c r="E248" t="s">
        <v>3845</v>
      </c>
      <c r="F248" t="s">
        <v>3232</v>
      </c>
      <c r="G248" t="s">
        <v>3846</v>
      </c>
    </row>
    <row r="249" spans="1:7" ht="11.25" customHeight="1">
      <c r="A249" t="s">
        <v>14</v>
      </c>
      <c r="B249" t="s">
        <v>3824</v>
      </c>
      <c r="C249" t="s">
        <v>3825</v>
      </c>
      <c r="D249" t="s">
        <v>3824</v>
      </c>
      <c r="E249" t="s">
        <v>3825</v>
      </c>
      <c r="F249" t="s">
        <v>3229</v>
      </c>
      <c r="G249" t="s">
        <v>3847</v>
      </c>
    </row>
    <row r="250" spans="1:7" ht="11.25" customHeight="1">
      <c r="A250" t="s">
        <v>14</v>
      </c>
      <c r="B250" t="s">
        <v>3824</v>
      </c>
      <c r="C250" t="s">
        <v>3825</v>
      </c>
      <c r="D250" t="s">
        <v>3848</v>
      </c>
      <c r="E250" t="s">
        <v>3849</v>
      </c>
      <c r="F250" t="s">
        <v>3232</v>
      </c>
      <c r="G250" t="s">
        <v>3850</v>
      </c>
    </row>
    <row r="251" spans="1:7" ht="11.25" customHeight="1">
      <c r="A251" t="s">
        <v>14</v>
      </c>
      <c r="B251" t="s">
        <v>3824</v>
      </c>
      <c r="C251" t="s">
        <v>3825</v>
      </c>
      <c r="D251" t="s">
        <v>3851</v>
      </c>
      <c r="E251" t="s">
        <v>3852</v>
      </c>
      <c r="F251" t="s">
        <v>3232</v>
      </c>
      <c r="G251" t="s">
        <v>3853</v>
      </c>
    </row>
    <row r="252" spans="1:7" ht="11.25" customHeight="1">
      <c r="A252" t="s">
        <v>14</v>
      </c>
      <c r="B252" t="s">
        <v>3824</v>
      </c>
      <c r="C252" t="s">
        <v>3825</v>
      </c>
      <c r="D252" t="s">
        <v>3854</v>
      </c>
      <c r="E252" t="s">
        <v>3855</v>
      </c>
      <c r="F252" t="s">
        <v>3498</v>
      </c>
      <c r="G252" t="s">
        <v>3856</v>
      </c>
    </row>
    <row r="253" spans="1:7" ht="11.25" customHeight="1">
      <c r="A253" t="s">
        <v>14</v>
      </c>
      <c r="B253" t="s">
        <v>3824</v>
      </c>
      <c r="C253" t="s">
        <v>3825</v>
      </c>
      <c r="D253" t="s">
        <v>3857</v>
      </c>
      <c r="E253" t="s">
        <v>3858</v>
      </c>
      <c r="F253" t="s">
        <v>3232</v>
      </c>
      <c r="G253" t="s">
        <v>3859</v>
      </c>
    </row>
    <row r="254" spans="1:7" ht="11.25" customHeight="1">
      <c r="A254" t="s">
        <v>14</v>
      </c>
      <c r="B254" t="s">
        <v>3824</v>
      </c>
      <c r="C254" t="s">
        <v>3825</v>
      </c>
      <c r="D254" t="s">
        <v>3860</v>
      </c>
      <c r="E254" t="s">
        <v>3861</v>
      </c>
      <c r="F254" t="s">
        <v>3232</v>
      </c>
      <c r="G254" t="s">
        <v>3862</v>
      </c>
    </row>
    <row r="255" spans="1:7" ht="11.25" customHeight="1">
      <c r="A255" t="s">
        <v>14</v>
      </c>
      <c r="B255" t="s">
        <v>178</v>
      </c>
      <c r="C255" t="s">
        <v>179</v>
      </c>
      <c r="D255" t="s">
        <v>178</v>
      </c>
      <c r="E255" t="s">
        <v>179</v>
      </c>
      <c r="F255" t="s">
        <v>3311</v>
      </c>
      <c r="G255" t="s">
        <v>177</v>
      </c>
    </row>
    <row r="256" spans="1:7" ht="11.25" customHeight="1">
      <c r="A256" t="s">
        <v>14</v>
      </c>
      <c r="B256" t="s">
        <v>3863</v>
      </c>
      <c r="C256" t="s">
        <v>3864</v>
      </c>
      <c r="D256" t="s">
        <v>3863</v>
      </c>
      <c r="E256" t="s">
        <v>3864</v>
      </c>
      <c r="F256" t="s">
        <v>3227</v>
      </c>
      <c r="G256" t="s">
        <v>3865</v>
      </c>
    </row>
    <row r="257" spans="1:7" ht="11.25" customHeight="1">
      <c r="A257" t="s">
        <v>14</v>
      </c>
      <c r="B257" t="s">
        <v>3866</v>
      </c>
      <c r="C257" t="s">
        <v>3867</v>
      </c>
      <c r="D257" t="s">
        <v>3868</v>
      </c>
      <c r="E257" t="s">
        <v>3869</v>
      </c>
      <c r="F257" t="s">
        <v>3324</v>
      </c>
      <c r="G257" t="s">
        <v>3870</v>
      </c>
    </row>
    <row r="258" spans="1:7" ht="11.25" customHeight="1">
      <c r="A258" t="s">
        <v>14</v>
      </c>
      <c r="B258" t="s">
        <v>3866</v>
      </c>
      <c r="C258" t="s">
        <v>3867</v>
      </c>
      <c r="D258" t="s">
        <v>3871</v>
      </c>
      <c r="E258" t="s">
        <v>3872</v>
      </c>
      <c r="F258" t="s">
        <v>3232</v>
      </c>
      <c r="G258" t="s">
        <v>3873</v>
      </c>
    </row>
    <row r="259" spans="1:7" ht="11.25" customHeight="1">
      <c r="A259" t="s">
        <v>14</v>
      </c>
      <c r="B259" t="s">
        <v>3866</v>
      </c>
      <c r="C259" t="s">
        <v>3867</v>
      </c>
      <c r="D259" t="s">
        <v>3874</v>
      </c>
      <c r="E259" t="s">
        <v>3875</v>
      </c>
      <c r="F259" t="s">
        <v>3232</v>
      </c>
      <c r="G259" t="s">
        <v>3876</v>
      </c>
    </row>
    <row r="260" spans="1:7" ht="11.25" customHeight="1">
      <c r="A260" t="s">
        <v>14</v>
      </c>
      <c r="B260" t="s">
        <v>3866</v>
      </c>
      <c r="C260" t="s">
        <v>3867</v>
      </c>
      <c r="D260" t="s">
        <v>3877</v>
      </c>
      <c r="E260" t="s">
        <v>3878</v>
      </c>
      <c r="F260" t="s">
        <v>3232</v>
      </c>
      <c r="G260" t="s">
        <v>3879</v>
      </c>
    </row>
    <row r="261" spans="1:7" ht="11.25" customHeight="1">
      <c r="A261" t="s">
        <v>14</v>
      </c>
      <c r="B261" t="s">
        <v>3866</v>
      </c>
      <c r="C261" t="s">
        <v>3867</v>
      </c>
      <c r="D261" t="s">
        <v>3880</v>
      </c>
      <c r="E261" t="s">
        <v>3881</v>
      </c>
      <c r="F261" t="s">
        <v>3232</v>
      </c>
      <c r="G261" t="s">
        <v>3882</v>
      </c>
    </row>
    <row r="262" spans="1:7" ht="11.25" customHeight="1">
      <c r="A262" t="s">
        <v>14</v>
      </c>
      <c r="B262" t="s">
        <v>3866</v>
      </c>
      <c r="C262" t="s">
        <v>3867</v>
      </c>
      <c r="D262" t="s">
        <v>3866</v>
      </c>
      <c r="E262" t="s">
        <v>3867</v>
      </c>
      <c r="F262" t="s">
        <v>3229</v>
      </c>
      <c r="G262" t="s">
        <v>3883</v>
      </c>
    </row>
    <row r="263" spans="1:7" ht="11.25" customHeight="1">
      <c r="A263" t="s">
        <v>14</v>
      </c>
      <c r="B263" t="s">
        <v>3866</v>
      </c>
      <c r="C263" t="s">
        <v>3867</v>
      </c>
      <c r="D263" t="s">
        <v>3884</v>
      </c>
      <c r="E263" t="s">
        <v>3885</v>
      </c>
      <c r="F263" t="s">
        <v>3232</v>
      </c>
      <c r="G263" t="s">
        <v>3886</v>
      </c>
    </row>
    <row r="264" spans="1:7" ht="11.25" customHeight="1">
      <c r="A264" t="s">
        <v>14</v>
      </c>
      <c r="B264" t="s">
        <v>3866</v>
      </c>
      <c r="C264" t="s">
        <v>3867</v>
      </c>
      <c r="D264" t="s">
        <v>3887</v>
      </c>
      <c r="E264" t="s">
        <v>3888</v>
      </c>
      <c r="F264" t="s">
        <v>3232</v>
      </c>
      <c r="G264" t="s">
        <v>3889</v>
      </c>
    </row>
    <row r="265" spans="1:7" ht="11.25" customHeight="1">
      <c r="A265" t="s">
        <v>14</v>
      </c>
      <c r="B265" t="s">
        <v>3866</v>
      </c>
      <c r="C265" t="s">
        <v>3867</v>
      </c>
      <c r="D265" t="s">
        <v>3890</v>
      </c>
      <c r="E265" t="s">
        <v>3891</v>
      </c>
      <c r="F265" t="s">
        <v>3232</v>
      </c>
      <c r="G265" t="s">
        <v>3892</v>
      </c>
    </row>
    <row r="266" spans="1:7" ht="11.25" customHeight="1">
      <c r="A266" t="s">
        <v>14</v>
      </c>
      <c r="B266" t="s">
        <v>3866</v>
      </c>
      <c r="C266" t="s">
        <v>3867</v>
      </c>
      <c r="D266" t="s">
        <v>3893</v>
      </c>
      <c r="E266" t="s">
        <v>3894</v>
      </c>
      <c r="F266" t="s">
        <v>3232</v>
      </c>
      <c r="G266" t="s">
        <v>3895</v>
      </c>
    </row>
    <row r="267" spans="1:7" ht="11.25" customHeight="1">
      <c r="A267" t="s">
        <v>14</v>
      </c>
      <c r="B267" t="s">
        <v>3866</v>
      </c>
      <c r="C267" t="s">
        <v>3867</v>
      </c>
      <c r="D267" t="s">
        <v>3896</v>
      </c>
      <c r="E267" t="s">
        <v>3897</v>
      </c>
      <c r="F267" t="s">
        <v>3232</v>
      </c>
      <c r="G267" t="s">
        <v>3898</v>
      </c>
    </row>
    <row r="268" spans="1:7" ht="11.25" customHeight="1">
      <c r="A268" t="s">
        <v>14</v>
      </c>
      <c r="B268" t="s">
        <v>3866</v>
      </c>
      <c r="C268" t="s">
        <v>3867</v>
      </c>
      <c r="D268" t="s">
        <v>3899</v>
      </c>
      <c r="E268" t="s">
        <v>3900</v>
      </c>
      <c r="F268" t="s">
        <v>3232</v>
      </c>
      <c r="G268" t="s">
        <v>3901</v>
      </c>
    </row>
    <row r="269" spans="1:7" ht="11.25" customHeight="1">
      <c r="A269" t="s">
        <v>14</v>
      </c>
      <c r="B269" t="s">
        <v>3866</v>
      </c>
      <c r="C269" t="s">
        <v>3867</v>
      </c>
      <c r="D269" t="s">
        <v>3902</v>
      </c>
      <c r="E269" t="s">
        <v>3903</v>
      </c>
      <c r="F269" t="s">
        <v>3232</v>
      </c>
      <c r="G269" t="s">
        <v>3904</v>
      </c>
    </row>
    <row r="270" spans="1:7" ht="11.25" customHeight="1">
      <c r="A270" t="s">
        <v>14</v>
      </c>
      <c r="B270" t="s">
        <v>182</v>
      </c>
      <c r="C270" t="s">
        <v>183</v>
      </c>
      <c r="D270" t="s">
        <v>182</v>
      </c>
      <c r="E270" t="s">
        <v>183</v>
      </c>
      <c r="F270" t="s">
        <v>3227</v>
      </c>
      <c r="G270" t="s">
        <v>181</v>
      </c>
    </row>
    <row r="271" spans="1:7" ht="11.25" customHeight="1">
      <c r="A271" t="s">
        <v>14</v>
      </c>
      <c r="B271" t="s">
        <v>3905</v>
      </c>
      <c r="C271" t="s">
        <v>3906</v>
      </c>
      <c r="D271" t="s">
        <v>3907</v>
      </c>
      <c r="E271" t="s">
        <v>3908</v>
      </c>
      <c r="F271" t="s">
        <v>3232</v>
      </c>
      <c r="G271" t="s">
        <v>3909</v>
      </c>
    </row>
    <row r="272" spans="1:7" ht="11.25" customHeight="1">
      <c r="A272" t="s">
        <v>14</v>
      </c>
      <c r="B272" t="s">
        <v>3905</v>
      </c>
      <c r="C272" t="s">
        <v>3906</v>
      </c>
      <c r="D272" t="s">
        <v>3910</v>
      </c>
      <c r="E272" t="s">
        <v>3911</v>
      </c>
      <c r="F272" t="s">
        <v>3232</v>
      </c>
      <c r="G272" t="s">
        <v>3912</v>
      </c>
    </row>
    <row r="273" spans="1:7" ht="11.25" customHeight="1">
      <c r="A273" t="s">
        <v>14</v>
      </c>
      <c r="B273" t="s">
        <v>3905</v>
      </c>
      <c r="C273" t="s">
        <v>3906</v>
      </c>
      <c r="D273" t="s">
        <v>3905</v>
      </c>
      <c r="E273" t="s">
        <v>3906</v>
      </c>
      <c r="F273" t="s">
        <v>3229</v>
      </c>
      <c r="G273" t="s">
        <v>3913</v>
      </c>
    </row>
    <row r="274" spans="1:7" ht="11.25" customHeight="1">
      <c r="A274" t="s">
        <v>14</v>
      </c>
      <c r="B274" t="s">
        <v>3905</v>
      </c>
      <c r="C274" t="s">
        <v>3906</v>
      </c>
      <c r="D274" t="s">
        <v>3914</v>
      </c>
      <c r="E274" t="s">
        <v>3915</v>
      </c>
      <c r="F274" t="s">
        <v>3232</v>
      </c>
      <c r="G274" t="s">
        <v>3916</v>
      </c>
    </row>
    <row r="275" spans="1:7" ht="11.25" customHeight="1">
      <c r="A275" t="s">
        <v>14</v>
      </c>
      <c r="B275" t="s">
        <v>3905</v>
      </c>
      <c r="C275" t="s">
        <v>3906</v>
      </c>
      <c r="D275" t="s">
        <v>3917</v>
      </c>
      <c r="E275" t="s">
        <v>3918</v>
      </c>
      <c r="F275" t="s">
        <v>3232</v>
      </c>
      <c r="G275" t="s">
        <v>3919</v>
      </c>
    </row>
    <row r="276" spans="1:7" ht="11.25" customHeight="1">
      <c r="A276" t="s">
        <v>14</v>
      </c>
      <c r="B276" t="s">
        <v>3905</v>
      </c>
      <c r="C276" t="s">
        <v>3906</v>
      </c>
      <c r="D276" t="s">
        <v>3920</v>
      </c>
      <c r="E276" t="s">
        <v>3921</v>
      </c>
      <c r="F276" t="s">
        <v>3232</v>
      </c>
      <c r="G276" t="s">
        <v>3922</v>
      </c>
    </row>
    <row r="277" spans="1:7" ht="11.25" customHeight="1">
      <c r="A277" t="s">
        <v>14</v>
      </c>
      <c r="B277" t="s">
        <v>3905</v>
      </c>
      <c r="C277" t="s">
        <v>3906</v>
      </c>
      <c r="D277" t="s">
        <v>3923</v>
      </c>
      <c r="E277" t="s">
        <v>3924</v>
      </c>
      <c r="F277" t="s">
        <v>3232</v>
      </c>
      <c r="G277" t="s">
        <v>3925</v>
      </c>
    </row>
    <row r="278" spans="1:7" ht="11.25" customHeight="1">
      <c r="A278" t="s">
        <v>14</v>
      </c>
      <c r="B278" t="s">
        <v>3905</v>
      </c>
      <c r="C278" t="s">
        <v>3906</v>
      </c>
      <c r="D278" t="s">
        <v>3926</v>
      </c>
      <c r="E278" t="s">
        <v>3927</v>
      </c>
      <c r="F278" t="s">
        <v>3232</v>
      </c>
      <c r="G278" t="s">
        <v>3928</v>
      </c>
    </row>
    <row r="279" spans="1:7" ht="11.25" customHeight="1">
      <c r="A279" t="s">
        <v>14</v>
      </c>
      <c r="B279" t="s">
        <v>3905</v>
      </c>
      <c r="C279" t="s">
        <v>3906</v>
      </c>
      <c r="D279" t="s">
        <v>3929</v>
      </c>
      <c r="E279" t="s">
        <v>3930</v>
      </c>
      <c r="F279" t="s">
        <v>3232</v>
      </c>
      <c r="G279" t="s">
        <v>3931</v>
      </c>
    </row>
    <row r="280" spans="1:7" ht="11.25" customHeight="1">
      <c r="A280" t="s">
        <v>14</v>
      </c>
      <c r="B280" t="s">
        <v>3932</v>
      </c>
      <c r="C280" t="s">
        <v>3933</v>
      </c>
      <c r="D280" t="s">
        <v>3932</v>
      </c>
      <c r="E280" t="s">
        <v>3933</v>
      </c>
      <c r="F280" t="s">
        <v>3227</v>
      </c>
      <c r="G280" t="s">
        <v>3934</v>
      </c>
    </row>
    <row r="281" spans="1:7" ht="11.25" customHeight="1">
      <c r="A281" t="s">
        <v>14</v>
      </c>
      <c r="B281" t="s">
        <v>3935</v>
      </c>
      <c r="C281" t="s">
        <v>3936</v>
      </c>
      <c r="D281" t="s">
        <v>3937</v>
      </c>
      <c r="E281" t="s">
        <v>3938</v>
      </c>
      <c r="F281" t="s">
        <v>3232</v>
      </c>
      <c r="G281" t="s">
        <v>3939</v>
      </c>
    </row>
    <row r="282" spans="1:7" ht="11.25" customHeight="1">
      <c r="A282" t="s">
        <v>14</v>
      </c>
      <c r="B282" t="s">
        <v>3935</v>
      </c>
      <c r="C282" t="s">
        <v>3936</v>
      </c>
      <c r="D282" t="s">
        <v>3940</v>
      </c>
      <c r="E282" t="s">
        <v>3941</v>
      </c>
      <c r="F282" t="s">
        <v>3324</v>
      </c>
      <c r="G282" t="s">
        <v>3942</v>
      </c>
    </row>
    <row r="283" spans="1:7" ht="11.25" customHeight="1">
      <c r="A283" t="s">
        <v>14</v>
      </c>
      <c r="B283" t="s">
        <v>3935</v>
      </c>
      <c r="C283" t="s">
        <v>3936</v>
      </c>
      <c r="D283" t="s">
        <v>3943</v>
      </c>
      <c r="E283" t="s">
        <v>3944</v>
      </c>
      <c r="F283" t="s">
        <v>3232</v>
      </c>
      <c r="G283" t="s">
        <v>3945</v>
      </c>
    </row>
    <row r="284" spans="1:7" ht="11.25" customHeight="1">
      <c r="A284" t="s">
        <v>14</v>
      </c>
      <c r="B284" t="s">
        <v>3935</v>
      </c>
      <c r="C284" t="s">
        <v>3936</v>
      </c>
      <c r="D284" t="s">
        <v>3946</v>
      </c>
      <c r="E284" t="s">
        <v>3947</v>
      </c>
      <c r="F284" t="s">
        <v>3232</v>
      </c>
      <c r="G284" t="s">
        <v>3948</v>
      </c>
    </row>
    <row r="285" spans="1:7" ht="11.25" customHeight="1">
      <c r="A285" t="s">
        <v>14</v>
      </c>
      <c r="B285" t="s">
        <v>3935</v>
      </c>
      <c r="C285" t="s">
        <v>3936</v>
      </c>
      <c r="D285" t="s">
        <v>3935</v>
      </c>
      <c r="E285" t="s">
        <v>3936</v>
      </c>
      <c r="F285" t="s">
        <v>3229</v>
      </c>
      <c r="G285" t="s">
        <v>3949</v>
      </c>
    </row>
    <row r="286" spans="1:7" ht="11.25" customHeight="1">
      <c r="A286" t="s">
        <v>14</v>
      </c>
      <c r="B286" t="s">
        <v>3935</v>
      </c>
      <c r="C286" t="s">
        <v>3936</v>
      </c>
      <c r="D286" t="s">
        <v>3950</v>
      </c>
      <c r="E286" t="s">
        <v>3951</v>
      </c>
      <c r="F286" t="s">
        <v>3232</v>
      </c>
      <c r="G286" t="s">
        <v>3952</v>
      </c>
    </row>
    <row r="287" spans="1:7" ht="11.25" customHeight="1">
      <c r="A287" t="s">
        <v>14</v>
      </c>
      <c r="B287" t="s">
        <v>3935</v>
      </c>
      <c r="C287" t="s">
        <v>3936</v>
      </c>
      <c r="D287" t="s">
        <v>3953</v>
      </c>
      <c r="E287" t="s">
        <v>3954</v>
      </c>
      <c r="F287" t="s">
        <v>3232</v>
      </c>
      <c r="G287" t="s">
        <v>3955</v>
      </c>
    </row>
    <row r="288" spans="1:7" ht="11.25" customHeight="1">
      <c r="A288" t="s">
        <v>14</v>
      </c>
      <c r="B288" t="s">
        <v>3935</v>
      </c>
      <c r="C288" t="s">
        <v>3936</v>
      </c>
      <c r="D288" t="s">
        <v>3956</v>
      </c>
      <c r="E288" t="s">
        <v>3957</v>
      </c>
      <c r="F288" t="s">
        <v>3232</v>
      </c>
      <c r="G288" t="s">
        <v>3958</v>
      </c>
    </row>
    <row r="289" spans="1:7" ht="11.25" customHeight="1">
      <c r="A289" t="s">
        <v>14</v>
      </c>
      <c r="B289" t="s">
        <v>3935</v>
      </c>
      <c r="C289" t="s">
        <v>3936</v>
      </c>
      <c r="D289" t="s">
        <v>3959</v>
      </c>
      <c r="E289" t="s">
        <v>3960</v>
      </c>
      <c r="F289" t="s">
        <v>3232</v>
      </c>
      <c r="G289" t="s">
        <v>3961</v>
      </c>
    </row>
    <row r="290" spans="1:7" ht="11.25" customHeight="1">
      <c r="A290" t="s">
        <v>14</v>
      </c>
      <c r="B290" t="s">
        <v>3935</v>
      </c>
      <c r="C290" t="s">
        <v>3936</v>
      </c>
      <c r="D290" t="s">
        <v>3962</v>
      </c>
      <c r="E290" t="s">
        <v>3963</v>
      </c>
      <c r="F290" t="s">
        <v>3232</v>
      </c>
      <c r="G290" t="s">
        <v>3964</v>
      </c>
    </row>
    <row r="291" spans="1:7" ht="11.25" customHeight="1">
      <c r="A291" t="s">
        <v>14</v>
      </c>
      <c r="B291" t="s">
        <v>3935</v>
      </c>
      <c r="C291" t="s">
        <v>3936</v>
      </c>
      <c r="D291" t="s">
        <v>3965</v>
      </c>
      <c r="E291" t="s">
        <v>3966</v>
      </c>
      <c r="F291" t="s">
        <v>3232</v>
      </c>
      <c r="G291" t="s">
        <v>3967</v>
      </c>
    </row>
    <row r="292" spans="1:7" ht="11.25" customHeight="1">
      <c r="A292" t="s">
        <v>14</v>
      </c>
      <c r="B292" t="s">
        <v>3935</v>
      </c>
      <c r="C292" t="s">
        <v>3936</v>
      </c>
      <c r="D292" t="s">
        <v>3968</v>
      </c>
      <c r="E292" t="s">
        <v>3969</v>
      </c>
      <c r="F292" t="s">
        <v>3232</v>
      </c>
      <c r="G292" t="s">
        <v>3970</v>
      </c>
    </row>
    <row r="293" spans="1:7" ht="11.25" customHeight="1">
      <c r="A293" t="s">
        <v>14</v>
      </c>
      <c r="B293" t="s">
        <v>3935</v>
      </c>
      <c r="C293" t="s">
        <v>3936</v>
      </c>
      <c r="D293" t="s">
        <v>3971</v>
      </c>
      <c r="E293" t="s">
        <v>3972</v>
      </c>
      <c r="F293" t="s">
        <v>3232</v>
      </c>
      <c r="G293" t="s">
        <v>3973</v>
      </c>
    </row>
    <row r="294" spans="1:7" ht="11.25" customHeight="1">
      <c r="A294" t="s">
        <v>14</v>
      </c>
      <c r="B294" t="s">
        <v>3935</v>
      </c>
      <c r="C294" t="s">
        <v>3936</v>
      </c>
      <c r="D294" t="s">
        <v>3974</v>
      </c>
      <c r="E294" t="s">
        <v>3975</v>
      </c>
      <c r="F294" t="s">
        <v>3232</v>
      </c>
      <c r="G294" t="s">
        <v>3976</v>
      </c>
    </row>
    <row r="295" spans="1:7" ht="11.25" customHeight="1">
      <c r="A295" t="s">
        <v>14</v>
      </c>
      <c r="B295" t="s">
        <v>189</v>
      </c>
      <c r="C295" t="s">
        <v>190</v>
      </c>
      <c r="D295" t="s">
        <v>189</v>
      </c>
      <c r="E295" t="s">
        <v>190</v>
      </c>
      <c r="F295" t="s">
        <v>3227</v>
      </c>
      <c r="G295" t="s">
        <v>188</v>
      </c>
    </row>
    <row r="296" spans="1:7" ht="11.25" customHeight="1">
      <c r="A296" t="s">
        <v>14</v>
      </c>
      <c r="B296" t="s">
        <v>3977</v>
      </c>
      <c r="C296" t="s">
        <v>3978</v>
      </c>
      <c r="D296" t="s">
        <v>3979</v>
      </c>
      <c r="E296" t="s">
        <v>3980</v>
      </c>
      <c r="F296" t="s">
        <v>3232</v>
      </c>
      <c r="G296" t="s">
        <v>3981</v>
      </c>
    </row>
    <row r="297" spans="1:7" ht="11.25" customHeight="1">
      <c r="A297" t="s">
        <v>14</v>
      </c>
      <c r="B297" t="s">
        <v>3977</v>
      </c>
      <c r="C297" t="s">
        <v>3978</v>
      </c>
      <c r="D297" t="s">
        <v>3982</v>
      </c>
      <c r="E297" t="s">
        <v>3983</v>
      </c>
      <c r="F297" t="s">
        <v>3232</v>
      </c>
      <c r="G297" t="s">
        <v>3984</v>
      </c>
    </row>
    <row r="298" spans="1:7" ht="11.25" customHeight="1">
      <c r="A298" t="s">
        <v>14</v>
      </c>
      <c r="B298" t="s">
        <v>3977</v>
      </c>
      <c r="C298" t="s">
        <v>3978</v>
      </c>
      <c r="D298" t="s">
        <v>3985</v>
      </c>
      <c r="E298" t="s">
        <v>3986</v>
      </c>
      <c r="F298" t="s">
        <v>3232</v>
      </c>
      <c r="G298" t="s">
        <v>3987</v>
      </c>
    </row>
    <row r="299" spans="1:7" ht="11.25" customHeight="1">
      <c r="A299" t="s">
        <v>14</v>
      </c>
      <c r="B299" t="s">
        <v>3977</v>
      </c>
      <c r="C299" t="s">
        <v>3978</v>
      </c>
      <c r="D299" t="s">
        <v>3988</v>
      </c>
      <c r="E299" t="s">
        <v>3989</v>
      </c>
      <c r="F299" t="s">
        <v>3232</v>
      </c>
      <c r="G299" t="s">
        <v>3990</v>
      </c>
    </row>
    <row r="300" spans="1:7" ht="11.25" customHeight="1">
      <c r="A300" t="s">
        <v>14</v>
      </c>
      <c r="B300" t="s">
        <v>3977</v>
      </c>
      <c r="C300" t="s">
        <v>3978</v>
      </c>
      <c r="D300" t="s">
        <v>3991</v>
      </c>
      <c r="E300" t="s">
        <v>3992</v>
      </c>
      <c r="F300" t="s">
        <v>3232</v>
      </c>
      <c r="G300" t="s">
        <v>3993</v>
      </c>
    </row>
    <row r="301" spans="1:7" ht="11.25" customHeight="1">
      <c r="A301" t="s">
        <v>14</v>
      </c>
      <c r="B301" t="s">
        <v>3977</v>
      </c>
      <c r="C301" t="s">
        <v>3978</v>
      </c>
      <c r="D301" t="s">
        <v>3994</v>
      </c>
      <c r="E301" t="s">
        <v>3995</v>
      </c>
      <c r="F301" t="s">
        <v>3232</v>
      </c>
      <c r="G301" t="s">
        <v>3996</v>
      </c>
    </row>
    <row r="302" spans="1:7" ht="11.25" customHeight="1">
      <c r="A302" t="s">
        <v>14</v>
      </c>
      <c r="B302" t="s">
        <v>3977</v>
      </c>
      <c r="C302" t="s">
        <v>3978</v>
      </c>
      <c r="D302" t="s">
        <v>3977</v>
      </c>
      <c r="E302" t="s">
        <v>3978</v>
      </c>
      <c r="F302" t="s">
        <v>3229</v>
      </c>
      <c r="G302" t="s">
        <v>3997</v>
      </c>
    </row>
    <row r="303" spans="1:7" ht="11.25" customHeight="1">
      <c r="A303" t="s">
        <v>14</v>
      </c>
      <c r="B303" t="s">
        <v>3977</v>
      </c>
      <c r="C303" t="s">
        <v>3978</v>
      </c>
      <c r="D303" t="s">
        <v>3998</v>
      </c>
      <c r="E303" t="s">
        <v>3999</v>
      </c>
      <c r="F303" t="s">
        <v>3232</v>
      </c>
      <c r="G303" t="s">
        <v>4000</v>
      </c>
    </row>
    <row r="304" spans="1:7" ht="11.25" customHeight="1">
      <c r="A304" t="s">
        <v>14</v>
      </c>
      <c r="B304" t="s">
        <v>3977</v>
      </c>
      <c r="C304" t="s">
        <v>3978</v>
      </c>
      <c r="D304" t="s">
        <v>4001</v>
      </c>
      <c r="E304" t="s">
        <v>4002</v>
      </c>
      <c r="F304" t="s">
        <v>3232</v>
      </c>
      <c r="G304" t="s">
        <v>4003</v>
      </c>
    </row>
    <row r="305" spans="1:7" ht="11.25" customHeight="1">
      <c r="A305" t="s">
        <v>14</v>
      </c>
      <c r="B305" t="s">
        <v>3977</v>
      </c>
      <c r="C305" t="s">
        <v>3978</v>
      </c>
      <c r="D305" t="s">
        <v>4004</v>
      </c>
      <c r="E305" t="s">
        <v>4005</v>
      </c>
      <c r="F305" t="s">
        <v>3232</v>
      </c>
      <c r="G305" t="s">
        <v>4006</v>
      </c>
    </row>
    <row r="306" spans="1:7" ht="11.25" customHeight="1">
      <c r="A306" t="s">
        <v>14</v>
      </c>
      <c r="B306" t="s">
        <v>3977</v>
      </c>
      <c r="C306" t="s">
        <v>3978</v>
      </c>
      <c r="D306" t="s">
        <v>4007</v>
      </c>
      <c r="E306" t="s">
        <v>4008</v>
      </c>
      <c r="F306" t="s">
        <v>3232</v>
      </c>
      <c r="G306" t="s">
        <v>4009</v>
      </c>
    </row>
    <row r="307" spans="1:7" ht="11.25" customHeight="1">
      <c r="A307" t="s">
        <v>14</v>
      </c>
      <c r="B307" t="s">
        <v>3977</v>
      </c>
      <c r="C307" t="s">
        <v>3978</v>
      </c>
      <c r="D307" t="s">
        <v>4010</v>
      </c>
      <c r="E307" t="s">
        <v>4011</v>
      </c>
      <c r="F307" t="s">
        <v>3232</v>
      </c>
      <c r="G307" t="s">
        <v>4012</v>
      </c>
    </row>
    <row r="308" spans="1:7" ht="11.25" customHeight="1">
      <c r="A308" t="s">
        <v>14</v>
      </c>
      <c r="B308" t="s">
        <v>3977</v>
      </c>
      <c r="C308" t="s">
        <v>3978</v>
      </c>
      <c r="D308" t="s">
        <v>4013</v>
      </c>
      <c r="E308" t="s">
        <v>4014</v>
      </c>
      <c r="F308" t="s">
        <v>3232</v>
      </c>
      <c r="G308" t="s">
        <v>4015</v>
      </c>
    </row>
    <row r="309" spans="1:7" ht="11.25" customHeight="1">
      <c r="A309" t="s">
        <v>14</v>
      </c>
      <c r="B309" t="s">
        <v>3977</v>
      </c>
      <c r="C309" t="s">
        <v>3978</v>
      </c>
      <c r="D309" t="s">
        <v>4016</v>
      </c>
      <c r="E309" t="s">
        <v>4017</v>
      </c>
      <c r="F309" t="s">
        <v>3232</v>
      </c>
      <c r="G309" t="s">
        <v>4018</v>
      </c>
    </row>
    <row r="310" spans="1:7" ht="11.25" customHeight="1">
      <c r="A310" t="s">
        <v>14</v>
      </c>
      <c r="B310" t="s">
        <v>3977</v>
      </c>
      <c r="C310" t="s">
        <v>3978</v>
      </c>
      <c r="D310" t="s">
        <v>4019</v>
      </c>
      <c r="E310" t="s">
        <v>4020</v>
      </c>
      <c r="F310" t="s">
        <v>3232</v>
      </c>
      <c r="G310" t="s">
        <v>4021</v>
      </c>
    </row>
    <row r="311" spans="1:7" ht="11.25" customHeight="1">
      <c r="A311" t="s">
        <v>14</v>
      </c>
      <c r="B311" t="s">
        <v>3977</v>
      </c>
      <c r="C311" t="s">
        <v>3978</v>
      </c>
      <c r="D311" t="s">
        <v>4022</v>
      </c>
      <c r="E311" t="s">
        <v>4023</v>
      </c>
      <c r="F311" t="s">
        <v>3232</v>
      </c>
      <c r="G311" t="s">
        <v>4024</v>
      </c>
    </row>
    <row r="312" spans="1:7" ht="11.25" customHeight="1">
      <c r="A312" t="s">
        <v>14</v>
      </c>
      <c r="B312" t="s">
        <v>4025</v>
      </c>
      <c r="C312" t="s">
        <v>4026</v>
      </c>
      <c r="D312" t="s">
        <v>4025</v>
      </c>
      <c r="E312" t="s">
        <v>4026</v>
      </c>
      <c r="F312" t="s">
        <v>3311</v>
      </c>
      <c r="G312" t="s">
        <v>4027</v>
      </c>
    </row>
    <row r="313" spans="1:7" ht="11.25" customHeight="1">
      <c r="A313" t="s">
        <v>14</v>
      </c>
      <c r="B313" t="s">
        <v>4028</v>
      </c>
      <c r="C313" t="s">
        <v>4029</v>
      </c>
      <c r="D313" t="s">
        <v>4028</v>
      </c>
      <c r="E313" t="s">
        <v>4029</v>
      </c>
      <c r="F313" t="s">
        <v>3227</v>
      </c>
      <c r="G313" t="s">
        <v>4030</v>
      </c>
    </row>
    <row r="314" spans="1:7" ht="11.25" customHeight="1">
      <c r="A314" t="s">
        <v>14</v>
      </c>
      <c r="B314" t="s">
        <v>4031</v>
      </c>
      <c r="C314" t="s">
        <v>4032</v>
      </c>
      <c r="D314" t="s">
        <v>4033</v>
      </c>
      <c r="E314" t="s">
        <v>4034</v>
      </c>
      <c r="F314" t="s">
        <v>3232</v>
      </c>
      <c r="G314" t="s">
        <v>4035</v>
      </c>
    </row>
    <row r="315" spans="1:7" ht="11.25" customHeight="1">
      <c r="A315" t="s">
        <v>14</v>
      </c>
      <c r="B315" t="s">
        <v>4031</v>
      </c>
      <c r="C315" t="s">
        <v>4032</v>
      </c>
      <c r="D315" t="s">
        <v>4036</v>
      </c>
      <c r="E315" t="s">
        <v>4037</v>
      </c>
      <c r="F315" t="s">
        <v>3324</v>
      </c>
      <c r="G315" t="s">
        <v>4038</v>
      </c>
    </row>
    <row r="316" spans="1:7" ht="11.25" customHeight="1">
      <c r="A316" t="s">
        <v>14</v>
      </c>
      <c r="B316" t="s">
        <v>4031</v>
      </c>
      <c r="C316" t="s">
        <v>4032</v>
      </c>
      <c r="D316" t="s">
        <v>4039</v>
      </c>
      <c r="E316" t="s">
        <v>4040</v>
      </c>
      <c r="F316" t="s">
        <v>3232</v>
      </c>
      <c r="G316" t="s">
        <v>4041</v>
      </c>
    </row>
    <row r="317" spans="1:7" ht="11.25" customHeight="1">
      <c r="A317" t="s">
        <v>14</v>
      </c>
      <c r="B317" t="s">
        <v>4031</v>
      </c>
      <c r="C317" t="s">
        <v>4032</v>
      </c>
      <c r="D317" t="s">
        <v>4042</v>
      </c>
      <c r="E317" t="s">
        <v>4043</v>
      </c>
      <c r="F317" t="s">
        <v>3232</v>
      </c>
      <c r="G317" t="s">
        <v>4044</v>
      </c>
    </row>
    <row r="318" spans="1:7" ht="11.25" customHeight="1">
      <c r="A318" t="s">
        <v>14</v>
      </c>
      <c r="B318" t="s">
        <v>4031</v>
      </c>
      <c r="C318" t="s">
        <v>4032</v>
      </c>
      <c r="D318" t="s">
        <v>4045</v>
      </c>
      <c r="E318" t="s">
        <v>4046</v>
      </c>
      <c r="F318" t="s">
        <v>3232</v>
      </c>
      <c r="G318" t="s">
        <v>4047</v>
      </c>
    </row>
    <row r="319" spans="1:7" ht="11.25" customHeight="1">
      <c r="A319" t="s">
        <v>14</v>
      </c>
      <c r="B319" t="s">
        <v>4031</v>
      </c>
      <c r="C319" t="s">
        <v>4032</v>
      </c>
      <c r="D319" t="s">
        <v>4048</v>
      </c>
      <c r="E319" t="s">
        <v>4049</v>
      </c>
      <c r="F319" t="s">
        <v>3232</v>
      </c>
      <c r="G319" t="s">
        <v>4050</v>
      </c>
    </row>
    <row r="320" spans="1:7" ht="11.25" customHeight="1">
      <c r="A320" t="s">
        <v>14</v>
      </c>
      <c r="B320" t="s">
        <v>4031</v>
      </c>
      <c r="C320" t="s">
        <v>4032</v>
      </c>
      <c r="D320" t="s">
        <v>4031</v>
      </c>
      <c r="E320" t="s">
        <v>4032</v>
      </c>
      <c r="F320" t="s">
        <v>3229</v>
      </c>
      <c r="G320" t="s">
        <v>4051</v>
      </c>
    </row>
    <row r="321" spans="1:7" ht="11.25" customHeight="1">
      <c r="A321" t="s">
        <v>14</v>
      </c>
      <c r="B321" t="s">
        <v>4031</v>
      </c>
      <c r="C321" t="s">
        <v>4032</v>
      </c>
      <c r="D321" t="s">
        <v>4052</v>
      </c>
      <c r="E321" t="s">
        <v>4053</v>
      </c>
      <c r="F321" t="s">
        <v>3232</v>
      </c>
      <c r="G321" t="s">
        <v>4054</v>
      </c>
    </row>
    <row r="322" spans="1:7" ht="11.25" customHeight="1">
      <c r="A322" t="s">
        <v>14</v>
      </c>
      <c r="B322" t="s">
        <v>193</v>
      </c>
      <c r="C322" t="s">
        <v>194</v>
      </c>
      <c r="D322" t="s">
        <v>193</v>
      </c>
      <c r="E322" t="s">
        <v>194</v>
      </c>
      <c r="F322" t="s">
        <v>3227</v>
      </c>
      <c r="G322" t="s">
        <v>192</v>
      </c>
    </row>
    <row r="323" spans="1:7" ht="11.25" customHeight="1">
      <c r="A323" t="s">
        <v>14</v>
      </c>
      <c r="B323" t="s">
        <v>4055</v>
      </c>
      <c r="C323" t="s">
        <v>4056</v>
      </c>
      <c r="D323" t="s">
        <v>4057</v>
      </c>
      <c r="E323" t="s">
        <v>4058</v>
      </c>
      <c r="F323" t="s">
        <v>3232</v>
      </c>
      <c r="G323" t="s">
        <v>4059</v>
      </c>
    </row>
    <row r="324" spans="1:7" ht="11.25" customHeight="1">
      <c r="A324" t="s">
        <v>14</v>
      </c>
      <c r="B324" t="s">
        <v>4055</v>
      </c>
      <c r="C324" t="s">
        <v>4056</v>
      </c>
      <c r="D324" t="s">
        <v>4060</v>
      </c>
      <c r="E324" t="s">
        <v>4061</v>
      </c>
      <c r="F324" t="s">
        <v>3232</v>
      </c>
      <c r="G324" t="s">
        <v>4062</v>
      </c>
    </row>
    <row r="325" spans="1:7" ht="11.25" customHeight="1">
      <c r="A325" t="s">
        <v>14</v>
      </c>
      <c r="B325" t="s">
        <v>4055</v>
      </c>
      <c r="C325" t="s">
        <v>4056</v>
      </c>
      <c r="D325" t="s">
        <v>4063</v>
      </c>
      <c r="E325" t="s">
        <v>4064</v>
      </c>
      <c r="F325" t="s">
        <v>3232</v>
      </c>
      <c r="G325" t="s">
        <v>4065</v>
      </c>
    </row>
    <row r="326" spans="1:7" ht="11.25" customHeight="1">
      <c r="A326" t="s">
        <v>14</v>
      </c>
      <c r="B326" t="s">
        <v>4055</v>
      </c>
      <c r="C326" t="s">
        <v>4056</v>
      </c>
      <c r="D326" t="s">
        <v>4066</v>
      </c>
      <c r="E326" t="s">
        <v>4067</v>
      </c>
      <c r="F326" t="s">
        <v>3232</v>
      </c>
      <c r="G326" t="s">
        <v>4068</v>
      </c>
    </row>
    <row r="327" spans="1:7" ht="11.25" customHeight="1">
      <c r="A327" t="s">
        <v>14</v>
      </c>
      <c r="B327" t="s">
        <v>4055</v>
      </c>
      <c r="C327" t="s">
        <v>4056</v>
      </c>
      <c r="D327" t="s">
        <v>4069</v>
      </c>
      <c r="E327" t="s">
        <v>4070</v>
      </c>
      <c r="F327" t="s">
        <v>3232</v>
      </c>
      <c r="G327" t="s">
        <v>4071</v>
      </c>
    </row>
    <row r="328" spans="1:7" ht="11.25" customHeight="1">
      <c r="A328" t="s">
        <v>14</v>
      </c>
      <c r="B328" t="s">
        <v>4055</v>
      </c>
      <c r="C328" t="s">
        <v>4056</v>
      </c>
      <c r="D328" t="s">
        <v>4072</v>
      </c>
      <c r="E328" t="s">
        <v>4073</v>
      </c>
      <c r="F328" t="s">
        <v>3232</v>
      </c>
      <c r="G328" t="s">
        <v>4074</v>
      </c>
    </row>
    <row r="329" spans="1:7" ht="11.25" customHeight="1">
      <c r="A329" t="s">
        <v>14</v>
      </c>
      <c r="B329" t="s">
        <v>4055</v>
      </c>
      <c r="C329" t="s">
        <v>4056</v>
      </c>
      <c r="D329" t="s">
        <v>4055</v>
      </c>
      <c r="E329" t="s">
        <v>4056</v>
      </c>
      <c r="F329" t="s">
        <v>3229</v>
      </c>
      <c r="G329" t="s">
        <v>4075</v>
      </c>
    </row>
    <row r="330" spans="1:7" ht="11.25" customHeight="1">
      <c r="A330" t="s">
        <v>14</v>
      </c>
      <c r="B330" t="s">
        <v>4055</v>
      </c>
      <c r="C330" t="s">
        <v>4056</v>
      </c>
      <c r="D330" t="s">
        <v>4076</v>
      </c>
      <c r="E330" t="s">
        <v>4077</v>
      </c>
      <c r="F330" t="s">
        <v>3232</v>
      </c>
      <c r="G330" t="s">
        <v>4078</v>
      </c>
    </row>
    <row r="331" spans="1:7" ht="11.25" customHeight="1">
      <c r="A331" t="s">
        <v>14</v>
      </c>
      <c r="B331" t="s">
        <v>197</v>
      </c>
      <c r="C331" t="s">
        <v>198</v>
      </c>
      <c r="D331" t="s">
        <v>197</v>
      </c>
      <c r="E331" t="s">
        <v>198</v>
      </c>
      <c r="F331" t="s">
        <v>3227</v>
      </c>
      <c r="G331" t="s">
        <v>196</v>
      </c>
    </row>
    <row r="332" spans="1:7" ht="11.25" customHeight="1">
      <c r="A332" t="s">
        <v>14</v>
      </c>
      <c r="B332" t="s">
        <v>4079</v>
      </c>
      <c r="C332" t="s">
        <v>4080</v>
      </c>
      <c r="D332" t="s">
        <v>4081</v>
      </c>
      <c r="E332" t="s">
        <v>4082</v>
      </c>
      <c r="F332" t="s">
        <v>3232</v>
      </c>
      <c r="G332" t="s">
        <v>4083</v>
      </c>
    </row>
    <row r="333" spans="1:7" ht="11.25" customHeight="1">
      <c r="A333" t="s">
        <v>14</v>
      </c>
      <c r="B333" t="s">
        <v>4079</v>
      </c>
      <c r="C333" t="s">
        <v>4080</v>
      </c>
      <c r="D333" t="s">
        <v>4084</v>
      </c>
      <c r="E333" t="s">
        <v>4085</v>
      </c>
      <c r="F333" t="s">
        <v>3232</v>
      </c>
      <c r="G333" t="s">
        <v>4086</v>
      </c>
    </row>
    <row r="334" spans="1:7" ht="11.25" customHeight="1">
      <c r="A334" t="s">
        <v>14</v>
      </c>
      <c r="B334" t="s">
        <v>4079</v>
      </c>
      <c r="C334" t="s">
        <v>4080</v>
      </c>
      <c r="D334" t="s">
        <v>4087</v>
      </c>
      <c r="E334" t="s">
        <v>4088</v>
      </c>
      <c r="F334" t="s">
        <v>3232</v>
      </c>
      <c r="G334" t="s">
        <v>4089</v>
      </c>
    </row>
    <row r="335" spans="1:7" ht="11.25" customHeight="1">
      <c r="A335" t="s">
        <v>14</v>
      </c>
      <c r="B335" t="s">
        <v>4079</v>
      </c>
      <c r="C335" t="s">
        <v>4080</v>
      </c>
      <c r="D335" t="s">
        <v>4090</v>
      </c>
      <c r="E335" t="s">
        <v>4091</v>
      </c>
      <c r="F335" t="s">
        <v>3232</v>
      </c>
      <c r="G335" t="s">
        <v>4092</v>
      </c>
    </row>
    <row r="336" spans="1:7" ht="11.25" customHeight="1">
      <c r="A336" t="s">
        <v>14</v>
      </c>
      <c r="B336" t="s">
        <v>4079</v>
      </c>
      <c r="C336" t="s">
        <v>4080</v>
      </c>
      <c r="D336" t="s">
        <v>4093</v>
      </c>
      <c r="E336" t="s">
        <v>4094</v>
      </c>
      <c r="F336" t="s">
        <v>3232</v>
      </c>
      <c r="G336" t="s">
        <v>4095</v>
      </c>
    </row>
    <row r="337" spans="1:7" ht="11.25" customHeight="1">
      <c r="A337" t="s">
        <v>14</v>
      </c>
      <c r="B337" t="s">
        <v>4079</v>
      </c>
      <c r="C337" t="s">
        <v>4080</v>
      </c>
      <c r="D337" t="s">
        <v>4079</v>
      </c>
      <c r="E337" t="s">
        <v>4080</v>
      </c>
      <c r="F337" t="s">
        <v>3229</v>
      </c>
      <c r="G337" t="s">
        <v>4096</v>
      </c>
    </row>
    <row r="338" spans="1:7" ht="11.25" customHeight="1">
      <c r="A338" t="s">
        <v>14</v>
      </c>
      <c r="B338" t="s">
        <v>4079</v>
      </c>
      <c r="C338" t="s">
        <v>4080</v>
      </c>
      <c r="D338" t="s">
        <v>4097</v>
      </c>
      <c r="E338" t="s">
        <v>4098</v>
      </c>
      <c r="F338" t="s">
        <v>3232</v>
      </c>
      <c r="G338" t="s">
        <v>4099</v>
      </c>
    </row>
    <row r="339" spans="1:7" ht="11.25" customHeight="1">
      <c r="A339" t="s">
        <v>14</v>
      </c>
      <c r="B339" t="s">
        <v>201</v>
      </c>
      <c r="C339" t="s">
        <v>202</v>
      </c>
      <c r="D339" t="s">
        <v>201</v>
      </c>
      <c r="E339" t="s">
        <v>202</v>
      </c>
      <c r="F339" t="s">
        <v>3227</v>
      </c>
      <c r="G339" t="s">
        <v>200</v>
      </c>
    </row>
    <row r="340" spans="1:7" ht="11.25" customHeight="1">
      <c r="A340" t="s">
        <v>14</v>
      </c>
      <c r="B340" t="s">
        <v>4100</v>
      </c>
      <c r="C340" t="s">
        <v>4101</v>
      </c>
      <c r="D340" t="s">
        <v>3744</v>
      </c>
      <c r="E340" t="s">
        <v>4102</v>
      </c>
      <c r="F340" t="s">
        <v>3232</v>
      </c>
      <c r="G340" t="s">
        <v>4103</v>
      </c>
    </row>
    <row r="341" spans="1:7" ht="11.25" customHeight="1">
      <c r="A341" t="s">
        <v>14</v>
      </c>
      <c r="B341" t="s">
        <v>4100</v>
      </c>
      <c r="C341" t="s">
        <v>4101</v>
      </c>
      <c r="D341" t="s">
        <v>4104</v>
      </c>
      <c r="E341" t="s">
        <v>4105</v>
      </c>
      <c r="F341" t="s">
        <v>3232</v>
      </c>
      <c r="G341" t="s">
        <v>4106</v>
      </c>
    </row>
    <row r="342" spans="1:7" ht="11.25" customHeight="1">
      <c r="A342" t="s">
        <v>14</v>
      </c>
      <c r="B342" t="s">
        <v>4100</v>
      </c>
      <c r="C342" t="s">
        <v>4101</v>
      </c>
      <c r="D342" t="s">
        <v>4107</v>
      </c>
      <c r="E342" t="s">
        <v>4108</v>
      </c>
      <c r="F342" t="s">
        <v>3232</v>
      </c>
      <c r="G342" t="s">
        <v>4109</v>
      </c>
    </row>
    <row r="343" spans="1:7" ht="11.25" customHeight="1">
      <c r="A343" t="s">
        <v>14</v>
      </c>
      <c r="B343" t="s">
        <v>4100</v>
      </c>
      <c r="C343" t="s">
        <v>4101</v>
      </c>
      <c r="D343" t="s">
        <v>4110</v>
      </c>
      <c r="E343" t="s">
        <v>4111</v>
      </c>
      <c r="F343" t="s">
        <v>3232</v>
      </c>
      <c r="G343" t="s">
        <v>4112</v>
      </c>
    </row>
    <row r="344" spans="1:7" ht="11.25" customHeight="1">
      <c r="A344" t="s">
        <v>14</v>
      </c>
      <c r="B344" t="s">
        <v>4100</v>
      </c>
      <c r="C344" t="s">
        <v>4101</v>
      </c>
      <c r="D344" t="s">
        <v>4113</v>
      </c>
      <c r="E344" t="s">
        <v>4114</v>
      </c>
      <c r="F344" t="s">
        <v>3232</v>
      </c>
      <c r="G344" t="s">
        <v>4115</v>
      </c>
    </row>
    <row r="345" spans="1:7" ht="11.25" customHeight="1">
      <c r="A345" t="s">
        <v>14</v>
      </c>
      <c r="B345" t="s">
        <v>4100</v>
      </c>
      <c r="C345" t="s">
        <v>4101</v>
      </c>
      <c r="D345" t="s">
        <v>4116</v>
      </c>
      <c r="E345" t="s">
        <v>4117</v>
      </c>
      <c r="F345" t="s">
        <v>3232</v>
      </c>
      <c r="G345" t="s">
        <v>4118</v>
      </c>
    </row>
    <row r="346" spans="1:7" ht="11.25" customHeight="1">
      <c r="A346" t="s">
        <v>14</v>
      </c>
      <c r="B346" t="s">
        <v>4100</v>
      </c>
      <c r="C346" t="s">
        <v>4101</v>
      </c>
      <c r="D346" t="s">
        <v>4119</v>
      </c>
      <c r="E346" t="s">
        <v>4120</v>
      </c>
      <c r="F346" t="s">
        <v>3232</v>
      </c>
      <c r="G346" t="s">
        <v>4121</v>
      </c>
    </row>
    <row r="347" spans="1:7" ht="11.25" customHeight="1">
      <c r="A347" t="s">
        <v>14</v>
      </c>
      <c r="B347" t="s">
        <v>4100</v>
      </c>
      <c r="C347" t="s">
        <v>4101</v>
      </c>
      <c r="D347" t="s">
        <v>4122</v>
      </c>
      <c r="E347" t="s">
        <v>4123</v>
      </c>
      <c r="F347" t="s">
        <v>3232</v>
      </c>
      <c r="G347" t="s">
        <v>4124</v>
      </c>
    </row>
    <row r="348" spans="1:7" ht="11.25" customHeight="1">
      <c r="A348" t="s">
        <v>14</v>
      </c>
      <c r="B348" t="s">
        <v>4100</v>
      </c>
      <c r="C348" t="s">
        <v>4101</v>
      </c>
      <c r="D348" t="s">
        <v>4125</v>
      </c>
      <c r="E348" t="s">
        <v>4126</v>
      </c>
      <c r="F348" t="s">
        <v>3232</v>
      </c>
      <c r="G348" t="s">
        <v>4127</v>
      </c>
    </row>
    <row r="349" spans="1:7" ht="11.25" customHeight="1">
      <c r="A349" t="s">
        <v>14</v>
      </c>
      <c r="B349" t="s">
        <v>4100</v>
      </c>
      <c r="C349" t="s">
        <v>4101</v>
      </c>
      <c r="D349" t="s">
        <v>4128</v>
      </c>
      <c r="E349" t="s">
        <v>4129</v>
      </c>
      <c r="F349" t="s">
        <v>3232</v>
      </c>
      <c r="G349" t="s">
        <v>4130</v>
      </c>
    </row>
    <row r="350" spans="1:7" ht="11.25" customHeight="1">
      <c r="A350" t="s">
        <v>14</v>
      </c>
      <c r="B350" t="s">
        <v>4100</v>
      </c>
      <c r="C350" t="s">
        <v>4101</v>
      </c>
      <c r="D350" t="s">
        <v>4131</v>
      </c>
      <c r="E350" t="s">
        <v>4132</v>
      </c>
      <c r="F350" t="s">
        <v>3232</v>
      </c>
      <c r="G350" t="s">
        <v>4133</v>
      </c>
    </row>
    <row r="351" spans="1:7" ht="11.25" customHeight="1">
      <c r="A351" t="s">
        <v>14</v>
      </c>
      <c r="B351" t="s">
        <v>4100</v>
      </c>
      <c r="C351" t="s">
        <v>4101</v>
      </c>
      <c r="D351" t="s">
        <v>4100</v>
      </c>
      <c r="E351" t="s">
        <v>4101</v>
      </c>
      <c r="F351" t="s">
        <v>3229</v>
      </c>
      <c r="G351" t="s">
        <v>4134</v>
      </c>
    </row>
    <row r="352" spans="1:7" ht="11.25" customHeight="1">
      <c r="A352" t="s">
        <v>14</v>
      </c>
      <c r="B352" t="s">
        <v>205</v>
      </c>
      <c r="C352" t="s">
        <v>206</v>
      </c>
      <c r="D352" t="s">
        <v>205</v>
      </c>
      <c r="E352" t="s">
        <v>206</v>
      </c>
      <c r="F352" t="s">
        <v>3227</v>
      </c>
      <c r="G352" t="s">
        <v>204</v>
      </c>
    </row>
    <row r="353" spans="1:7" ht="11.25" customHeight="1">
      <c r="A353" t="s">
        <v>14</v>
      </c>
      <c r="B353" t="s">
        <v>4135</v>
      </c>
      <c r="C353" t="s">
        <v>4136</v>
      </c>
      <c r="D353" t="s">
        <v>4137</v>
      </c>
      <c r="E353" t="s">
        <v>4138</v>
      </c>
      <c r="F353" t="s">
        <v>3232</v>
      </c>
      <c r="G353" t="s">
        <v>4139</v>
      </c>
    </row>
    <row r="354" spans="1:7" ht="11.25" customHeight="1">
      <c r="A354" t="s">
        <v>14</v>
      </c>
      <c r="B354" t="s">
        <v>4135</v>
      </c>
      <c r="C354" t="s">
        <v>4136</v>
      </c>
      <c r="D354" t="s">
        <v>4140</v>
      </c>
      <c r="E354" t="s">
        <v>4141</v>
      </c>
      <c r="F354" t="s">
        <v>3324</v>
      </c>
      <c r="G354" t="s">
        <v>4142</v>
      </c>
    </row>
    <row r="355" spans="1:7" ht="11.25" customHeight="1">
      <c r="A355" t="s">
        <v>14</v>
      </c>
      <c r="B355" t="s">
        <v>4135</v>
      </c>
      <c r="C355" t="s">
        <v>4136</v>
      </c>
      <c r="D355" t="s">
        <v>4143</v>
      </c>
      <c r="E355" t="s">
        <v>4144</v>
      </c>
      <c r="F355" t="s">
        <v>3232</v>
      </c>
      <c r="G355" t="s">
        <v>4145</v>
      </c>
    </row>
    <row r="356" spans="1:7" ht="11.25" customHeight="1">
      <c r="A356" t="s">
        <v>14</v>
      </c>
      <c r="B356" t="s">
        <v>4135</v>
      </c>
      <c r="C356" t="s">
        <v>4136</v>
      </c>
      <c r="D356" t="s">
        <v>4146</v>
      </c>
      <c r="E356" t="s">
        <v>4147</v>
      </c>
      <c r="F356" t="s">
        <v>3232</v>
      </c>
      <c r="G356" t="s">
        <v>4148</v>
      </c>
    </row>
    <row r="357" spans="1:7" ht="11.25" customHeight="1">
      <c r="A357" t="s">
        <v>14</v>
      </c>
      <c r="B357" t="s">
        <v>4135</v>
      </c>
      <c r="C357" t="s">
        <v>4136</v>
      </c>
      <c r="D357" t="s">
        <v>3249</v>
      </c>
      <c r="E357" t="s">
        <v>4149</v>
      </c>
      <c r="F357" t="s">
        <v>3232</v>
      </c>
      <c r="G357" t="s">
        <v>4150</v>
      </c>
    </row>
    <row r="358" spans="1:7" ht="11.25" customHeight="1">
      <c r="A358" t="s">
        <v>14</v>
      </c>
      <c r="B358" t="s">
        <v>4135</v>
      </c>
      <c r="C358" t="s">
        <v>4136</v>
      </c>
      <c r="D358" t="s">
        <v>4151</v>
      </c>
      <c r="E358" t="s">
        <v>4152</v>
      </c>
      <c r="F358" t="s">
        <v>3232</v>
      </c>
      <c r="G358" t="s">
        <v>4153</v>
      </c>
    </row>
    <row r="359" spans="1:7" ht="11.25" customHeight="1">
      <c r="A359" t="s">
        <v>14</v>
      </c>
      <c r="B359" t="s">
        <v>4135</v>
      </c>
      <c r="C359" t="s">
        <v>4136</v>
      </c>
      <c r="D359" t="s">
        <v>4154</v>
      </c>
      <c r="E359" t="s">
        <v>4155</v>
      </c>
      <c r="F359" t="s">
        <v>3232</v>
      </c>
      <c r="G359" t="s">
        <v>4156</v>
      </c>
    </row>
    <row r="360" spans="1:7" ht="11.25" customHeight="1">
      <c r="A360" t="s">
        <v>14</v>
      </c>
      <c r="B360" t="s">
        <v>4135</v>
      </c>
      <c r="C360" t="s">
        <v>4136</v>
      </c>
      <c r="D360" t="s">
        <v>4157</v>
      </c>
      <c r="E360" t="s">
        <v>4158</v>
      </c>
      <c r="F360" t="s">
        <v>3232</v>
      </c>
      <c r="G360" t="s">
        <v>4159</v>
      </c>
    </row>
    <row r="361" spans="1:7" ht="11.25" customHeight="1">
      <c r="A361" t="s">
        <v>14</v>
      </c>
      <c r="B361" t="s">
        <v>4135</v>
      </c>
      <c r="C361" t="s">
        <v>4136</v>
      </c>
      <c r="D361" t="s">
        <v>4160</v>
      </c>
      <c r="E361" t="s">
        <v>4161</v>
      </c>
      <c r="F361" t="s">
        <v>3232</v>
      </c>
      <c r="G361" t="s">
        <v>4162</v>
      </c>
    </row>
    <row r="362" spans="1:7" ht="11.25" customHeight="1">
      <c r="A362" t="s">
        <v>14</v>
      </c>
      <c r="B362" t="s">
        <v>4135</v>
      </c>
      <c r="C362" t="s">
        <v>4136</v>
      </c>
      <c r="D362" t="s">
        <v>4163</v>
      </c>
      <c r="E362" t="s">
        <v>4164</v>
      </c>
      <c r="F362" t="s">
        <v>3232</v>
      </c>
      <c r="G362" t="s">
        <v>4165</v>
      </c>
    </row>
    <row r="363" spans="1:7" ht="11.25" customHeight="1">
      <c r="A363" t="s">
        <v>14</v>
      </c>
      <c r="B363" t="s">
        <v>4135</v>
      </c>
      <c r="C363" t="s">
        <v>4136</v>
      </c>
      <c r="D363" t="s">
        <v>4166</v>
      </c>
      <c r="E363" t="s">
        <v>4167</v>
      </c>
      <c r="F363" t="s">
        <v>3232</v>
      </c>
      <c r="G363" t="s">
        <v>4168</v>
      </c>
    </row>
    <row r="364" spans="1:7" ht="11.25" customHeight="1">
      <c r="A364" t="s">
        <v>14</v>
      </c>
      <c r="B364" t="s">
        <v>4135</v>
      </c>
      <c r="C364" t="s">
        <v>4136</v>
      </c>
      <c r="D364" t="s">
        <v>4169</v>
      </c>
      <c r="E364" t="s">
        <v>4170</v>
      </c>
      <c r="F364" t="s">
        <v>3232</v>
      </c>
      <c r="G364" t="s">
        <v>4171</v>
      </c>
    </row>
    <row r="365" spans="1:7" ht="11.25" customHeight="1">
      <c r="A365" t="s">
        <v>14</v>
      </c>
      <c r="B365" t="s">
        <v>4135</v>
      </c>
      <c r="C365" t="s">
        <v>4136</v>
      </c>
      <c r="D365" t="s">
        <v>4135</v>
      </c>
      <c r="E365" t="s">
        <v>4136</v>
      </c>
      <c r="F365" t="s">
        <v>3229</v>
      </c>
      <c r="G365" t="s">
        <v>4172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0"/>
    <col min="2" max="2" width="84.28515625" style="1610" customWidth="1"/>
    <col min="3" max="3" width="9.140625" style="1610"/>
  </cols>
  <sheetData>
    <row r="1" spans="1:3" ht="11.25" customHeight="1">
      <c r="A1" s="749" t="s">
        <v>4220</v>
      </c>
      <c r="B1" s="749" t="s">
        <v>4221</v>
      </c>
      <c r="C1" s="749" t="s">
        <v>1484</v>
      </c>
    </row>
    <row r="2" spans="1:3" ht="11.25" customHeight="1">
      <c r="A2" s="749">
        <v>4189678</v>
      </c>
      <c r="B2" s="749" t="s">
        <v>4222</v>
      </c>
      <c r="C2" s="749" t="s">
        <v>4223</v>
      </c>
    </row>
    <row r="3" spans="1:3" ht="11.25" customHeight="1">
      <c r="A3" s="749">
        <v>4190415</v>
      </c>
      <c r="B3" s="749" t="s">
        <v>4224</v>
      </c>
      <c r="C3" s="749" t="s">
        <v>4223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4225</v>
      </c>
      <c r="B1" s="81" t="s">
        <v>4226</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4227</v>
      </c>
      <c r="B1" t="b">
        <v>1</v>
      </c>
    </row>
    <row r="2" spans="1:2" ht="11.25" customHeight="1">
      <c r="A2" t="s">
        <v>4228</v>
      </c>
      <c r="B2" t="b">
        <v>0</v>
      </c>
    </row>
    <row r="3" spans="1:2" ht="11.25" customHeight="1">
      <c r="A3" t="s">
        <v>4229</v>
      </c>
      <c r="B3" t="b">
        <v>0</v>
      </c>
    </row>
    <row r="4" spans="1:2" ht="11.25" customHeight="1">
      <c r="A4" t="s">
        <v>4230</v>
      </c>
      <c r="B4" t="b">
        <v>1</v>
      </c>
    </row>
    <row r="5" spans="1:2" ht="11.25" customHeight="1">
      <c r="A5" t="s">
        <v>4231</v>
      </c>
      <c r="B5" t="b">
        <v>0</v>
      </c>
    </row>
    <row r="6" spans="1:2" ht="11.25" customHeight="1">
      <c r="A6" t="s">
        <v>4232</v>
      </c>
      <c r="B6" t="b">
        <v>0</v>
      </c>
    </row>
    <row r="7" spans="1:2" ht="11.25" customHeight="1">
      <c r="A7" t="s">
        <v>4233</v>
      </c>
      <c r="B7" t="b">
        <v>0</v>
      </c>
    </row>
    <row r="8" spans="1:2" ht="11.25" customHeight="1">
      <c r="A8" t="s">
        <v>4234</v>
      </c>
      <c r="B8" t="b">
        <v>0</v>
      </c>
    </row>
    <row r="9" spans="1:2" ht="11.25" customHeight="1">
      <c r="A9" t="s">
        <v>4235</v>
      </c>
      <c r="B9" t="b">
        <v>1</v>
      </c>
    </row>
    <row r="10" spans="1:2" ht="11.25" customHeight="1">
      <c r="A10" t="s">
        <v>4236</v>
      </c>
      <c r="B10" t="b">
        <v>0</v>
      </c>
    </row>
    <row r="11" spans="1:2" ht="11.25" customHeight="1">
      <c r="A11" t="s">
        <v>4237</v>
      </c>
      <c r="B11" t="b">
        <v>0</v>
      </c>
    </row>
    <row r="12" spans="1:2" ht="11.25" customHeight="1">
      <c r="A12" t="s">
        <v>4238</v>
      </c>
      <c r="B12" t="b">
        <v>0</v>
      </c>
    </row>
    <row r="13" spans="1:2" ht="11.25" customHeight="1">
      <c r="A13" t="s">
        <v>4239</v>
      </c>
      <c r="B13" t="b">
        <v>0</v>
      </c>
    </row>
    <row r="14" spans="1:2" ht="11.25" customHeight="1">
      <c r="A14" t="s">
        <v>4240</v>
      </c>
      <c r="B14" t="b">
        <v>0</v>
      </c>
    </row>
    <row r="15" spans="1:2" ht="11.25" customHeight="1">
      <c r="A15" t="s">
        <v>4241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3"/>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27" customWidth="1"/>
    <col min="2" max="2" width="21.140625" style="1827" customWidth="1"/>
  </cols>
  <sheetData>
    <row r="1" spans="1:2" ht="11.25" customHeight="1">
      <c r="A1" s="2" t="s">
        <v>4242</v>
      </c>
      <c r="B1" s="2" t="s">
        <v>4243</v>
      </c>
    </row>
    <row r="2" spans="1:2" ht="11.25" customHeight="1">
      <c r="A2" t="s">
        <v>4244</v>
      </c>
      <c r="B2" t="s">
        <v>4245</v>
      </c>
    </row>
    <row r="3" spans="1:2" ht="11.25" customHeight="1">
      <c r="A3" t="s">
        <v>4246</v>
      </c>
      <c r="B3" t="s">
        <v>4247</v>
      </c>
    </row>
    <row r="4" spans="1:2" ht="11.25" customHeight="1">
      <c r="A4" t="s">
        <v>4248</v>
      </c>
      <c r="B4" t="s">
        <v>4249</v>
      </c>
    </row>
    <row r="5" spans="1:2" ht="11.25" customHeight="1">
      <c r="A5" t="s">
        <v>4250</v>
      </c>
      <c r="B5" t="s">
        <v>4251</v>
      </c>
    </row>
    <row r="6" spans="1:2" ht="11.25" customHeight="1">
      <c r="A6" t="s">
        <v>4252</v>
      </c>
      <c r="B6" t="s">
        <v>4253</v>
      </c>
    </row>
    <row r="7" spans="1:2" ht="11.25" customHeight="1">
      <c r="A7" t="s">
        <v>4254</v>
      </c>
      <c r="B7" t="s">
        <v>4255</v>
      </c>
    </row>
    <row r="8" spans="1:2" ht="11.25" customHeight="1">
      <c r="A8" t="s">
        <v>4256</v>
      </c>
      <c r="B8" t="s">
        <v>4257</v>
      </c>
    </row>
    <row r="9" spans="1:2" ht="11.25" customHeight="1">
      <c r="A9" t="s">
        <v>4258</v>
      </c>
      <c r="B9" t="s">
        <v>4259</v>
      </c>
    </row>
    <row r="10" spans="1:2" ht="11.25" customHeight="1">
      <c r="A10" t="s">
        <v>4260</v>
      </c>
      <c r="B10" t="s">
        <v>4261</v>
      </c>
    </row>
    <row r="11" spans="1:2" ht="11.25" customHeight="1">
      <c r="A11" t="s">
        <v>4262</v>
      </c>
      <c r="B11" t="s">
        <v>4263</v>
      </c>
    </row>
    <row r="12" spans="1:2" ht="11.25" customHeight="1">
      <c r="A12" t="s">
        <v>4264</v>
      </c>
      <c r="B12" t="s">
        <v>4265</v>
      </c>
    </row>
    <row r="13" spans="1:2" ht="11.25" customHeight="1">
      <c r="A13" t="s">
        <v>4266</v>
      </c>
      <c r="B13" t="s">
        <v>4267</v>
      </c>
    </row>
    <row r="14" spans="1:2" ht="11.25" customHeight="1">
      <c r="A14" t="s">
        <v>4268</v>
      </c>
      <c r="B14" t="s">
        <v>4269</v>
      </c>
    </row>
    <row r="15" spans="1:2" ht="11.25" customHeight="1">
      <c r="A15" t="s">
        <v>4270</v>
      </c>
      <c r="B15" t="s">
        <v>4271</v>
      </c>
    </row>
    <row r="16" spans="1:2" ht="11.25" customHeight="1">
      <c r="A16" t="s">
        <v>4272</v>
      </c>
      <c r="B16" t="s">
        <v>4273</v>
      </c>
    </row>
    <row r="17" spans="1:2" ht="11.25" customHeight="1">
      <c r="A17" t="s">
        <v>4274</v>
      </c>
      <c r="B17" t="s">
        <v>4275</v>
      </c>
    </row>
    <row r="18" spans="1:2" ht="11.25" customHeight="1">
      <c r="A18" t="s">
        <v>4276</v>
      </c>
      <c r="B18" t="s">
        <v>4277</v>
      </c>
    </row>
    <row r="19" spans="1:2" ht="11.25" customHeight="1">
      <c r="A19" t="s">
        <v>4278</v>
      </c>
      <c r="B19" t="s">
        <v>4279</v>
      </c>
    </row>
    <row r="20" spans="1:2" ht="11.25" customHeight="1">
      <c r="A20" t="s">
        <v>4280</v>
      </c>
      <c r="B20" t="s">
        <v>4281</v>
      </c>
    </row>
    <row r="21" spans="1:2" ht="11.25" customHeight="1">
      <c r="A21" t="s">
        <v>4282</v>
      </c>
      <c r="B21" t="s">
        <v>4283</v>
      </c>
    </row>
    <row r="22" spans="1:2" ht="11.25" customHeight="1">
      <c r="A22" t="s">
        <v>4284</v>
      </c>
      <c r="B22" t="s">
        <v>4285</v>
      </c>
    </row>
    <row r="23" spans="1:2" ht="11.25" customHeight="1">
      <c r="A23" t="s">
        <v>4286</v>
      </c>
      <c r="B23" t="s">
        <v>4287</v>
      </c>
    </row>
    <row r="24" spans="1:2" ht="11.25" customHeight="1">
      <c r="A24" t="s">
        <v>4288</v>
      </c>
      <c r="B24" t="s">
        <v>4289</v>
      </c>
    </row>
    <row r="25" spans="1:2" ht="11.25" customHeight="1">
      <c r="A25" t="s">
        <v>4290</v>
      </c>
      <c r="B25" t="s">
        <v>4291</v>
      </c>
    </row>
    <row r="26" spans="1:2" ht="11.25" customHeight="1">
      <c r="A26" t="s">
        <v>4292</v>
      </c>
      <c r="B26" t="s">
        <v>4293</v>
      </c>
    </row>
    <row r="27" spans="1:2" ht="11.25" customHeight="1">
      <c r="A27" t="s">
        <v>4294</v>
      </c>
      <c r="B27" t="s">
        <v>4295</v>
      </c>
    </row>
    <row r="28" spans="1:2" ht="11.25" customHeight="1">
      <c r="A28" t="s">
        <v>4296</v>
      </c>
      <c r="B28" t="s">
        <v>4297</v>
      </c>
    </row>
    <row r="29" spans="1:2" ht="11.25" customHeight="1">
      <c r="A29" t="s">
        <v>4298</v>
      </c>
      <c r="B29" t="s">
        <v>4299</v>
      </c>
    </row>
    <row r="30" spans="1:2" ht="11.25" customHeight="1">
      <c r="A30" t="s">
        <v>4300</v>
      </c>
      <c r="B30" t="s">
        <v>4301</v>
      </c>
    </row>
    <row r="31" spans="1:2" ht="11.25" customHeight="1">
      <c r="A31" t="s">
        <v>4302</v>
      </c>
      <c r="B31" t="s">
        <v>4303</v>
      </c>
    </row>
    <row r="32" spans="1:2" ht="11.25" customHeight="1">
      <c r="A32" t="s">
        <v>4304</v>
      </c>
      <c r="B32" t="s">
        <v>4305</v>
      </c>
    </row>
    <row r="33" spans="1:2" ht="11.25" customHeight="1">
      <c r="A33" t="s">
        <v>4306</v>
      </c>
      <c r="B33" t="s">
        <v>4307</v>
      </c>
    </row>
    <row r="34" spans="1:2" ht="11.25" customHeight="1">
      <c r="A34" t="s">
        <v>4308</v>
      </c>
      <c r="B34" t="s">
        <v>4309</v>
      </c>
    </row>
    <row r="35" spans="1:2" ht="11.25" customHeight="1">
      <c r="A35" t="s">
        <v>4310</v>
      </c>
      <c r="B35" t="s">
        <v>4311</v>
      </c>
    </row>
    <row r="36" spans="1:2" ht="11.25" customHeight="1">
      <c r="A36" t="s">
        <v>4312</v>
      </c>
      <c r="B36" t="s">
        <v>4313</v>
      </c>
    </row>
    <row r="37" spans="1:2" ht="11.25" customHeight="1">
      <c r="A37" t="s">
        <v>4314</v>
      </c>
      <c r="B37" t="s">
        <v>4315</v>
      </c>
    </row>
    <row r="38" spans="1:2" ht="11.25" customHeight="1">
      <c r="A38" t="s">
        <v>4316</v>
      </c>
      <c r="B38" t="s">
        <v>4317</v>
      </c>
    </row>
    <row r="39" spans="1:2" ht="11.25" customHeight="1">
      <c r="A39" t="s">
        <v>4318</v>
      </c>
      <c r="B39" t="s">
        <v>4319</v>
      </c>
    </row>
    <row r="40" spans="1:2" ht="11.25" customHeight="1">
      <c r="A40" t="s">
        <v>4320</v>
      </c>
      <c r="B40" t="s">
        <v>4321</v>
      </c>
    </row>
    <row r="41" spans="1:2" ht="11.25" customHeight="1">
      <c r="A41" t="s">
        <v>4322</v>
      </c>
      <c r="B41" t="s">
        <v>4323</v>
      </c>
    </row>
    <row r="42" spans="1:2" ht="11.25" customHeight="1">
      <c r="A42" t="s">
        <v>4324</v>
      </c>
      <c r="B42" t="s">
        <v>4325</v>
      </c>
    </row>
    <row r="43" spans="1:2" ht="11.25" customHeight="1">
      <c r="A43" t="s">
        <v>4326</v>
      </c>
      <c r="B43" t="s">
        <v>4327</v>
      </c>
    </row>
    <row r="44" spans="1:2" ht="11.25" customHeight="1">
      <c r="A44" t="s">
        <v>4328</v>
      </c>
      <c r="B44" t="s">
        <v>4329</v>
      </c>
    </row>
    <row r="45" spans="1:2" ht="11.25" customHeight="1">
      <c r="A45" t="s">
        <v>4330</v>
      </c>
      <c r="B45" t="s">
        <v>4331</v>
      </c>
    </row>
    <row r="46" spans="1:2" ht="11.25" customHeight="1">
      <c r="A46" t="s">
        <v>4332</v>
      </c>
      <c r="B46" t="s">
        <v>4333</v>
      </c>
    </row>
    <row r="47" spans="1:2" ht="11.25" customHeight="1">
      <c r="A47" t="s">
        <v>4334</v>
      </c>
      <c r="B47" t="s">
        <v>4335</v>
      </c>
    </row>
    <row r="48" spans="1:2" ht="11.25" customHeight="1">
      <c r="A48" t="s">
        <v>4336</v>
      </c>
      <c r="B48" t="s">
        <v>4337</v>
      </c>
    </row>
    <row r="49" spans="1:2" ht="11.25" customHeight="1">
      <c r="A49" t="s">
        <v>4338</v>
      </c>
      <c r="B49" t="s">
        <v>4339</v>
      </c>
    </row>
    <row r="50" spans="1:2" ht="11.25" customHeight="1">
      <c r="A50" t="s">
        <v>4340</v>
      </c>
      <c r="B50" t="s">
        <v>4341</v>
      </c>
    </row>
    <row r="51" spans="1:2" ht="11.25" customHeight="1">
      <c r="A51" t="s">
        <v>4342</v>
      </c>
      <c r="B51" t="s">
        <v>4343</v>
      </c>
    </row>
    <row r="52" spans="1:2" ht="11.25" customHeight="1">
      <c r="A52" t="s">
        <v>4344</v>
      </c>
      <c r="B52" t="s">
        <v>4345</v>
      </c>
    </row>
    <row r="53" spans="1:2" ht="11.25" customHeight="1">
      <c r="A53" t="s">
        <v>4346</v>
      </c>
      <c r="B53" t="s">
        <v>4347</v>
      </c>
    </row>
    <row r="54" spans="1:2" ht="11.25" customHeight="1">
      <c r="A54" t="s">
        <v>4348</v>
      </c>
      <c r="B54" t="s">
        <v>4349</v>
      </c>
    </row>
    <row r="55" spans="1:2" ht="11.25" customHeight="1">
      <c r="A55" t="s">
        <v>4350</v>
      </c>
      <c r="B55" t="s">
        <v>4351</v>
      </c>
    </row>
    <row r="56" spans="1:2" ht="11.25" customHeight="1">
      <c r="A56" t="s">
        <v>4352</v>
      </c>
      <c r="B56" t="s">
        <v>4353</v>
      </c>
    </row>
    <row r="57" spans="1:2" ht="11.25" customHeight="1">
      <c r="A57" t="s">
        <v>4354</v>
      </c>
      <c r="B57" t="s">
        <v>4355</v>
      </c>
    </row>
    <row r="58" spans="1:2" ht="11.25" customHeight="1">
      <c r="A58" t="s">
        <v>4356</v>
      </c>
      <c r="B58" t="s">
        <v>4357</v>
      </c>
    </row>
    <row r="59" spans="1:2" ht="11.25" customHeight="1">
      <c r="A59" t="s">
        <v>4358</v>
      </c>
      <c r="B59" t="s">
        <v>4359</v>
      </c>
    </row>
    <row r="60" spans="1:2" ht="11.25" customHeight="1">
      <c r="A60" t="s">
        <v>4360</v>
      </c>
      <c r="B60" t="s">
        <v>4361</v>
      </c>
    </row>
    <row r="61" spans="1:2" ht="11.25" customHeight="1">
      <c r="A61"/>
      <c r="B61" t="s">
        <v>4362</v>
      </c>
    </row>
    <row r="62" spans="1:2" ht="11.25" customHeight="1">
      <c r="A62"/>
      <c r="B62" t="s">
        <v>4363</v>
      </c>
    </row>
    <row r="63" spans="1:2" ht="11.25" customHeight="1">
      <c r="A63"/>
      <c r="B63" t="s">
        <v>4364</v>
      </c>
    </row>
    <row r="64" spans="1:2" ht="11.25" customHeight="1">
      <c r="A64"/>
      <c r="B64" t="s">
        <v>4365</v>
      </c>
    </row>
    <row r="65" spans="1:2" ht="11.25" customHeight="1">
      <c r="A65"/>
      <c r="B65" t="s">
        <v>4366</v>
      </c>
    </row>
    <row r="66" spans="1:2" ht="11.25" customHeight="1">
      <c r="A66"/>
      <c r="B66" t="s">
        <v>4367</v>
      </c>
    </row>
    <row r="67" spans="1:2" ht="11.25" customHeight="1">
      <c r="A67"/>
      <c r="B67" t="s">
        <v>4368</v>
      </c>
    </row>
    <row r="68" spans="1:2" ht="11.25" customHeight="1">
      <c r="A68"/>
      <c r="B68" t="s">
        <v>4369</v>
      </c>
    </row>
    <row r="69" spans="1:2" ht="11.25" customHeight="1">
      <c r="A69"/>
      <c r="B69" t="s">
        <v>4370</v>
      </c>
    </row>
    <row r="70" spans="1:2" ht="11.25" customHeight="1">
      <c r="A70"/>
      <c r="B70" t="s">
        <v>4371</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27" customWidth="1"/>
    <col min="2" max="2" width="90.7109375" style="1827" customWidth="1"/>
    <col min="3" max="4" width="9.140625" style="1827"/>
  </cols>
  <sheetData>
    <row r="1" spans="2:4" ht="11.25" customHeight="1">
      <c r="B1" s="22" t="s">
        <v>4372</v>
      </c>
    </row>
    <row r="2" spans="2:4" ht="90" customHeight="1">
      <c r="B2" s="23" t="s">
        <v>4373</v>
      </c>
    </row>
    <row r="3" spans="2:4" ht="67.5" customHeight="1">
      <c r="B3" s="23" t="s">
        <v>4374</v>
      </c>
    </row>
    <row r="4" spans="2:4" ht="33.75" customHeight="1">
      <c r="B4" s="23" t="s">
        <v>4375</v>
      </c>
    </row>
    <row r="5" spans="2:4" ht="11.25" customHeight="1">
      <c r="B5" s="23" t="s">
        <v>4376</v>
      </c>
    </row>
    <row r="6" spans="2:4" ht="22.5" customHeight="1">
      <c r="B6" s="23" t="s">
        <v>4377</v>
      </c>
    </row>
    <row r="7" spans="2:4" ht="22.5" customHeight="1">
      <c r="B7" s="23" t="s">
        <v>4378</v>
      </c>
    </row>
    <row r="8" spans="2:4" ht="22.5" customHeight="1">
      <c r="B8" s="23" t="s">
        <v>4379</v>
      </c>
    </row>
    <row r="9" spans="2:4" ht="22.5" customHeight="1">
      <c r="B9" s="23" t="s">
        <v>4380</v>
      </c>
    </row>
    <row r="10" spans="2:4" ht="56.25" customHeight="1">
      <c r="B10" s="23" t="s">
        <v>4381</v>
      </c>
    </row>
    <row r="11" spans="2:4" ht="12.75" customHeight="1">
      <c r="B11" s="77" t="s">
        <v>4382</v>
      </c>
    </row>
    <row r="12" spans="2:4" ht="11.25" customHeight="1">
      <c r="B12" s="22" t="s">
        <v>4383</v>
      </c>
    </row>
    <row r="13" spans="2:4" ht="22.5" customHeight="1">
      <c r="B13" s="23" t="s">
        <v>4384</v>
      </c>
    </row>
    <row r="14" spans="2:4" ht="67.5" customHeight="1">
      <c r="B14" s="23" t="s">
        <v>4385</v>
      </c>
    </row>
    <row r="15" spans="2:4" ht="22.5" customHeight="1">
      <c r="B15" s="23" t="s">
        <v>4386</v>
      </c>
    </row>
    <row r="16" spans="2:4" ht="11.25" customHeight="1">
      <c r="B16" s="22" t="s">
        <v>4387</v>
      </c>
      <c r="D16" s="29"/>
    </row>
    <row r="17" spans="1:2" ht="33.75" customHeight="1">
      <c r="B17" s="23" t="s">
        <v>4388</v>
      </c>
    </row>
    <row r="18" spans="1:2" ht="33.75" customHeight="1">
      <c r="B18" s="23" t="s">
        <v>4389</v>
      </c>
    </row>
    <row r="19" spans="1:2" ht="11.25" customHeight="1">
      <c r="B19" s="23" t="s">
        <v>4390</v>
      </c>
    </row>
    <row r="20" spans="1:2" ht="33.75" customHeight="1">
      <c r="B20" s="23" t="s">
        <v>4391</v>
      </c>
    </row>
    <row r="21" spans="1:2" ht="11.25" customHeight="1">
      <c r="B21" s="22" t="s">
        <v>4392</v>
      </c>
    </row>
    <row r="22" spans="1:2" ht="11.25" customHeight="1">
      <c r="B22" s="23" t="s">
        <v>4393</v>
      </c>
    </row>
    <row r="24" spans="1:2" ht="22.5" customHeight="1">
      <c r="B24" s="79" t="s">
        <v>4394</v>
      </c>
    </row>
    <row r="26" spans="1:2" ht="11.25" customHeight="1">
      <c r="B26" s="22" t="s">
        <v>4395</v>
      </c>
    </row>
    <row r="27" spans="1:2" ht="22.5" customHeight="1">
      <c r="B27" s="78" t="s">
        <v>572</v>
      </c>
    </row>
    <row r="28" spans="1:2" ht="56.25" customHeight="1">
      <c r="B28" s="78" t="s">
        <v>4396</v>
      </c>
    </row>
    <row r="29" spans="1:2" ht="11.25" customHeight="1">
      <c r="B29" s="127" t="s">
        <v>4397</v>
      </c>
    </row>
    <row r="30" spans="1:2" ht="22.5" customHeight="1">
      <c r="B30" s="78" t="s">
        <v>4398</v>
      </c>
    </row>
    <row r="32" spans="1:2" ht="11.25" customHeight="1">
      <c r="A32"/>
      <c r="B32" s="106" t="s">
        <v>4399</v>
      </c>
    </row>
    <row r="33" spans="1:2" ht="14.25" customHeight="1">
      <c r="A33" s="107">
        <v>1</v>
      </c>
      <c r="B33" s="108" t="s">
        <v>4400</v>
      </c>
    </row>
    <row r="34" spans="1:2" ht="14.25" customHeight="1">
      <c r="A34" s="107">
        <v>2</v>
      </c>
      <c r="B34" s="108" t="s">
        <v>4401</v>
      </c>
    </row>
    <row r="35" spans="1:2" ht="11.25" customHeight="1">
      <c r="B35" s="106" t="s">
        <v>4402</v>
      </c>
    </row>
    <row r="36" spans="1:2" ht="11.25" customHeight="1">
      <c r="B36" s="108" t="s">
        <v>4403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2" hidden="1" customWidth="1"/>
    <col min="2" max="2" width="9.140625" style="1555" hidden="1" customWidth="1"/>
    <col min="3" max="3" width="3.7109375" style="1760" customWidth="1"/>
    <col min="4" max="4" width="5.5703125" style="1555" customWidth="1"/>
    <col min="5" max="5" width="38.140625" style="1555" customWidth="1"/>
    <col min="6" max="7" width="3.7109375" style="1555" customWidth="1"/>
    <col min="8" max="8" width="38.28515625" style="1555" customWidth="1"/>
    <col min="9" max="9" width="35.7109375" style="1555" customWidth="1"/>
    <col min="10" max="10" width="103.7109375" style="1555" customWidth="1"/>
    <col min="11" max="11" width="3.7109375" style="1739" customWidth="1"/>
    <col min="12" max="14" width="10.5703125" style="1562"/>
    <col min="15" max="15" width="13.7109375" style="1562" customWidth="1"/>
    <col min="16" max="16" width="15.42578125" style="1562" customWidth="1"/>
    <col min="17" max="17" width="16.28515625" style="1562" customWidth="1"/>
    <col min="18" max="21" width="10.5703125" style="1562"/>
  </cols>
  <sheetData>
    <row r="1" spans="1:21" ht="14.25" hidden="1" customHeight="1">
      <c r="E1" s="341"/>
      <c r="F1" s="341"/>
      <c r="G1" s="341"/>
      <c r="H1" s="7534" t="s">
        <v>528</v>
      </c>
      <c r="I1" s="7534"/>
    </row>
    <row r="2" spans="1:21" s="1555" customFormat="1" ht="14.25" hidden="1" customHeight="1">
      <c r="C2" s="1539"/>
      <c r="D2" s="7669" t="s">
        <v>97</v>
      </c>
      <c r="E2" s="7671"/>
      <c r="F2" s="1545"/>
      <c r="G2" s="1540" t="s">
        <v>97</v>
      </c>
      <c r="H2" s="1543"/>
      <c r="I2" s="1541"/>
      <c r="L2" s="1542"/>
      <c r="M2" s="1542"/>
      <c r="N2" s="1542"/>
      <c r="O2" s="1542" t="s">
        <v>558</v>
      </c>
      <c r="P2" s="1542"/>
      <c r="Q2" s="1542"/>
      <c r="R2" s="1544" t="s">
        <v>557</v>
      </c>
      <c r="S2" s="1544" t="s">
        <v>557</v>
      </c>
      <c r="T2" s="1542"/>
      <c r="U2" s="1542"/>
    </row>
    <row r="3" spans="1:21" s="1555" customFormat="1" ht="14.25" hidden="1" customHeight="1">
      <c r="C3" s="1539"/>
      <c r="D3" s="7670"/>
      <c r="E3" s="7672"/>
      <c r="F3" s="334"/>
      <c r="G3" s="783"/>
      <c r="H3" s="783" t="s">
        <v>559</v>
      </c>
      <c r="I3" s="229"/>
      <c r="L3" s="1542"/>
      <c r="M3" s="1542"/>
      <c r="N3" s="1542"/>
      <c r="O3" s="1542"/>
      <c r="P3" s="1542"/>
      <c r="Q3" s="1542"/>
      <c r="R3" s="1544"/>
      <c r="S3" s="1544"/>
      <c r="T3" s="1542"/>
      <c r="U3" s="1542"/>
    </row>
    <row r="4" spans="1:21" ht="14.25" hidden="1" customHeight="1"/>
    <row r="5" spans="1:21" s="1534" customFormat="1" ht="6" customHeight="1">
      <c r="C5" s="618"/>
      <c r="D5" s="619"/>
      <c r="E5" s="619"/>
      <c r="F5" s="619"/>
      <c r="G5" s="619"/>
      <c r="H5" s="619" t="s">
        <v>532</v>
      </c>
      <c r="I5" s="619"/>
      <c r="J5" s="619"/>
      <c r="L5" s="1535"/>
      <c r="M5" s="1535"/>
      <c r="N5" s="1535"/>
      <c r="O5" s="1535"/>
      <c r="P5" s="1535"/>
      <c r="Q5" s="1535"/>
      <c r="R5" s="1535"/>
      <c r="S5" s="1535"/>
      <c r="T5" s="1535"/>
      <c r="U5" s="1535"/>
    </row>
    <row r="6" spans="1:21" ht="27.75" customHeight="1">
      <c r="C6" s="1431"/>
      <c r="D6" s="7673" t="s">
        <v>560</v>
      </c>
      <c r="E6" s="7673"/>
      <c r="F6" s="7673"/>
      <c r="G6" s="7673"/>
      <c r="H6" s="7673"/>
      <c r="I6" s="7673"/>
      <c r="J6" s="415"/>
      <c r="K6" s="1536"/>
    </row>
    <row r="7" spans="1:21" ht="17.25" customHeight="1">
      <c r="C7" s="1431"/>
      <c r="D7" s="7620" t="str">
        <f>IF(org=0,"Не определено",org)</f>
        <v>ГУП СК "Ставрополькрайводоканал"</v>
      </c>
      <c r="E7" s="7620"/>
      <c r="F7" s="7620"/>
      <c r="G7" s="7620"/>
      <c r="H7" s="7620"/>
      <c r="I7" s="7620"/>
      <c r="J7" s="415"/>
      <c r="K7" s="1536"/>
    </row>
    <row r="8" spans="1:21" s="1533" customFormat="1" ht="6" customHeight="1">
      <c r="A8" s="1532"/>
      <c r="C8" s="410"/>
      <c r="D8" s="409"/>
      <c r="E8" s="409"/>
      <c r="F8" s="409"/>
      <c r="G8" s="409"/>
      <c r="H8" s="409"/>
      <c r="I8" s="409"/>
      <c r="J8" s="409"/>
      <c r="L8" s="1535"/>
      <c r="M8" s="1535"/>
      <c r="N8" s="1535"/>
      <c r="O8" s="1535"/>
      <c r="P8" s="1535"/>
      <c r="Q8" s="1535"/>
      <c r="R8" s="1535"/>
      <c r="S8" s="1535"/>
      <c r="T8" s="1535"/>
      <c r="U8" s="1535"/>
    </row>
    <row r="9" spans="1:21" s="1533" customFormat="1" ht="6" customHeight="1">
      <c r="A9" s="1532"/>
      <c r="C9" s="410"/>
      <c r="D9" s="409"/>
      <c r="E9" s="409"/>
      <c r="F9" s="409"/>
      <c r="G9" s="409"/>
      <c r="H9" s="409"/>
      <c r="I9" s="409"/>
      <c r="J9" s="409"/>
      <c r="L9" s="1542"/>
      <c r="M9" s="1542"/>
      <c r="N9" s="1542"/>
      <c r="O9" s="1542"/>
      <c r="P9" s="1542"/>
      <c r="Q9" s="1542"/>
      <c r="R9" s="1542"/>
      <c r="S9" s="1542"/>
      <c r="T9" s="1542"/>
      <c r="U9" s="1542"/>
    </row>
    <row r="10" spans="1:21" ht="14.25" customHeight="1">
      <c r="C10" s="1431"/>
      <c r="D10" s="7657" t="s">
        <v>474</v>
      </c>
      <c r="E10" s="7658"/>
      <c r="F10" s="7658"/>
      <c r="G10" s="7658"/>
      <c r="H10" s="7658"/>
      <c r="I10" s="7658"/>
      <c r="J10" s="7587" t="s">
        <v>475</v>
      </c>
    </row>
    <row r="11" spans="1:21" ht="25.5" customHeight="1">
      <c r="C11" s="1431"/>
      <c r="D11" s="7559" t="s">
        <v>86</v>
      </c>
      <c r="E11" s="7587" t="str">
        <f>IF(TEMPLATE_SPHERE&lt;&gt;"HEAT","Регулируемый вид деятельности","Вид регулируемой деятельности")</f>
        <v>Регулируемый вид деятельности</v>
      </c>
      <c r="F11" s="7634" t="s">
        <v>86</v>
      </c>
      <c r="G11" s="7635"/>
      <c r="H11" s="7619" t="s">
        <v>561</v>
      </c>
      <c r="I11" s="7619" t="s">
        <v>562</v>
      </c>
      <c r="J11" s="7587"/>
    </row>
    <row r="12" spans="1:21" ht="14.25" customHeight="1">
      <c r="C12" s="1431"/>
      <c r="D12" s="7559"/>
      <c r="E12" s="7587"/>
      <c r="F12" s="7639"/>
      <c r="G12" s="7640"/>
      <c r="H12" s="7668"/>
      <c r="I12" s="7668"/>
      <c r="J12" s="7587"/>
    </row>
    <row r="13" spans="1:21" s="1561" customFormat="1" ht="11.25" hidden="1" customHeight="1">
      <c r="C13" s="422"/>
      <c r="D13" s="423" t="s">
        <v>552</v>
      </c>
      <c r="E13" s="423"/>
      <c r="F13" s="423"/>
      <c r="G13" s="423"/>
      <c r="H13" s="421"/>
      <c r="I13" s="421"/>
      <c r="J13" s="361"/>
      <c r="L13" s="1535"/>
      <c r="M13" s="1535"/>
      <c r="N13" s="1535"/>
      <c r="O13" s="1535"/>
      <c r="P13" s="1535"/>
      <c r="Q13" s="1535"/>
      <c r="R13" s="1535"/>
      <c r="S13" s="1535"/>
      <c r="T13" s="1535"/>
      <c r="U13" s="1535"/>
    </row>
    <row r="14" spans="1:21" ht="14.25" customHeight="1">
      <c r="A14" s="1530"/>
      <c r="C14" s="1431"/>
      <c r="D14" s="7669" t="s">
        <v>97</v>
      </c>
      <c r="E14" s="7671"/>
      <c r="F14" s="1538"/>
      <c r="G14" s="1537" t="s">
        <v>97</v>
      </c>
      <c r="H14" s="1543"/>
      <c r="I14" s="1541"/>
      <c r="J14" s="7604" t="s">
        <v>563</v>
      </c>
      <c r="K14" s="1530"/>
      <c r="R14" s="424" t="s">
        <v>557</v>
      </c>
      <c r="S14" s="424" t="s">
        <v>557</v>
      </c>
    </row>
    <row r="15" spans="1:21" ht="14.25" customHeight="1">
      <c r="A15" s="1530"/>
      <c r="C15" s="1431"/>
      <c r="D15" s="7670"/>
      <c r="E15" s="7672"/>
      <c r="F15" s="334"/>
      <c r="G15" s="783"/>
      <c r="H15" s="783" t="s">
        <v>559</v>
      </c>
      <c r="I15" s="229"/>
      <c r="J15" s="7605"/>
      <c r="K15" s="1530"/>
      <c r="R15" s="424"/>
      <c r="S15" s="424"/>
    </row>
    <row r="16" spans="1:21" ht="14.25" customHeight="1">
      <c r="A16" s="1530"/>
      <c r="C16" s="1431"/>
      <c r="D16" s="334"/>
      <c r="E16" s="783" t="s">
        <v>235</v>
      </c>
      <c r="F16" s="229"/>
      <c r="G16" s="229"/>
      <c r="H16" s="335"/>
      <c r="I16" s="335"/>
      <c r="J16" s="7606"/>
      <c r="K16" s="1530"/>
    </row>
    <row r="17" spans="11:11" ht="14.25" customHeight="1">
      <c r="K17" s="1530"/>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1967</vt:i4>
      </vt:variant>
    </vt:vector>
  </HeadingPairs>
  <TitlesOfParts>
    <vt:vector size="205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pt_cs_30</vt:lpstr>
      <vt:lpstr>pt_cs_31</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pt_ntar_26</vt:lpstr>
      <vt:lpstr>pt_ntar_27</vt:lpstr>
      <vt:lpstr>pt_ntar_28</vt:lpstr>
      <vt:lpstr>pt_ntar_29</vt:lpstr>
      <vt:lpstr>pt_ntar_3</vt:lpstr>
      <vt:lpstr>pt_ntar_30</vt:lpstr>
      <vt:lpstr>pt_ntar_31</vt:lpstr>
      <vt:lpstr>pt_ntar_32</vt:lpstr>
      <vt:lpstr>pt_ntar_33</vt:lpstr>
      <vt:lpstr>pt_ntar_34</vt:lpstr>
      <vt:lpstr>pt_ntar_35</vt:lpstr>
      <vt:lpstr>pt_ntar_36</vt:lpstr>
      <vt:lpstr>pt_ntar_37</vt:lpstr>
      <vt:lpstr>pt_ntar_38</vt:lpstr>
      <vt:lpstr>pt_ntar_39</vt:lpstr>
      <vt:lpstr>pt_ntar_4</vt:lpstr>
      <vt:lpstr>pt_ntar_40</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pt_ter_30</vt:lpstr>
      <vt:lpstr>pt_ter_31</vt:lpstr>
      <vt:lpstr>pt_ter_33</vt:lpstr>
      <vt:lpstr>pt_ter_34</vt:lpstr>
      <vt:lpstr>pt_ter_35</vt:lpstr>
      <vt:lpstr>pt_ter_36</vt:lpstr>
      <vt:lpstr>pt_ter_37</vt:lpstr>
      <vt:lpstr>pt_ter_38</vt:lpstr>
      <vt:lpstr>pt_ter_39</vt:lpstr>
      <vt:lpstr>pt_ter_4</vt:lpstr>
      <vt:lpstr>pt_ter_40</vt:lpstr>
      <vt:lpstr>pt_ter_41</vt:lpstr>
      <vt:lpstr>pt_ter_42</vt:lpstr>
      <vt:lpstr>pt_ter_43</vt:lpstr>
      <vt:lpstr>pt_ter_44</vt:lpstr>
      <vt:lpstr>pt_ter_45</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Лазарева Маргарита Владимировна</cp:lastModifiedBy>
  <cp:lastPrinted>2013-08-29T08:11:20Z</cp:lastPrinted>
  <dcterms:created xsi:type="dcterms:W3CDTF">2004-05-21T07:18:45Z</dcterms:created>
  <dcterms:modified xsi:type="dcterms:W3CDTF">2023-12-29T07:31:58Z</dcterms:modified>
</cp:coreProperties>
</file>